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LOCOS SUR PAYROLL\PAYROLL Ilocos Sur 2023\"/>
    </mc:Choice>
  </mc:AlternateContent>
  <bookViews>
    <workbookView xWindow="390" yWindow="390" windowWidth="8250" windowHeight="10155" activeTab="2"/>
  </bookViews>
  <sheets>
    <sheet name="OB-R-NDP" sheetId="39" r:id="rId1"/>
    <sheet name="OB-R-Midwives" sheetId="46" r:id="rId2"/>
    <sheet name="OB-R MTDP,PDP,DDP&amp;PTDP" sheetId="88" r:id="rId3"/>
    <sheet name="NDP" sheetId="20" r:id="rId4"/>
    <sheet name="RHMPP" sheetId="40" r:id="rId5"/>
    <sheet name="MTDP, PDP,DDP &amp; PTDP" sheetId="57" r:id="rId6"/>
    <sheet name="Resigned 2023" sheetId="115" r:id="rId7"/>
    <sheet name="Salary" sheetId="15" r:id="rId8"/>
    <sheet name="Resigned" sheetId="82" r:id="rId9"/>
  </sheets>
  <externalReferences>
    <externalReference r:id="rId10"/>
    <externalReference r:id="rId11"/>
  </externalReferences>
  <definedNames>
    <definedName name="_xlnm._FilterDatabase" localSheetId="5" hidden="1">'MTDP, PDP,DDP &amp; PTDP'!$A$8:$AU$25</definedName>
    <definedName name="_xlnm._FilterDatabase" localSheetId="3" hidden="1">NDP!$A$8:$AU$162</definedName>
    <definedName name="_xlnm._FilterDatabase" localSheetId="8" hidden="1">Resigned!$A$8:$AU$28</definedName>
    <definedName name="_xlnm._FilterDatabase" localSheetId="6" hidden="1">'Resigned 2023'!$A$8:$AU$13</definedName>
    <definedName name="_xlnm._FilterDatabase" localSheetId="4" hidden="1">RHMPP!$A$8:$AU$32</definedName>
    <definedName name="list">[1]ETD!$E$200:$G$227</definedName>
    <definedName name="_xlnm.Print_Area" localSheetId="5">'MTDP, PDP,DDP &amp; PTDP'!$A$1:$AN$39</definedName>
    <definedName name="_xlnm.Print_Area" localSheetId="3">NDP!$A$1:$AO$175</definedName>
    <definedName name="_xlnm.Print_Area" localSheetId="2">'OB-R MTDP,PDP,DDP&amp;PTDP'!$A$1:$M$65</definedName>
    <definedName name="_xlnm.Print_Area" localSheetId="1">'OB-R-Midwives'!$A$1:$M$65</definedName>
    <definedName name="_xlnm.Print_Area" localSheetId="0">'OB-R-NDP'!$A$1:$M$63</definedName>
    <definedName name="_xlnm.Print_Area" localSheetId="8">Resigned!$A$1:$AN$42</definedName>
    <definedName name="_xlnm.Print_Area" localSheetId="6">'Resigned 2023'!$A$1:$AN$27</definedName>
    <definedName name="_xlnm.Print_Area" localSheetId="4">RHMPP!$A$1:$AN$49</definedName>
    <definedName name="_xlnm.Print_Area" localSheetId="7">Salary!$A$1:$AA$25</definedName>
    <definedName name="_xlnm.Print_Titles" localSheetId="5">'MTDP, PDP,DDP &amp; PTDP'!$1:$7</definedName>
    <definedName name="_xlnm.Print_Titles" localSheetId="3">NDP!$1:$7</definedName>
    <definedName name="_xlnm.Print_Titles" localSheetId="8">Resigned!$1:$7</definedName>
    <definedName name="_xlnm.Print_Titles" localSheetId="6">'Resigned 2023'!$1:$7</definedName>
    <definedName name="_xlnm.Print_Titles" localSheetId="4">RHMPP!$1:$7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57" l="1"/>
  <c r="M35" i="40"/>
  <c r="M34" i="40"/>
  <c r="M29" i="40"/>
  <c r="M161" i="20"/>
  <c r="AM160" i="20"/>
  <c r="M160" i="20"/>
  <c r="M92" i="20" l="1"/>
  <c r="M113" i="20"/>
  <c r="M134" i="20"/>
  <c r="M155" i="20"/>
  <c r="E161" i="20"/>
  <c r="E160" i="20"/>
  <c r="L41" i="20" l="1"/>
  <c r="K41" i="20"/>
  <c r="K22" i="20" l="1"/>
  <c r="L22" i="20"/>
  <c r="E25" i="57" l="1"/>
  <c r="E35" i="40"/>
  <c r="AM34" i="40"/>
  <c r="E34" i="40"/>
  <c r="E29" i="40"/>
  <c r="K63" i="20" l="1"/>
  <c r="L63" i="20"/>
  <c r="N160" i="20"/>
  <c r="Q160" i="20"/>
  <c r="R160" i="20"/>
  <c r="S160" i="20"/>
  <c r="T160" i="20"/>
  <c r="U160" i="20"/>
  <c r="V160" i="20"/>
  <c r="W160" i="20"/>
  <c r="X160" i="20"/>
  <c r="Y160" i="20"/>
  <c r="AA160" i="20"/>
  <c r="AB160" i="20"/>
  <c r="AC160" i="20"/>
  <c r="AD160" i="20"/>
  <c r="AE160" i="20"/>
  <c r="AF160" i="20"/>
  <c r="AG160" i="20"/>
  <c r="AH160" i="20"/>
  <c r="AI160" i="20"/>
  <c r="AJ160" i="20"/>
  <c r="AK160" i="20"/>
  <c r="AN160" i="20"/>
  <c r="AO160" i="20"/>
  <c r="AP160" i="20"/>
  <c r="AQ160" i="20"/>
  <c r="AS160" i="20"/>
  <c r="AT160" i="20"/>
  <c r="AV160" i="20"/>
  <c r="AW160" i="20"/>
  <c r="AX160" i="20"/>
  <c r="AY160" i="20"/>
  <c r="AZ160" i="20"/>
  <c r="BA160" i="20"/>
  <c r="BD160" i="20"/>
  <c r="BC159" i="20"/>
  <c r="BB159" i="20"/>
  <c r="AW159" i="20"/>
  <c r="AU159" i="20"/>
  <c r="AQ159" i="20"/>
  <c r="P159" i="20"/>
  <c r="O159" i="20"/>
  <c r="K159" i="20"/>
  <c r="H159" i="20"/>
  <c r="J159" i="20" s="1"/>
  <c r="G159" i="20"/>
  <c r="BC158" i="20"/>
  <c r="BB158" i="20"/>
  <c r="AW158" i="20"/>
  <c r="AU158" i="20"/>
  <c r="AQ158" i="20"/>
  <c r="P158" i="20"/>
  <c r="O158" i="20"/>
  <c r="K158" i="20"/>
  <c r="J158" i="20"/>
  <c r="H158" i="20"/>
  <c r="G158" i="20"/>
  <c r="F158" i="20"/>
  <c r="AL158" i="20" l="1"/>
  <c r="L159" i="20"/>
  <c r="Z159" i="20"/>
  <c r="AL159" i="20" s="1"/>
  <c r="L158" i="20"/>
  <c r="Z158" i="20"/>
  <c r="I159" i="20"/>
  <c r="M159" i="20"/>
  <c r="I158" i="20"/>
  <c r="M158" i="20" s="1"/>
  <c r="AM158" i="20" s="1"/>
  <c r="AR158" i="20" s="1"/>
  <c r="F159" i="20"/>
  <c r="AM159" i="20" l="1"/>
  <c r="AR159" i="20" s="1"/>
  <c r="F155" i="20" l="1"/>
  <c r="G155" i="20"/>
  <c r="H155" i="20"/>
  <c r="I155" i="20"/>
  <c r="J155" i="20"/>
  <c r="K155" i="20"/>
  <c r="L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AF155" i="20"/>
  <c r="AG155" i="20"/>
  <c r="AH155" i="20"/>
  <c r="AI155" i="20"/>
  <c r="AJ155" i="20"/>
  <c r="AK155" i="20"/>
  <c r="AN155" i="20"/>
  <c r="AO155" i="20"/>
  <c r="AP155" i="20"/>
  <c r="AQ155" i="20"/>
  <c r="AS155" i="20"/>
  <c r="AT155" i="20"/>
  <c r="AU155" i="20"/>
  <c r="AV155" i="20"/>
  <c r="AW155" i="20"/>
  <c r="AX155" i="20"/>
  <c r="AY155" i="20"/>
  <c r="AZ155" i="20"/>
  <c r="BA155" i="20"/>
  <c r="BB155" i="20"/>
  <c r="BC155" i="20"/>
  <c r="BD155" i="20"/>
  <c r="E155" i="20"/>
  <c r="N134" i="20"/>
  <c r="Q134" i="20"/>
  <c r="R134" i="20"/>
  <c r="S134" i="20"/>
  <c r="T134" i="20"/>
  <c r="U134" i="20"/>
  <c r="V134" i="20"/>
  <c r="W134" i="20"/>
  <c r="X134" i="20"/>
  <c r="Y134" i="20"/>
  <c r="AA134" i="20"/>
  <c r="AB134" i="20"/>
  <c r="AC134" i="20"/>
  <c r="AD134" i="20"/>
  <c r="AE134" i="20"/>
  <c r="AF134" i="20"/>
  <c r="AG134" i="20"/>
  <c r="AH134" i="20"/>
  <c r="AI134" i="20"/>
  <c r="AJ134" i="20"/>
  <c r="AK134" i="20"/>
  <c r="AN134" i="20"/>
  <c r="AO134" i="20"/>
  <c r="AP134" i="20"/>
  <c r="AS134" i="20"/>
  <c r="AT134" i="20"/>
  <c r="AV134" i="20"/>
  <c r="AX134" i="20"/>
  <c r="AY134" i="20"/>
  <c r="AZ134" i="20"/>
  <c r="BA134" i="20"/>
  <c r="BD134" i="20"/>
  <c r="E134" i="20"/>
  <c r="N113" i="20"/>
  <c r="Q113" i="20"/>
  <c r="R113" i="20"/>
  <c r="S113" i="20"/>
  <c r="T113" i="20"/>
  <c r="U113" i="20"/>
  <c r="V113" i="20"/>
  <c r="W113" i="20"/>
  <c r="X113" i="20"/>
  <c r="Y113" i="20"/>
  <c r="AA113" i="20"/>
  <c r="AB113" i="20"/>
  <c r="AC113" i="20"/>
  <c r="AD113" i="20"/>
  <c r="AE113" i="20"/>
  <c r="AF113" i="20"/>
  <c r="AG113" i="20"/>
  <c r="AH113" i="20"/>
  <c r="AI113" i="20"/>
  <c r="AJ113" i="20"/>
  <c r="AK113" i="20"/>
  <c r="AN113" i="20"/>
  <c r="AO113" i="20"/>
  <c r="AP113" i="20"/>
  <c r="AS113" i="20"/>
  <c r="AT113" i="20"/>
  <c r="AV113" i="20"/>
  <c r="AX113" i="20"/>
  <c r="AY113" i="20"/>
  <c r="AZ113" i="20"/>
  <c r="BA113" i="20"/>
  <c r="BD113" i="20"/>
  <c r="E113" i="20"/>
  <c r="N92" i="20"/>
  <c r="Q92" i="20"/>
  <c r="R92" i="20"/>
  <c r="S92" i="20"/>
  <c r="T92" i="20"/>
  <c r="U92" i="20"/>
  <c r="V92" i="20"/>
  <c r="W92" i="20"/>
  <c r="X92" i="20"/>
  <c r="Y92" i="20"/>
  <c r="AA92" i="20"/>
  <c r="AB92" i="20"/>
  <c r="AC92" i="20"/>
  <c r="AD92" i="20"/>
  <c r="AE92" i="20"/>
  <c r="AF92" i="20"/>
  <c r="AG92" i="20"/>
  <c r="AH92" i="20"/>
  <c r="AI92" i="20"/>
  <c r="AJ92" i="20"/>
  <c r="AK92" i="20"/>
  <c r="AN92" i="20"/>
  <c r="AO92" i="20"/>
  <c r="AP92" i="20"/>
  <c r="AS92" i="20"/>
  <c r="AT92" i="20"/>
  <c r="AV92" i="20"/>
  <c r="AX92" i="20"/>
  <c r="AY92" i="20"/>
  <c r="AZ92" i="20"/>
  <c r="BA92" i="20"/>
  <c r="BD92" i="20"/>
  <c r="E92" i="20"/>
  <c r="N71" i="20"/>
  <c r="Q71" i="20"/>
  <c r="R71" i="20"/>
  <c r="S71" i="20"/>
  <c r="T71" i="20"/>
  <c r="U71" i="20"/>
  <c r="V71" i="20"/>
  <c r="W71" i="20"/>
  <c r="X71" i="20"/>
  <c r="Y71" i="20"/>
  <c r="AA71" i="20"/>
  <c r="AB71" i="20"/>
  <c r="AC71" i="20"/>
  <c r="AD71" i="20"/>
  <c r="AE71" i="20"/>
  <c r="AF71" i="20"/>
  <c r="AG71" i="20"/>
  <c r="AH71" i="20"/>
  <c r="AI71" i="20"/>
  <c r="AJ71" i="20"/>
  <c r="AK71" i="20"/>
  <c r="AN71" i="20"/>
  <c r="AO71" i="20"/>
  <c r="AP71" i="20"/>
  <c r="AS71" i="20"/>
  <c r="AT71" i="20"/>
  <c r="AV71" i="20"/>
  <c r="AX71" i="20"/>
  <c r="AY71" i="20"/>
  <c r="AZ71" i="20"/>
  <c r="BA71" i="20"/>
  <c r="BD71" i="20"/>
  <c r="E71" i="20"/>
  <c r="N50" i="20"/>
  <c r="Q50" i="20"/>
  <c r="R50" i="20"/>
  <c r="S50" i="20"/>
  <c r="T50" i="20"/>
  <c r="U50" i="20"/>
  <c r="V50" i="20"/>
  <c r="W50" i="20"/>
  <c r="X50" i="20"/>
  <c r="Y50" i="20"/>
  <c r="AA50" i="20"/>
  <c r="AB50" i="20"/>
  <c r="AC50" i="20"/>
  <c r="AD50" i="20"/>
  <c r="AE50" i="20"/>
  <c r="AF50" i="20"/>
  <c r="AG50" i="20"/>
  <c r="AH50" i="20"/>
  <c r="AI50" i="20"/>
  <c r="AJ50" i="20"/>
  <c r="AK50" i="20"/>
  <c r="AN50" i="20"/>
  <c r="AO50" i="20"/>
  <c r="AP50" i="20"/>
  <c r="AS50" i="20"/>
  <c r="AT50" i="20"/>
  <c r="AV50" i="20"/>
  <c r="AX50" i="20"/>
  <c r="AY50" i="20"/>
  <c r="AZ50" i="20"/>
  <c r="BA50" i="20"/>
  <c r="BD50" i="20"/>
  <c r="E50" i="20"/>
  <c r="N29" i="20"/>
  <c r="Q29" i="20"/>
  <c r="R29" i="20"/>
  <c r="S29" i="20"/>
  <c r="T29" i="20"/>
  <c r="U29" i="20"/>
  <c r="V29" i="20"/>
  <c r="W29" i="20"/>
  <c r="X29" i="20"/>
  <c r="Y29" i="20"/>
  <c r="AA29" i="20"/>
  <c r="AB29" i="20"/>
  <c r="AC29" i="20"/>
  <c r="AD29" i="20"/>
  <c r="AE29" i="20"/>
  <c r="AF29" i="20"/>
  <c r="AG29" i="20"/>
  <c r="AH29" i="20"/>
  <c r="AI29" i="20"/>
  <c r="AJ29" i="20"/>
  <c r="AK29" i="20"/>
  <c r="AN29" i="20"/>
  <c r="AO29" i="20"/>
  <c r="AP29" i="20"/>
  <c r="AS29" i="20"/>
  <c r="AT29" i="20"/>
  <c r="AV29" i="20"/>
  <c r="AX29" i="20"/>
  <c r="AY29" i="20"/>
  <c r="AZ29" i="20"/>
  <c r="BA29" i="20"/>
  <c r="BD29" i="20"/>
  <c r="E29" i="20"/>
  <c r="E13" i="57" l="1"/>
  <c r="N34" i="40" l="1"/>
  <c r="Q34" i="40"/>
  <c r="R34" i="40"/>
  <c r="S34" i="40"/>
  <c r="T34" i="40"/>
  <c r="U34" i="40"/>
  <c r="V34" i="40"/>
  <c r="W34" i="40"/>
  <c r="X34" i="40"/>
  <c r="Y34" i="40"/>
  <c r="AA34" i="40"/>
  <c r="AB34" i="40"/>
  <c r="AC34" i="40"/>
  <c r="AD34" i="40"/>
  <c r="AE34" i="40"/>
  <c r="AF34" i="40"/>
  <c r="AG34" i="40"/>
  <c r="AH34" i="40"/>
  <c r="AI34" i="40"/>
  <c r="AJ34" i="40"/>
  <c r="AK34" i="40"/>
  <c r="AN34" i="40"/>
  <c r="AO34" i="40"/>
  <c r="AP34" i="40"/>
  <c r="AS34" i="40"/>
  <c r="AT34" i="40"/>
  <c r="AV34" i="40"/>
  <c r="AX34" i="40"/>
  <c r="AY34" i="40"/>
  <c r="AZ34" i="40"/>
  <c r="BA34" i="40"/>
  <c r="BD34" i="40"/>
  <c r="BC33" i="40"/>
  <c r="BB33" i="40"/>
  <c r="AW33" i="40"/>
  <c r="AU33" i="40"/>
  <c r="AQ33" i="40"/>
  <c r="O33" i="40"/>
  <c r="J33" i="40"/>
  <c r="H33" i="40"/>
  <c r="Z33" i="40" s="1"/>
  <c r="F33" i="40"/>
  <c r="N29" i="40"/>
  <c r="Q29" i="40"/>
  <c r="R29" i="40"/>
  <c r="R35" i="40" s="1"/>
  <c r="S29" i="40"/>
  <c r="S35" i="40" s="1"/>
  <c r="T29" i="40"/>
  <c r="T35" i="40" s="1"/>
  <c r="U29" i="40"/>
  <c r="V29" i="40"/>
  <c r="V35" i="40" s="1"/>
  <c r="W29" i="40"/>
  <c r="W35" i="40" s="1"/>
  <c r="X29" i="40"/>
  <c r="X35" i="40" s="1"/>
  <c r="Y29" i="40"/>
  <c r="AA29" i="40"/>
  <c r="AA35" i="40" s="1"/>
  <c r="AB29" i="40"/>
  <c r="AB35" i="40" s="1"/>
  <c r="AC29" i="40"/>
  <c r="AC35" i="40" s="1"/>
  <c r="AD29" i="40"/>
  <c r="AD35" i="40" s="1"/>
  <c r="AE29" i="40"/>
  <c r="AE35" i="40" s="1"/>
  <c r="AF29" i="40"/>
  <c r="AF35" i="40" s="1"/>
  <c r="AG29" i="40"/>
  <c r="AG35" i="40" s="1"/>
  <c r="AH29" i="40"/>
  <c r="AH35" i="40" s="1"/>
  <c r="AI29" i="40"/>
  <c r="AI35" i="40" s="1"/>
  <c r="AJ29" i="40"/>
  <c r="AJ35" i="40" s="1"/>
  <c r="AK29" i="40"/>
  <c r="AK35" i="40" s="1"/>
  <c r="AN29" i="40"/>
  <c r="AO29" i="40"/>
  <c r="AP29" i="40"/>
  <c r="AP35" i="40" s="1"/>
  <c r="AS29" i="40"/>
  <c r="AS35" i="40" s="1"/>
  <c r="AT29" i="40"/>
  <c r="AT35" i="40" s="1"/>
  <c r="AV29" i="40"/>
  <c r="AV35" i="40" s="1"/>
  <c r="AX29" i="40"/>
  <c r="AX35" i="40" s="1"/>
  <c r="AY29" i="40"/>
  <c r="AY35" i="40" s="1"/>
  <c r="AZ29" i="40"/>
  <c r="AZ35" i="40" s="1"/>
  <c r="BA29" i="40"/>
  <c r="BD29" i="40"/>
  <c r="BD35" i="40" s="1"/>
  <c r="I33" i="40" l="1"/>
  <c r="N35" i="40"/>
  <c r="AN35" i="40"/>
  <c r="Y35" i="40"/>
  <c r="U35" i="40"/>
  <c r="Q35" i="40"/>
  <c r="G33" i="40"/>
  <c r="BA35" i="40"/>
  <c r="AO35" i="40"/>
  <c r="K33" i="40"/>
  <c r="P33" i="40"/>
  <c r="AL33" i="40" s="1"/>
  <c r="L33" i="40"/>
  <c r="BC108" i="20"/>
  <c r="BB108" i="20"/>
  <c r="AW108" i="20"/>
  <c r="AU108" i="20"/>
  <c r="AQ108" i="20"/>
  <c r="O108" i="20"/>
  <c r="H108" i="20"/>
  <c r="Z108" i="20" s="1"/>
  <c r="BC49" i="20"/>
  <c r="BB49" i="20"/>
  <c r="AW49" i="20"/>
  <c r="AU49" i="20"/>
  <c r="AQ49" i="20"/>
  <c r="O49" i="20"/>
  <c r="H49" i="20"/>
  <c r="BC70" i="20"/>
  <c r="BB70" i="20"/>
  <c r="AW70" i="20"/>
  <c r="AU70" i="20"/>
  <c r="AQ70" i="20"/>
  <c r="O70" i="20"/>
  <c r="H70" i="20"/>
  <c r="E22" i="57"/>
  <c r="E18" i="57"/>
  <c r="BE25" i="57"/>
  <c r="BF25" i="57"/>
  <c r="BC24" i="57"/>
  <c r="BB24" i="57"/>
  <c r="AW24" i="57"/>
  <c r="AU24" i="57"/>
  <c r="AQ24" i="57"/>
  <c r="O24" i="57"/>
  <c r="H24" i="57"/>
  <c r="Z24" i="57" s="1"/>
  <c r="BC11" i="115"/>
  <c r="BB11" i="115"/>
  <c r="AW11" i="115"/>
  <c r="AU11" i="115"/>
  <c r="AQ11" i="115"/>
  <c r="O11" i="115"/>
  <c r="H11" i="115"/>
  <c r="Z11" i="115" s="1"/>
  <c r="N22" i="57"/>
  <c r="Q22" i="57"/>
  <c r="R22" i="57"/>
  <c r="S22" i="57"/>
  <c r="T22" i="57"/>
  <c r="U22" i="57"/>
  <c r="V22" i="57"/>
  <c r="W22" i="57"/>
  <c r="X22" i="57"/>
  <c r="Y22" i="57"/>
  <c r="AA22" i="57"/>
  <c r="AB22" i="57"/>
  <c r="AC22" i="57"/>
  <c r="AD22" i="57"/>
  <c r="AE22" i="57"/>
  <c r="AF22" i="57"/>
  <c r="AG22" i="57"/>
  <c r="AH22" i="57"/>
  <c r="AI22" i="57"/>
  <c r="AJ22" i="57"/>
  <c r="AK22" i="57"/>
  <c r="AO22" i="57"/>
  <c r="AP22" i="57"/>
  <c r="AS22" i="57"/>
  <c r="AT22" i="57"/>
  <c r="AV22" i="57"/>
  <c r="AX22" i="57"/>
  <c r="AY22" i="57"/>
  <c r="AZ22" i="57"/>
  <c r="BA22" i="57"/>
  <c r="BD22" i="57"/>
  <c r="N18" i="57"/>
  <c r="Q18" i="57"/>
  <c r="R18" i="57"/>
  <c r="S18" i="57"/>
  <c r="T18" i="57"/>
  <c r="U18" i="57"/>
  <c r="V18" i="57"/>
  <c r="W18" i="57"/>
  <c r="X18" i="57"/>
  <c r="Y18" i="57"/>
  <c r="AA18" i="57"/>
  <c r="AB18" i="57"/>
  <c r="AC18" i="57"/>
  <c r="AD18" i="57"/>
  <c r="AE18" i="57"/>
  <c r="AF18" i="57"/>
  <c r="AG18" i="57"/>
  <c r="AH18" i="57"/>
  <c r="AI18" i="57"/>
  <c r="AJ18" i="57"/>
  <c r="AK18" i="57"/>
  <c r="AO18" i="57"/>
  <c r="AP18" i="57"/>
  <c r="AS18" i="57"/>
  <c r="AT18" i="57"/>
  <c r="AV18" i="57"/>
  <c r="AX18" i="57"/>
  <c r="AY18" i="57"/>
  <c r="AZ18" i="57"/>
  <c r="BA18" i="57"/>
  <c r="BD18" i="57"/>
  <c r="N13" i="57"/>
  <c r="Q13" i="57"/>
  <c r="R13" i="57"/>
  <c r="S13" i="57"/>
  <c r="T13" i="57"/>
  <c r="U13" i="57"/>
  <c r="V13" i="57"/>
  <c r="W13" i="57"/>
  <c r="X13" i="57"/>
  <c r="Y13" i="57"/>
  <c r="AA13" i="57"/>
  <c r="AB13" i="57"/>
  <c r="AC13" i="57"/>
  <c r="AD13" i="57"/>
  <c r="AE13" i="57"/>
  <c r="AF13" i="57"/>
  <c r="AG13" i="57"/>
  <c r="AH13" i="57"/>
  <c r="AI13" i="57"/>
  <c r="AJ13" i="57"/>
  <c r="AK13" i="57"/>
  <c r="AN13" i="57"/>
  <c r="AO13" i="57"/>
  <c r="AP13" i="57"/>
  <c r="AS13" i="57"/>
  <c r="AT13" i="57"/>
  <c r="AV13" i="57"/>
  <c r="AX13" i="57"/>
  <c r="AY13" i="57"/>
  <c r="AZ13" i="57"/>
  <c r="BA13" i="57"/>
  <c r="BD13" i="57"/>
  <c r="BA25" i="57" l="1"/>
  <c r="AV25" i="57"/>
  <c r="AO25" i="57"/>
  <c r="AI25" i="57"/>
  <c r="AE25" i="57"/>
  <c r="AA25" i="57"/>
  <c r="V25" i="57"/>
  <c r="R25" i="57"/>
  <c r="AZ25" i="57"/>
  <c r="AT25" i="57"/>
  <c r="AH25" i="57"/>
  <c r="AD25" i="57"/>
  <c r="Y25" i="57"/>
  <c r="U25" i="57"/>
  <c r="Q25" i="57"/>
  <c r="AX161" i="20"/>
  <c r="AP161" i="20"/>
  <c r="AJ161" i="20"/>
  <c r="AF161" i="20"/>
  <c r="AB161" i="20"/>
  <c r="W161" i="20"/>
  <c r="S161" i="20"/>
  <c r="BA161" i="20"/>
  <c r="AV161" i="20"/>
  <c r="AO161" i="20"/>
  <c r="AI161" i="20"/>
  <c r="AE161" i="20"/>
  <c r="AA161" i="20"/>
  <c r="V161" i="20"/>
  <c r="R161" i="20"/>
  <c r="T25" i="57"/>
  <c r="AY25" i="57"/>
  <c r="AS25" i="57"/>
  <c r="AK25" i="57"/>
  <c r="AG25" i="57"/>
  <c r="AC25" i="57"/>
  <c r="X25" i="57"/>
  <c r="N25" i="57"/>
  <c r="AJ25" i="57"/>
  <c r="AF25" i="57"/>
  <c r="AB25" i="57"/>
  <c r="W25" i="57"/>
  <c r="S25" i="57"/>
  <c r="BD161" i="20"/>
  <c r="BD25" i="57"/>
  <c r="M33" i="40"/>
  <c r="AM33" i="40" s="1"/>
  <c r="AR33" i="40" s="1"/>
  <c r="AX25" i="57"/>
  <c r="AP25" i="57"/>
  <c r="AZ161" i="20"/>
  <c r="AT161" i="20"/>
  <c r="AN161" i="20"/>
  <c r="AH161" i="20"/>
  <c r="AD161" i="20"/>
  <c r="Y161" i="20"/>
  <c r="U161" i="20"/>
  <c r="Q161" i="20"/>
  <c r="Z70" i="20"/>
  <c r="Z49" i="20"/>
  <c r="AY161" i="20"/>
  <c r="AS161" i="20"/>
  <c r="AK161" i="20"/>
  <c r="AG161" i="20"/>
  <c r="AC161" i="20"/>
  <c r="X161" i="20"/>
  <c r="T161" i="20"/>
  <c r="N161" i="20"/>
  <c r="I108" i="20"/>
  <c r="F108" i="20"/>
  <c r="J108" i="20"/>
  <c r="G108" i="20"/>
  <c r="K108" i="20"/>
  <c r="P108" i="20"/>
  <c r="AL108" i="20" s="1"/>
  <c r="L108" i="20"/>
  <c r="P49" i="20"/>
  <c r="F49" i="20"/>
  <c r="K49" i="20"/>
  <c r="G49" i="20"/>
  <c r="J49" i="20"/>
  <c r="I49" i="20"/>
  <c r="L49" i="20"/>
  <c r="I70" i="20"/>
  <c r="J70" i="20"/>
  <c r="F70" i="20"/>
  <c r="G70" i="20"/>
  <c r="K70" i="20"/>
  <c r="P70" i="20"/>
  <c r="L70" i="20"/>
  <c r="I24" i="57"/>
  <c r="F24" i="57"/>
  <c r="J24" i="57"/>
  <c r="G24" i="57"/>
  <c r="K24" i="57"/>
  <c r="P24" i="57"/>
  <c r="AL24" i="57" s="1"/>
  <c r="L24" i="57"/>
  <c r="F11" i="115"/>
  <c r="I11" i="115"/>
  <c r="J11" i="115"/>
  <c r="G11" i="115"/>
  <c r="K11" i="115"/>
  <c r="P11" i="115"/>
  <c r="AL11" i="115" s="1"/>
  <c r="L11" i="115"/>
  <c r="BC32" i="40"/>
  <c r="BB32" i="40"/>
  <c r="AW32" i="40"/>
  <c r="AU32" i="40"/>
  <c r="AQ32" i="40"/>
  <c r="O32" i="40"/>
  <c r="H32" i="40"/>
  <c r="Z32" i="40" s="1"/>
  <c r="AL70" i="20" l="1"/>
  <c r="AL49" i="20"/>
  <c r="M108" i="20"/>
  <c r="AM108" i="20" s="1"/>
  <c r="AR108" i="20" s="1"/>
  <c r="M49" i="20"/>
  <c r="M70" i="20"/>
  <c r="M24" i="57"/>
  <c r="AM24" i="57" s="1"/>
  <c r="AR24" i="57" s="1"/>
  <c r="M11" i="115"/>
  <c r="AM11" i="115" s="1"/>
  <c r="AR11" i="115" s="1"/>
  <c r="I32" i="40"/>
  <c r="J32" i="40"/>
  <c r="F32" i="40"/>
  <c r="G32" i="40"/>
  <c r="K32" i="40"/>
  <c r="P32" i="40"/>
  <c r="AL32" i="40" s="1"/>
  <c r="L32" i="40"/>
  <c r="BE29" i="40"/>
  <c r="BE34" i="40" s="1"/>
  <c r="AM70" i="20" l="1"/>
  <c r="AM49" i="20"/>
  <c r="M32" i="40"/>
  <c r="AM32" i="40" s="1"/>
  <c r="AR32" i="40" s="1"/>
  <c r="AR70" i="20" l="1"/>
  <c r="AR49" i="20"/>
  <c r="BC10" i="115"/>
  <c r="BB10" i="115"/>
  <c r="AW10" i="115"/>
  <c r="AU10" i="115"/>
  <c r="AQ10" i="115"/>
  <c r="O10" i="115"/>
  <c r="H10" i="115"/>
  <c r="G10" i="115" s="1"/>
  <c r="J10" i="115" l="1"/>
  <c r="P10" i="115"/>
  <c r="I10" i="115"/>
  <c r="F10" i="115"/>
  <c r="K10" i="115"/>
  <c r="Z10" i="115"/>
  <c r="AL10" i="115" s="1"/>
  <c r="L10" i="115"/>
  <c r="BC17" i="57"/>
  <c r="BB17" i="57"/>
  <c r="AW17" i="57"/>
  <c r="AU17" i="57"/>
  <c r="AQ17" i="57"/>
  <c r="O17" i="57"/>
  <c r="H17" i="57"/>
  <c r="P17" i="57" s="1"/>
  <c r="M10" i="115" l="1"/>
  <c r="AM10" i="115" s="1"/>
  <c r="AR10" i="115" s="1"/>
  <c r="K17" i="57"/>
  <c r="F17" i="57"/>
  <c r="Z17" i="57"/>
  <c r="AL17" i="57" s="1"/>
  <c r="G17" i="57"/>
  <c r="J17" i="57"/>
  <c r="L17" i="57"/>
  <c r="I17" i="57"/>
  <c r="BC20" i="20"/>
  <c r="BB20" i="20"/>
  <c r="BB10" i="20"/>
  <c r="M17" i="57" l="1"/>
  <c r="AM17" i="57" s="1"/>
  <c r="AR17" i="57" s="1"/>
  <c r="BC12" i="115"/>
  <c r="BB12" i="115"/>
  <c r="AW12" i="115"/>
  <c r="AU12" i="115"/>
  <c r="AQ12" i="115"/>
  <c r="O12" i="115"/>
  <c r="H12" i="115"/>
  <c r="F12" i="115" l="1"/>
  <c r="G12" i="115"/>
  <c r="P12" i="115"/>
  <c r="I12" i="115"/>
  <c r="Z12" i="115"/>
  <c r="J12" i="115"/>
  <c r="K12" i="115"/>
  <c r="L12" i="115"/>
  <c r="BC153" i="20"/>
  <c r="BB153" i="20"/>
  <c r="AW153" i="20"/>
  <c r="AU153" i="20"/>
  <c r="AQ153" i="20"/>
  <c r="O153" i="20"/>
  <c r="H153" i="20"/>
  <c r="Z153" i="20" s="1"/>
  <c r="BC132" i="20"/>
  <c r="BB132" i="20"/>
  <c r="AW132" i="20"/>
  <c r="AU132" i="20"/>
  <c r="AQ132" i="20"/>
  <c r="O132" i="20"/>
  <c r="H132" i="20"/>
  <c r="Z132" i="20" s="1"/>
  <c r="BC112" i="20"/>
  <c r="BB112" i="20"/>
  <c r="AW112" i="20"/>
  <c r="AU112" i="20"/>
  <c r="AQ112" i="20"/>
  <c r="O112" i="20"/>
  <c r="H112" i="20"/>
  <c r="Z112" i="20" s="1"/>
  <c r="BC110" i="20"/>
  <c r="BB110" i="20"/>
  <c r="AW110" i="20"/>
  <c r="AU110" i="20"/>
  <c r="AQ110" i="20"/>
  <c r="O110" i="20"/>
  <c r="H110" i="20"/>
  <c r="F110" i="20" s="1"/>
  <c r="BC91" i="20"/>
  <c r="BB91" i="20"/>
  <c r="AW91" i="20"/>
  <c r="AU91" i="20"/>
  <c r="AQ91" i="20"/>
  <c r="O91" i="20"/>
  <c r="H91" i="20"/>
  <c r="Z91" i="20" s="1"/>
  <c r="BC83" i="20"/>
  <c r="BB83" i="20"/>
  <c r="AW83" i="20"/>
  <c r="AU83" i="20"/>
  <c r="AQ83" i="20"/>
  <c r="O83" i="20"/>
  <c r="H83" i="20"/>
  <c r="M12" i="115" l="1"/>
  <c r="AL12" i="115"/>
  <c r="I153" i="20"/>
  <c r="P153" i="20"/>
  <c r="AL153" i="20" s="1"/>
  <c r="G153" i="20"/>
  <c r="J153" i="20"/>
  <c r="K153" i="20"/>
  <c r="L153" i="20"/>
  <c r="F153" i="20"/>
  <c r="J132" i="20"/>
  <c r="I132" i="20"/>
  <c r="K132" i="20"/>
  <c r="L132" i="20"/>
  <c r="F132" i="20"/>
  <c r="G132" i="20"/>
  <c r="P132" i="20"/>
  <c r="I112" i="20"/>
  <c r="P110" i="20"/>
  <c r="J112" i="20"/>
  <c r="K112" i="20"/>
  <c r="L112" i="20"/>
  <c r="G110" i="20"/>
  <c r="F112" i="20"/>
  <c r="G112" i="20"/>
  <c r="P112" i="20"/>
  <c r="Z110" i="20"/>
  <c r="I110" i="20"/>
  <c r="J110" i="20"/>
  <c r="K110" i="20"/>
  <c r="L110" i="20"/>
  <c r="L83" i="20"/>
  <c r="K91" i="20"/>
  <c r="I91" i="20"/>
  <c r="J91" i="20"/>
  <c r="L91" i="20"/>
  <c r="F91" i="20"/>
  <c r="G91" i="20"/>
  <c r="P91" i="20"/>
  <c r="I83" i="20"/>
  <c r="J83" i="20"/>
  <c r="F83" i="20"/>
  <c r="G83" i="20"/>
  <c r="P83" i="20"/>
  <c r="Z83" i="20"/>
  <c r="K83" i="20"/>
  <c r="AM12" i="115" l="1"/>
  <c r="AR12" i="115" s="1"/>
  <c r="AL132" i="20"/>
  <c r="AL91" i="20"/>
  <c r="AL112" i="20"/>
  <c r="AL110" i="20"/>
  <c r="M153" i="20"/>
  <c r="AM153" i="20" s="1"/>
  <c r="AR153" i="20" s="1"/>
  <c r="M132" i="20"/>
  <c r="M110" i="20"/>
  <c r="M112" i="20"/>
  <c r="AL83" i="20"/>
  <c r="M91" i="20"/>
  <c r="M83" i="20"/>
  <c r="AM112" i="20" l="1"/>
  <c r="AM132" i="20"/>
  <c r="AM91" i="20"/>
  <c r="AM110" i="20"/>
  <c r="AR110" i="20" s="1"/>
  <c r="AM83" i="20"/>
  <c r="AR83" i="20" s="1"/>
  <c r="AR91" i="20" l="1"/>
  <c r="AR132" i="20"/>
  <c r="AR112" i="20"/>
  <c r="BC9" i="115" l="1"/>
  <c r="BB9" i="115"/>
  <c r="BB13" i="115" s="1"/>
  <c r="AW9" i="115"/>
  <c r="AU9" i="115"/>
  <c r="AQ9" i="115"/>
  <c r="O9" i="115"/>
  <c r="O13" i="115" s="1"/>
  <c r="H9" i="115"/>
  <c r="G9" i="115" s="1"/>
  <c r="BF13" i="115"/>
  <c r="BE13" i="115"/>
  <c r="BD13" i="115"/>
  <c r="BA13" i="115"/>
  <c r="AZ13" i="115"/>
  <c r="AY13" i="115"/>
  <c r="AX13" i="115"/>
  <c r="AV13" i="115"/>
  <c r="AT13" i="115"/>
  <c r="AS13" i="115"/>
  <c r="AP13" i="115"/>
  <c r="AO13" i="115"/>
  <c r="AN13" i="115"/>
  <c r="AK13" i="115"/>
  <c r="AJ13" i="115"/>
  <c r="AI13" i="115"/>
  <c r="AH13" i="115"/>
  <c r="AG13" i="115"/>
  <c r="AF13" i="115"/>
  <c r="AE13" i="115"/>
  <c r="AD13" i="115"/>
  <c r="AC13" i="115"/>
  <c r="AB13" i="115"/>
  <c r="AA13" i="115"/>
  <c r="Y13" i="115"/>
  <c r="X13" i="115"/>
  <c r="W13" i="115"/>
  <c r="V13" i="115"/>
  <c r="U13" i="115"/>
  <c r="T13" i="115"/>
  <c r="S13" i="115"/>
  <c r="R13" i="115"/>
  <c r="Q13" i="115"/>
  <c r="N13" i="115"/>
  <c r="E13" i="115"/>
  <c r="L9" i="115" l="1"/>
  <c r="I9" i="115"/>
  <c r="P9" i="115"/>
  <c r="AQ13" i="115"/>
  <c r="J9" i="115"/>
  <c r="J13" i="115" s="1"/>
  <c r="Z9" i="115"/>
  <c r="BC13" i="115"/>
  <c r="K9" i="115"/>
  <c r="K13" i="115" s="1"/>
  <c r="AU13" i="115"/>
  <c r="G13" i="115"/>
  <c r="AW13" i="115"/>
  <c r="F9" i="115"/>
  <c r="F13" i="115" s="1"/>
  <c r="H13" i="115"/>
  <c r="AL9" i="115" l="1"/>
  <c r="M9" i="115"/>
  <c r="L13" i="115"/>
  <c r="P13" i="115"/>
  <c r="Z13" i="115"/>
  <c r="I13" i="115"/>
  <c r="AT8" i="57"/>
  <c r="AS8" i="57"/>
  <c r="AT8" i="40"/>
  <c r="AS8" i="40"/>
  <c r="AT8" i="20"/>
  <c r="AS8" i="20"/>
  <c r="AM9" i="115" l="1"/>
  <c r="AR9" i="115" s="1"/>
  <c r="AL13" i="115"/>
  <c r="M13" i="115"/>
  <c r="BC21" i="57"/>
  <c r="BB21" i="57"/>
  <c r="AW21" i="57"/>
  <c r="AU21" i="57"/>
  <c r="AQ21" i="57"/>
  <c r="O21" i="57"/>
  <c r="H21" i="57"/>
  <c r="P21" i="57" s="1"/>
  <c r="BC20" i="57"/>
  <c r="BB20" i="57"/>
  <c r="AW20" i="57"/>
  <c r="AU20" i="57"/>
  <c r="AQ20" i="57"/>
  <c r="O20" i="57"/>
  <c r="H20" i="57"/>
  <c r="BC10" i="57"/>
  <c r="BB10" i="57"/>
  <c r="AW10" i="57"/>
  <c r="AU10" i="57"/>
  <c r="AQ10" i="57"/>
  <c r="O10" i="57"/>
  <c r="H10" i="57"/>
  <c r="K10" i="57" s="1"/>
  <c r="AW22" i="57" l="1"/>
  <c r="I20" i="57"/>
  <c r="H22" i="57"/>
  <c r="O22" i="57"/>
  <c r="BB22" i="57"/>
  <c r="AQ22" i="57"/>
  <c r="BC22" i="57"/>
  <c r="AU22" i="57"/>
  <c r="AM13" i="115"/>
  <c r="AR13" i="115"/>
  <c r="K20" i="57"/>
  <c r="L20" i="57"/>
  <c r="J20" i="57"/>
  <c r="Z21" i="57"/>
  <c r="AL21" i="57" s="1"/>
  <c r="F20" i="57"/>
  <c r="K21" i="57"/>
  <c r="I21" i="57"/>
  <c r="G20" i="57"/>
  <c r="P20" i="57"/>
  <c r="P22" i="57" s="1"/>
  <c r="L21" i="57"/>
  <c r="J21" i="57"/>
  <c r="Z20" i="57"/>
  <c r="Z22" i="57" s="1"/>
  <c r="F21" i="57"/>
  <c r="G21" i="57"/>
  <c r="F10" i="57"/>
  <c r="L10" i="57"/>
  <c r="G10" i="57"/>
  <c r="I10" i="57"/>
  <c r="P10" i="57"/>
  <c r="J10" i="57"/>
  <c r="Z10" i="57"/>
  <c r="L22" i="57" l="1"/>
  <c r="F22" i="57"/>
  <c r="K22" i="57"/>
  <c r="J22" i="57"/>
  <c r="G22" i="57"/>
  <c r="I22" i="57"/>
  <c r="M20" i="57"/>
  <c r="M22" i="57" s="1"/>
  <c r="AL10" i="57"/>
  <c r="M21" i="57"/>
  <c r="AM21" i="57" s="1"/>
  <c r="AR21" i="57" s="1"/>
  <c r="AL20" i="57"/>
  <c r="AL22" i="57" s="1"/>
  <c r="M10" i="57"/>
  <c r="AM20" i="57" l="1"/>
  <c r="AM10" i="57"/>
  <c r="AR10" i="57" s="1"/>
  <c r="BC28" i="40"/>
  <c r="BB28" i="40"/>
  <c r="AW28" i="40"/>
  <c r="AU28" i="40"/>
  <c r="AQ28" i="40"/>
  <c r="O28" i="40"/>
  <c r="H28" i="40"/>
  <c r="BC27" i="40"/>
  <c r="BB27" i="40"/>
  <c r="AW27" i="40"/>
  <c r="AU27" i="40"/>
  <c r="AQ27" i="40"/>
  <c r="O27" i="40"/>
  <c r="H27" i="40"/>
  <c r="BC26" i="40"/>
  <c r="BB26" i="40"/>
  <c r="AW26" i="40"/>
  <c r="AU26" i="40"/>
  <c r="AQ26" i="40"/>
  <c r="O26" i="40"/>
  <c r="H26" i="40"/>
  <c r="F26" i="40" s="1"/>
  <c r="AR20" i="57" l="1"/>
  <c r="AR22" i="57" s="1"/>
  <c r="AM22" i="57"/>
  <c r="G28" i="40"/>
  <c r="K28" i="40"/>
  <c r="L28" i="40"/>
  <c r="Z27" i="40"/>
  <c r="L27" i="40"/>
  <c r="F27" i="40"/>
  <c r="K26" i="40"/>
  <c r="K27" i="40"/>
  <c r="F28" i="40"/>
  <c r="J28" i="40"/>
  <c r="G26" i="40"/>
  <c r="P28" i="40"/>
  <c r="Z28" i="40"/>
  <c r="L26" i="40"/>
  <c r="G27" i="40"/>
  <c r="I26" i="40"/>
  <c r="P26" i="40"/>
  <c r="J26" i="40"/>
  <c r="Z26" i="40"/>
  <c r="I27" i="40"/>
  <c r="P27" i="40"/>
  <c r="J27" i="40"/>
  <c r="I28" i="40"/>
  <c r="AL27" i="40" l="1"/>
  <c r="AL28" i="40"/>
  <c r="AL26" i="40"/>
  <c r="M26" i="40"/>
  <c r="M28" i="40"/>
  <c r="M27" i="40"/>
  <c r="AM27" i="40" l="1"/>
  <c r="AM28" i="40"/>
  <c r="AM26" i="40"/>
  <c r="BC27" i="82"/>
  <c r="BB27" i="82"/>
  <c r="AW27" i="82"/>
  <c r="AU27" i="82"/>
  <c r="AQ27" i="82"/>
  <c r="O27" i="82"/>
  <c r="H27" i="82"/>
  <c r="Z27" i="82" s="1"/>
  <c r="BC26" i="82"/>
  <c r="BB26" i="82"/>
  <c r="AW26" i="82"/>
  <c r="AU26" i="82"/>
  <c r="AQ26" i="82"/>
  <c r="O26" i="82"/>
  <c r="H26" i="82"/>
  <c r="Z26" i="82" s="1"/>
  <c r="BC25" i="82"/>
  <c r="BB25" i="82"/>
  <c r="AW25" i="82"/>
  <c r="AU25" i="82"/>
  <c r="AQ25" i="82"/>
  <c r="O25" i="82"/>
  <c r="H25" i="82"/>
  <c r="Z25" i="82" s="1"/>
  <c r="AR28" i="40" l="1"/>
  <c r="AR27" i="40"/>
  <c r="AR26" i="40"/>
  <c r="I27" i="82"/>
  <c r="J27" i="82"/>
  <c r="F27" i="82"/>
  <c r="J26" i="82"/>
  <c r="G27" i="82"/>
  <c r="K27" i="82"/>
  <c r="P27" i="82"/>
  <c r="AL27" i="82" s="1"/>
  <c r="I26" i="82"/>
  <c r="F26" i="82"/>
  <c r="L27" i="82"/>
  <c r="I25" i="82"/>
  <c r="G26" i="82"/>
  <c r="K26" i="82"/>
  <c r="P26" i="82"/>
  <c r="AL26" i="82" s="1"/>
  <c r="J25" i="82"/>
  <c r="F25" i="82"/>
  <c r="L26" i="82"/>
  <c r="G25" i="82"/>
  <c r="K25" i="82"/>
  <c r="P25" i="82"/>
  <c r="AL25" i="82" s="1"/>
  <c r="L25" i="82"/>
  <c r="BC24" i="82"/>
  <c r="BB24" i="82"/>
  <c r="AW24" i="82"/>
  <c r="AU24" i="82"/>
  <c r="AQ24" i="82"/>
  <c r="O24" i="82"/>
  <c r="H24" i="82"/>
  <c r="Z24" i="82" s="1"/>
  <c r="M27" i="82" l="1"/>
  <c r="AM27" i="82" s="1"/>
  <c r="AR27" i="82" s="1"/>
  <c r="M26" i="82"/>
  <c r="AM26" i="82" s="1"/>
  <c r="AR26" i="82" s="1"/>
  <c r="I24" i="82"/>
  <c r="J24" i="82"/>
  <c r="M25" i="82"/>
  <c r="AM25" i="82" s="1"/>
  <c r="AR25" i="82" s="1"/>
  <c r="F24" i="82"/>
  <c r="G24" i="82"/>
  <c r="K24" i="82"/>
  <c r="P24" i="82"/>
  <c r="AL24" i="82" s="1"/>
  <c r="L24" i="82"/>
  <c r="M24" i="82" l="1"/>
  <c r="AM24" i="82" s="1"/>
  <c r="AR24" i="82" s="1"/>
  <c r="BC99" i="20"/>
  <c r="BB99" i="20"/>
  <c r="AW99" i="20"/>
  <c r="AU99" i="20"/>
  <c r="AQ99" i="20"/>
  <c r="O99" i="20"/>
  <c r="H99" i="20"/>
  <c r="Z99" i="20" s="1"/>
  <c r="BC23" i="82"/>
  <c r="BB23" i="82"/>
  <c r="AW23" i="82"/>
  <c r="AU23" i="82"/>
  <c r="AQ23" i="82"/>
  <c r="O23" i="82"/>
  <c r="H23" i="82"/>
  <c r="Z23" i="82" s="1"/>
  <c r="BC22" i="82"/>
  <c r="BB22" i="82"/>
  <c r="AW22" i="82"/>
  <c r="AU22" i="82"/>
  <c r="AQ22" i="82"/>
  <c r="O22" i="82"/>
  <c r="H22" i="82"/>
  <c r="Z22" i="82" s="1"/>
  <c r="BC19" i="82"/>
  <c r="BB19" i="82"/>
  <c r="AW19" i="82"/>
  <c r="AU19" i="82"/>
  <c r="AQ19" i="82"/>
  <c r="O19" i="82"/>
  <c r="H19" i="82"/>
  <c r="Z19" i="82" s="1"/>
  <c r="BC21" i="82"/>
  <c r="BB21" i="82"/>
  <c r="AW21" i="82"/>
  <c r="AU21" i="82"/>
  <c r="AQ21" i="82"/>
  <c r="O21" i="82"/>
  <c r="H21" i="82"/>
  <c r="Z21" i="82" s="1"/>
  <c r="I23" i="82" l="1"/>
  <c r="J23" i="82"/>
  <c r="F23" i="82"/>
  <c r="K99" i="20"/>
  <c r="G99" i="20"/>
  <c r="I99" i="20"/>
  <c r="P99" i="20"/>
  <c r="AL99" i="20" s="1"/>
  <c r="F99" i="20"/>
  <c r="J99" i="20"/>
  <c r="L99" i="20"/>
  <c r="I22" i="82"/>
  <c r="J22" i="82"/>
  <c r="G23" i="82"/>
  <c r="K23" i="82"/>
  <c r="P23" i="82"/>
  <c r="AL23" i="82" s="1"/>
  <c r="F19" i="82"/>
  <c r="F22" i="82"/>
  <c r="L23" i="82"/>
  <c r="I19" i="82"/>
  <c r="G22" i="82"/>
  <c r="K22" i="82"/>
  <c r="P22" i="82"/>
  <c r="AL22" i="82" s="1"/>
  <c r="L22" i="82"/>
  <c r="J19" i="82"/>
  <c r="G19" i="82"/>
  <c r="K19" i="82"/>
  <c r="P19" i="82"/>
  <c r="AL19" i="82" s="1"/>
  <c r="L19" i="82"/>
  <c r="I21" i="82"/>
  <c r="J21" i="82"/>
  <c r="F21" i="82"/>
  <c r="G21" i="82"/>
  <c r="K21" i="82"/>
  <c r="P21" i="82"/>
  <c r="AL21" i="82" s="1"/>
  <c r="L21" i="82"/>
  <c r="M99" i="20" l="1"/>
  <c r="AM99" i="20" s="1"/>
  <c r="AR99" i="20" s="1"/>
  <c r="M23" i="82"/>
  <c r="AM23" i="82" s="1"/>
  <c r="AR23" i="82" s="1"/>
  <c r="M22" i="82"/>
  <c r="AM22" i="82" s="1"/>
  <c r="AR22" i="82" s="1"/>
  <c r="M19" i="82"/>
  <c r="AM19" i="82" s="1"/>
  <c r="AR19" i="82" s="1"/>
  <c r="M21" i="82"/>
  <c r="AM21" i="82" s="1"/>
  <c r="AR21" i="82" s="1"/>
  <c r="BC20" i="82" l="1"/>
  <c r="BB20" i="82"/>
  <c r="AW20" i="82"/>
  <c r="AU20" i="82"/>
  <c r="AQ20" i="82"/>
  <c r="O20" i="82"/>
  <c r="H20" i="82"/>
  <c r="BC18" i="82"/>
  <c r="BB18" i="82"/>
  <c r="AW18" i="82"/>
  <c r="AU18" i="82"/>
  <c r="AQ18" i="82"/>
  <c r="O18" i="82"/>
  <c r="H18" i="82"/>
  <c r="Z18" i="82" s="1"/>
  <c r="BC17" i="82"/>
  <c r="BB17" i="82"/>
  <c r="AW17" i="82"/>
  <c r="AU17" i="82"/>
  <c r="AQ17" i="82"/>
  <c r="O17" i="82"/>
  <c r="H17" i="82"/>
  <c r="Z17" i="82" s="1"/>
  <c r="Z20" i="82" l="1"/>
  <c r="I20" i="82"/>
  <c r="K20" i="82"/>
  <c r="F18" i="82"/>
  <c r="G18" i="82"/>
  <c r="P20" i="82"/>
  <c r="AL20" i="82" s="1"/>
  <c r="J18" i="82"/>
  <c r="F20" i="82"/>
  <c r="K18" i="82"/>
  <c r="G20" i="82"/>
  <c r="J20" i="82"/>
  <c r="I18" i="82"/>
  <c r="P18" i="82"/>
  <c r="AL18" i="82" s="1"/>
  <c r="L20" i="82"/>
  <c r="L18" i="82"/>
  <c r="I17" i="82"/>
  <c r="F17" i="82"/>
  <c r="J17" i="82"/>
  <c r="G17" i="82"/>
  <c r="P17" i="82"/>
  <c r="AL17" i="82" s="1"/>
  <c r="BC16" i="82"/>
  <c r="BB16" i="82"/>
  <c r="AW16" i="82"/>
  <c r="AU16" i="82"/>
  <c r="AQ16" i="82"/>
  <c r="O16" i="82"/>
  <c r="H16" i="82"/>
  <c r="BC15" i="82"/>
  <c r="BB15" i="82"/>
  <c r="AW15" i="82"/>
  <c r="AU15" i="82"/>
  <c r="AQ15" i="82"/>
  <c r="O15" i="82"/>
  <c r="H15" i="82"/>
  <c r="Z15" i="82" s="1"/>
  <c r="BC14" i="82"/>
  <c r="BB14" i="82"/>
  <c r="AW14" i="82"/>
  <c r="AU14" i="82"/>
  <c r="AQ14" i="82"/>
  <c r="O14" i="82"/>
  <c r="H14" i="82"/>
  <c r="Z14" i="82" s="1"/>
  <c r="O16" i="57"/>
  <c r="O15" i="57"/>
  <c r="O11" i="57"/>
  <c r="O12" i="57"/>
  <c r="O31" i="40"/>
  <c r="O30" i="40"/>
  <c r="O22" i="40"/>
  <c r="O23" i="40"/>
  <c r="O24" i="40"/>
  <c r="O25" i="40"/>
  <c r="O17" i="40"/>
  <c r="O18" i="40"/>
  <c r="O19" i="40"/>
  <c r="O20" i="40"/>
  <c r="O21" i="40"/>
  <c r="O10" i="40"/>
  <c r="O11" i="40"/>
  <c r="O12" i="40"/>
  <c r="O13" i="40"/>
  <c r="O14" i="40"/>
  <c r="O15" i="40"/>
  <c r="O16" i="40"/>
  <c r="O9" i="40"/>
  <c r="O149" i="20"/>
  <c r="O150" i="20"/>
  <c r="O151" i="20"/>
  <c r="O152" i="20"/>
  <c r="O154" i="20"/>
  <c r="O156" i="20"/>
  <c r="O157" i="20"/>
  <c r="O160" i="20" s="1"/>
  <c r="O148" i="20"/>
  <c r="O146" i="20"/>
  <c r="O147" i="20"/>
  <c r="O141" i="20"/>
  <c r="O142" i="20"/>
  <c r="O143" i="20"/>
  <c r="O144" i="20"/>
  <c r="O145" i="20"/>
  <c r="O135" i="20"/>
  <c r="O136" i="20"/>
  <c r="O137" i="20"/>
  <c r="O138" i="20"/>
  <c r="O139" i="20"/>
  <c r="O140" i="20"/>
  <c r="O133" i="20"/>
  <c r="O128" i="20"/>
  <c r="O129" i="20"/>
  <c r="O130" i="20"/>
  <c r="O131" i="20"/>
  <c r="O125" i="20"/>
  <c r="O126" i="20"/>
  <c r="O127" i="20"/>
  <c r="O118" i="20"/>
  <c r="O119" i="20"/>
  <c r="O120" i="20"/>
  <c r="O121" i="20"/>
  <c r="O122" i="20"/>
  <c r="O123" i="20"/>
  <c r="O124" i="20"/>
  <c r="O111" i="20"/>
  <c r="O114" i="20"/>
  <c r="O115" i="20"/>
  <c r="O116" i="20"/>
  <c r="O117" i="20"/>
  <c r="O106" i="20"/>
  <c r="O107" i="20"/>
  <c r="O109" i="20"/>
  <c r="O101" i="20"/>
  <c r="O102" i="20"/>
  <c r="O103" i="20"/>
  <c r="O104" i="20"/>
  <c r="O105" i="20"/>
  <c r="O97" i="20"/>
  <c r="O98" i="20"/>
  <c r="O100" i="20"/>
  <c r="O94" i="20"/>
  <c r="O95" i="20"/>
  <c r="O96" i="20"/>
  <c r="O87" i="20"/>
  <c r="O88" i="20"/>
  <c r="O89" i="20"/>
  <c r="O90" i="20"/>
  <c r="O86" i="20"/>
  <c r="O80" i="20"/>
  <c r="O81" i="20"/>
  <c r="O82" i="20"/>
  <c r="O84" i="20"/>
  <c r="O85" i="20"/>
  <c r="O75" i="20"/>
  <c r="O76" i="20"/>
  <c r="O77" i="20"/>
  <c r="O78" i="20"/>
  <c r="O79" i="20"/>
  <c r="O68" i="20"/>
  <c r="O69" i="20"/>
  <c r="O72" i="20"/>
  <c r="O73" i="20"/>
  <c r="O74" i="20"/>
  <c r="O67" i="20"/>
  <c r="O63" i="20"/>
  <c r="O64" i="20"/>
  <c r="O65" i="20"/>
  <c r="O66" i="20"/>
  <c r="O58" i="20"/>
  <c r="O59" i="20"/>
  <c r="O60" i="20"/>
  <c r="O61" i="20"/>
  <c r="O62" i="20"/>
  <c r="O55" i="20"/>
  <c r="O56" i="20"/>
  <c r="O57" i="20"/>
  <c r="O48" i="20"/>
  <c r="O51" i="20"/>
  <c r="O52" i="20"/>
  <c r="O53" i="20"/>
  <c r="O54" i="20"/>
  <c r="O42" i="20"/>
  <c r="O43" i="20"/>
  <c r="O44" i="20"/>
  <c r="O45" i="20"/>
  <c r="O46" i="20"/>
  <c r="O47" i="20"/>
  <c r="O37" i="20"/>
  <c r="O38" i="20"/>
  <c r="O39" i="20"/>
  <c r="O40" i="20"/>
  <c r="O41" i="20"/>
  <c r="O36" i="20"/>
  <c r="O33" i="20"/>
  <c r="O34" i="20"/>
  <c r="O35" i="20"/>
  <c r="O27" i="20"/>
  <c r="O28" i="20"/>
  <c r="O30" i="20"/>
  <c r="O31" i="20"/>
  <c r="O32" i="20"/>
  <c r="O24" i="20"/>
  <c r="O25" i="20"/>
  <c r="O26" i="20"/>
  <c r="O23" i="20"/>
  <c r="O16" i="20"/>
  <c r="O17" i="20"/>
  <c r="O18" i="20"/>
  <c r="O19" i="20"/>
  <c r="O20" i="20"/>
  <c r="O21" i="20"/>
  <c r="O22" i="20"/>
  <c r="O12" i="20"/>
  <c r="O13" i="20"/>
  <c r="O14" i="20"/>
  <c r="O15" i="20"/>
  <c r="O9" i="20"/>
  <c r="O10" i="20"/>
  <c r="O11" i="20"/>
  <c r="O134" i="20" l="1"/>
  <c r="O113" i="20"/>
  <c r="O92" i="20"/>
  <c r="O71" i="20"/>
  <c r="O50" i="20"/>
  <c r="O29" i="20"/>
  <c r="O34" i="40"/>
  <c r="O29" i="40"/>
  <c r="O18" i="57"/>
  <c r="O13" i="57"/>
  <c r="M18" i="82"/>
  <c r="AM18" i="82" s="1"/>
  <c r="AR18" i="82" s="1"/>
  <c r="Z16" i="82"/>
  <c r="I16" i="82"/>
  <c r="M20" i="82"/>
  <c r="AM20" i="82" s="1"/>
  <c r="AR20" i="82" s="1"/>
  <c r="J16" i="82"/>
  <c r="F16" i="82"/>
  <c r="M17" i="82"/>
  <c r="AM17" i="82" s="1"/>
  <c r="AR17" i="82" s="1"/>
  <c r="G14" i="82"/>
  <c r="F15" i="82"/>
  <c r="J14" i="82"/>
  <c r="F14" i="82"/>
  <c r="K14" i="82"/>
  <c r="I15" i="82"/>
  <c r="G16" i="82"/>
  <c r="K16" i="82"/>
  <c r="P16" i="82"/>
  <c r="J15" i="82"/>
  <c r="L16" i="82"/>
  <c r="G15" i="82"/>
  <c r="K15" i="82"/>
  <c r="P15" i="82"/>
  <c r="AL15" i="82" s="1"/>
  <c r="I14" i="82"/>
  <c r="P14" i="82"/>
  <c r="AL14" i="82" s="1"/>
  <c r="L15" i="82"/>
  <c r="L14" i="82"/>
  <c r="N28" i="82"/>
  <c r="O28" i="82"/>
  <c r="Q28" i="82"/>
  <c r="R28" i="82"/>
  <c r="S28" i="82"/>
  <c r="T28" i="82"/>
  <c r="U28" i="82"/>
  <c r="V28" i="82"/>
  <c r="W28" i="82"/>
  <c r="X28" i="82"/>
  <c r="Y28" i="82"/>
  <c r="AA28" i="82"/>
  <c r="AB28" i="82"/>
  <c r="AC28" i="82"/>
  <c r="AD28" i="82"/>
  <c r="AE28" i="82"/>
  <c r="AF28" i="82"/>
  <c r="AG28" i="82"/>
  <c r="AH28" i="82"/>
  <c r="AI28" i="82"/>
  <c r="AJ28" i="82"/>
  <c r="AK28" i="82"/>
  <c r="AN28" i="82"/>
  <c r="AO28" i="82"/>
  <c r="AP28" i="82"/>
  <c r="AS28" i="82"/>
  <c r="AT28" i="82"/>
  <c r="AV28" i="82"/>
  <c r="AX28" i="82"/>
  <c r="AY28" i="82"/>
  <c r="AZ28" i="82"/>
  <c r="BA28" i="82"/>
  <c r="BD28" i="82"/>
  <c r="BE28" i="82"/>
  <c r="BF28" i="82"/>
  <c r="E28" i="82"/>
  <c r="O35" i="40" l="1"/>
  <c r="O161" i="20"/>
  <c r="O25" i="57"/>
  <c r="AL16" i="82"/>
  <c r="M16" i="82"/>
  <c r="AM16" i="82" s="1"/>
  <c r="AR16" i="82" s="1"/>
  <c r="M14" i="82"/>
  <c r="AM14" i="82" s="1"/>
  <c r="AR14" i="82" s="1"/>
  <c r="M15" i="82"/>
  <c r="AM15" i="82" s="1"/>
  <c r="AR15" i="82" s="1"/>
  <c r="H15" i="57"/>
  <c r="AQ15" i="57"/>
  <c r="AU15" i="57"/>
  <c r="AW15" i="57"/>
  <c r="BB15" i="57"/>
  <c r="BC15" i="57"/>
  <c r="H16" i="57"/>
  <c r="F16" i="57" s="1"/>
  <c r="AQ16" i="57"/>
  <c r="AU16" i="57"/>
  <c r="AW16" i="57"/>
  <c r="BB16" i="57"/>
  <c r="BC16" i="57"/>
  <c r="BC12" i="57"/>
  <c r="BB12" i="57"/>
  <c r="AW12" i="57"/>
  <c r="AU12" i="57"/>
  <c r="AQ12" i="57"/>
  <c r="H12" i="57"/>
  <c r="Z12" i="57" s="1"/>
  <c r="H101" i="20"/>
  <c r="F101" i="20" s="1"/>
  <c r="AQ101" i="20"/>
  <c r="AU101" i="20"/>
  <c r="AW101" i="20"/>
  <c r="BB101" i="20"/>
  <c r="BC101" i="20"/>
  <c r="H26" i="20"/>
  <c r="F26" i="20" s="1"/>
  <c r="AQ26" i="20"/>
  <c r="AU26" i="20"/>
  <c r="AW26" i="20"/>
  <c r="BB26" i="20"/>
  <c r="BC26" i="20"/>
  <c r="AU18" i="57" l="1"/>
  <c r="BC18" i="57"/>
  <c r="BB18" i="57"/>
  <c r="F15" i="57"/>
  <c r="H18" i="57"/>
  <c r="AQ18" i="57"/>
  <c r="AW18" i="57"/>
  <c r="L16" i="57"/>
  <c r="I26" i="20"/>
  <c r="L101" i="20"/>
  <c r="I101" i="20"/>
  <c r="L15" i="57"/>
  <c r="I15" i="57"/>
  <c r="I16" i="57"/>
  <c r="Z16" i="57"/>
  <c r="K16" i="57"/>
  <c r="G16" i="57"/>
  <c r="Z15" i="57"/>
  <c r="K15" i="57"/>
  <c r="G15" i="57"/>
  <c r="P16" i="57"/>
  <c r="J16" i="57"/>
  <c r="P15" i="57"/>
  <c r="J15" i="57"/>
  <c r="L12" i="57"/>
  <c r="I12" i="57"/>
  <c r="F12" i="57"/>
  <c r="J12" i="57"/>
  <c r="P12" i="57"/>
  <c r="AL12" i="57" s="1"/>
  <c r="G12" i="57"/>
  <c r="K12" i="57"/>
  <c r="L26" i="20"/>
  <c r="Z101" i="20"/>
  <c r="K101" i="20"/>
  <c r="G101" i="20"/>
  <c r="P101" i="20"/>
  <c r="J101" i="20"/>
  <c r="Z26" i="20"/>
  <c r="K26" i="20"/>
  <c r="G26" i="20"/>
  <c r="P26" i="20"/>
  <c r="J26" i="20"/>
  <c r="BC13" i="82"/>
  <c r="BB13" i="82"/>
  <c r="AW13" i="82"/>
  <c r="AU13" i="82"/>
  <c r="AQ13" i="82"/>
  <c r="H13" i="82"/>
  <c r="BC12" i="82"/>
  <c r="BB12" i="82"/>
  <c r="AW12" i="82"/>
  <c r="AU12" i="82"/>
  <c r="AQ12" i="82"/>
  <c r="H12" i="82"/>
  <c r="Z12" i="82" s="1"/>
  <c r="L18" i="57" l="1"/>
  <c r="P18" i="57"/>
  <c r="J18" i="57"/>
  <c r="G18" i="57"/>
  <c r="I18" i="57"/>
  <c r="K18" i="57"/>
  <c r="Z18" i="57"/>
  <c r="F18" i="57"/>
  <c r="M15" i="57"/>
  <c r="Z13" i="82"/>
  <c r="AL15" i="57"/>
  <c r="M16" i="57"/>
  <c r="M18" i="57" s="1"/>
  <c r="M25" i="57" s="1"/>
  <c r="AL16" i="57"/>
  <c r="M12" i="57"/>
  <c r="AM12" i="57" s="1"/>
  <c r="AR12" i="57" s="1"/>
  <c r="M101" i="20"/>
  <c r="AL101" i="20"/>
  <c r="AL26" i="20"/>
  <c r="M26" i="20"/>
  <c r="F13" i="82"/>
  <c r="J13" i="82"/>
  <c r="P13" i="82"/>
  <c r="L13" i="82"/>
  <c r="I13" i="82"/>
  <c r="G13" i="82"/>
  <c r="K13" i="82"/>
  <c r="L12" i="82"/>
  <c r="I12" i="82"/>
  <c r="F12" i="82"/>
  <c r="J12" i="82"/>
  <c r="P12" i="82"/>
  <c r="AL12" i="82" s="1"/>
  <c r="G12" i="82"/>
  <c r="K12" i="82"/>
  <c r="H31" i="40"/>
  <c r="Z31" i="40" s="1"/>
  <c r="AQ31" i="40"/>
  <c r="AU31" i="40"/>
  <c r="AW31" i="40"/>
  <c r="BB31" i="40"/>
  <c r="BC31" i="40"/>
  <c r="H10" i="40"/>
  <c r="F10" i="40" s="1"/>
  <c r="AQ10" i="40"/>
  <c r="AU10" i="40"/>
  <c r="AW10" i="40"/>
  <c r="BB10" i="40"/>
  <c r="BC10" i="40"/>
  <c r="AL18" i="57" l="1"/>
  <c r="AM15" i="57"/>
  <c r="F31" i="40"/>
  <c r="AL13" i="82"/>
  <c r="AM16" i="57"/>
  <c r="AR16" i="57" s="1"/>
  <c r="AM101" i="20"/>
  <c r="AR101" i="20" s="1"/>
  <c r="AM26" i="20"/>
  <c r="AR26" i="20" s="1"/>
  <c r="M13" i="82"/>
  <c r="M12" i="82"/>
  <c r="AM12" i="82" s="1"/>
  <c r="AR12" i="82" s="1"/>
  <c r="I10" i="40"/>
  <c r="L31" i="40"/>
  <c r="I31" i="40"/>
  <c r="K31" i="40"/>
  <c r="G31" i="40"/>
  <c r="P31" i="40"/>
  <c r="J31" i="40"/>
  <c r="Z10" i="40"/>
  <c r="K10" i="40"/>
  <c r="G10" i="40"/>
  <c r="L10" i="40"/>
  <c r="P10" i="40"/>
  <c r="J10" i="40"/>
  <c r="H85" i="20"/>
  <c r="F85" i="20" s="1"/>
  <c r="AQ85" i="20"/>
  <c r="AU85" i="20"/>
  <c r="AW85" i="20"/>
  <c r="BB85" i="20"/>
  <c r="BC85" i="20"/>
  <c r="L39" i="88"/>
  <c r="P21" i="88"/>
  <c r="P20" i="88"/>
  <c r="P19" i="88"/>
  <c r="BC10" i="82"/>
  <c r="BB10" i="82"/>
  <c r="AW10" i="82"/>
  <c r="AU10" i="82"/>
  <c r="AQ10" i="82"/>
  <c r="H10" i="82"/>
  <c r="Z10" i="82" s="1"/>
  <c r="BC11" i="82"/>
  <c r="BB11" i="82"/>
  <c r="AW11" i="82"/>
  <c r="AU11" i="82"/>
  <c r="AQ11" i="82"/>
  <c r="H11" i="82"/>
  <c r="Z11" i="82" s="1"/>
  <c r="AR15" i="57" l="1"/>
  <c r="AR18" i="57" s="1"/>
  <c r="AM18" i="57"/>
  <c r="AL10" i="40"/>
  <c r="AM13" i="82"/>
  <c r="AL31" i="40"/>
  <c r="M31" i="40"/>
  <c r="M10" i="40"/>
  <c r="AM10" i="40" s="1"/>
  <c r="AR10" i="40" s="1"/>
  <c r="P22" i="88"/>
  <c r="L85" i="20"/>
  <c r="I85" i="20"/>
  <c r="Z85" i="20"/>
  <c r="K85" i="20"/>
  <c r="G85" i="20"/>
  <c r="P85" i="20"/>
  <c r="J85" i="20"/>
  <c r="I11" i="82"/>
  <c r="L10" i="82"/>
  <c r="F10" i="82"/>
  <c r="J10" i="82"/>
  <c r="P10" i="82"/>
  <c r="AL10" i="82" s="1"/>
  <c r="I10" i="82"/>
  <c r="G10" i="82"/>
  <c r="K10" i="82"/>
  <c r="L11" i="82"/>
  <c r="F11" i="82"/>
  <c r="J11" i="82"/>
  <c r="P11" i="82"/>
  <c r="AL11" i="82" s="1"/>
  <c r="G11" i="82"/>
  <c r="K11" i="82"/>
  <c r="BC9" i="82"/>
  <c r="BC28" i="82" s="1"/>
  <c r="BB9" i="82"/>
  <c r="BB28" i="82" s="1"/>
  <c r="AW9" i="82"/>
  <c r="AW28" i="82" s="1"/>
  <c r="AU9" i="82"/>
  <c r="AU28" i="82" s="1"/>
  <c r="AQ9" i="82"/>
  <c r="AQ28" i="82" s="1"/>
  <c r="H9" i="82"/>
  <c r="BC16" i="40"/>
  <c r="BB16" i="40"/>
  <c r="AW16" i="40"/>
  <c r="AU16" i="40"/>
  <c r="AQ16" i="40"/>
  <c r="H16" i="40"/>
  <c r="Z16" i="40" s="1"/>
  <c r="BC15" i="40"/>
  <c r="BB15" i="40"/>
  <c r="AW15" i="40"/>
  <c r="AU15" i="40"/>
  <c r="AQ15" i="40"/>
  <c r="H15" i="40"/>
  <c r="P15" i="40" s="1"/>
  <c r="BC122" i="20"/>
  <c r="BB122" i="20"/>
  <c r="AW122" i="20"/>
  <c r="AU122" i="20"/>
  <c r="AQ122" i="20"/>
  <c r="H122" i="20"/>
  <c r="Z122" i="20" s="1"/>
  <c r="BC57" i="20"/>
  <c r="BB57" i="20"/>
  <c r="AW57" i="20"/>
  <c r="AU57" i="20"/>
  <c r="AQ57" i="20"/>
  <c r="H57" i="20"/>
  <c r="Z57" i="20" s="1"/>
  <c r="AM31" i="40" l="1"/>
  <c r="AL85" i="20"/>
  <c r="K9" i="82"/>
  <c r="K28" i="82" s="1"/>
  <c r="H28" i="82"/>
  <c r="AR13" i="82"/>
  <c r="M10" i="82"/>
  <c r="AM10" i="82" s="1"/>
  <c r="AR10" i="82" s="1"/>
  <c r="M85" i="20"/>
  <c r="G9" i="82"/>
  <c r="G28" i="82" s="1"/>
  <c r="M11" i="82"/>
  <c r="AM11" i="82" s="1"/>
  <c r="AR11" i="82" s="1"/>
  <c r="P9" i="82"/>
  <c r="P28" i="82" s="1"/>
  <c r="Z9" i="82"/>
  <c r="Z28" i="82" s="1"/>
  <c r="I9" i="82"/>
  <c r="I28" i="82" s="1"/>
  <c r="F9" i="82"/>
  <c r="F28" i="82" s="1"/>
  <c r="J9" i="82"/>
  <c r="J28" i="82" s="1"/>
  <c r="L9" i="82"/>
  <c r="L28" i="82" s="1"/>
  <c r="I16" i="40"/>
  <c r="F16" i="40"/>
  <c r="J16" i="40"/>
  <c r="P16" i="40"/>
  <c r="AL16" i="40" s="1"/>
  <c r="L16" i="40"/>
  <c r="G16" i="40"/>
  <c r="K16" i="40"/>
  <c r="G15" i="40"/>
  <c r="K15" i="40"/>
  <c r="Z15" i="40"/>
  <c r="AL15" i="40" s="1"/>
  <c r="L15" i="40"/>
  <c r="I15" i="40"/>
  <c r="F15" i="40"/>
  <c r="J15" i="40"/>
  <c r="L122" i="20"/>
  <c r="F122" i="20"/>
  <c r="J122" i="20"/>
  <c r="P122" i="20"/>
  <c r="AL122" i="20" s="1"/>
  <c r="I122" i="20"/>
  <c r="G122" i="20"/>
  <c r="K122" i="20"/>
  <c r="L57" i="20"/>
  <c r="F57" i="20"/>
  <c r="J57" i="20"/>
  <c r="P57" i="20"/>
  <c r="AL57" i="20" s="1"/>
  <c r="I57" i="20"/>
  <c r="G57" i="20"/>
  <c r="K57" i="20"/>
  <c r="AM85" i="20" l="1"/>
  <c r="AR85" i="20" s="1"/>
  <c r="AR31" i="40"/>
  <c r="AL9" i="82"/>
  <c r="AL28" i="82" s="1"/>
  <c r="M9" i="82"/>
  <c r="M28" i="82" s="1"/>
  <c r="M122" i="20"/>
  <c r="AM122" i="20" s="1"/>
  <c r="AR122" i="20" s="1"/>
  <c r="M16" i="40"/>
  <c r="AM16" i="40" s="1"/>
  <c r="AR16" i="40" s="1"/>
  <c r="M15" i="40"/>
  <c r="AM15" i="40" s="1"/>
  <c r="AR15" i="40" s="1"/>
  <c r="M57" i="20"/>
  <c r="AM57" i="20" s="1"/>
  <c r="AR57" i="20" s="1"/>
  <c r="AM9" i="82" l="1"/>
  <c r="AM28" i="82" s="1"/>
  <c r="AR9" i="82" l="1"/>
  <c r="AR28" i="82" s="1"/>
  <c r="BC11" i="57" l="1"/>
  <c r="BB11" i="57"/>
  <c r="AW11" i="57"/>
  <c r="AU11" i="57"/>
  <c r="AQ11" i="57"/>
  <c r="H11" i="57"/>
  <c r="H13" i="57" s="1"/>
  <c r="H25" i="57" s="1"/>
  <c r="AW13" i="57" l="1"/>
  <c r="AW25" i="57" s="1"/>
  <c r="AU13" i="57"/>
  <c r="AU25" i="57" s="1"/>
  <c r="BB13" i="57"/>
  <c r="BB25" i="57" s="1"/>
  <c r="AQ13" i="57"/>
  <c r="AQ25" i="57" s="1"/>
  <c r="BC13" i="57"/>
  <c r="BC25" i="57" s="1"/>
  <c r="J11" i="57"/>
  <c r="I11" i="57"/>
  <c r="L11" i="57"/>
  <c r="K11" i="57"/>
  <c r="F11" i="57"/>
  <c r="P11" i="57"/>
  <c r="G11" i="57"/>
  <c r="Z11" i="57"/>
  <c r="J13" i="57" l="1"/>
  <c r="J25" i="57" s="1"/>
  <c r="K13" i="57"/>
  <c r="K25" i="57" s="1"/>
  <c r="L13" i="57"/>
  <c r="L25" i="57" s="1"/>
  <c r="F13" i="57"/>
  <c r="F25" i="57" s="1"/>
  <c r="Z13" i="57"/>
  <c r="Z25" i="57" s="1"/>
  <c r="G13" i="57"/>
  <c r="G25" i="57" s="1"/>
  <c r="P13" i="57"/>
  <c r="P25" i="57" s="1"/>
  <c r="I13" i="57"/>
  <c r="I25" i="57" s="1"/>
  <c r="M11" i="57"/>
  <c r="AL11" i="57"/>
  <c r="AL13" i="57" l="1"/>
  <c r="AL25" i="57" s="1"/>
  <c r="AM11" i="57"/>
  <c r="AM13" i="57" l="1"/>
  <c r="AM25" i="57" s="1"/>
  <c r="AR11" i="57"/>
  <c r="AR13" i="57" l="1"/>
  <c r="AR25" i="57" s="1"/>
  <c r="BC137" i="20"/>
  <c r="BB137" i="20"/>
  <c r="AW137" i="20"/>
  <c r="AU137" i="20"/>
  <c r="AQ137" i="20"/>
  <c r="H137" i="20"/>
  <c r="BC61" i="20"/>
  <c r="BB61" i="20"/>
  <c r="AW61" i="20"/>
  <c r="AU61" i="20"/>
  <c r="AQ61" i="20"/>
  <c r="H61" i="20"/>
  <c r="BC42" i="20"/>
  <c r="BB42" i="20"/>
  <c r="AW42" i="20"/>
  <c r="AU42" i="20"/>
  <c r="AQ42" i="20"/>
  <c r="H42" i="20"/>
  <c r="BC38" i="20"/>
  <c r="BB38" i="20"/>
  <c r="AW38" i="20"/>
  <c r="AU38" i="20"/>
  <c r="AQ38" i="20"/>
  <c r="H38" i="20"/>
  <c r="P137" i="20" l="1"/>
  <c r="L61" i="20"/>
  <c r="L42" i="20"/>
  <c r="I137" i="20"/>
  <c r="G137" i="20"/>
  <c r="K137" i="20"/>
  <c r="Z137" i="20"/>
  <c r="L137" i="20"/>
  <c r="F137" i="20"/>
  <c r="J137" i="20"/>
  <c r="G61" i="20"/>
  <c r="K61" i="20"/>
  <c r="Z61" i="20"/>
  <c r="F61" i="20"/>
  <c r="J61" i="20"/>
  <c r="P61" i="20"/>
  <c r="I61" i="20"/>
  <c r="I42" i="20"/>
  <c r="G42" i="20"/>
  <c r="K42" i="20"/>
  <c r="Z42" i="20"/>
  <c r="F42" i="20"/>
  <c r="J42" i="20"/>
  <c r="P42" i="20"/>
  <c r="L38" i="20"/>
  <c r="G38" i="20"/>
  <c r="K38" i="20"/>
  <c r="Z38" i="20"/>
  <c r="P38" i="20"/>
  <c r="F38" i="20"/>
  <c r="J38" i="20"/>
  <c r="I38" i="20"/>
  <c r="AL137" i="20" l="1"/>
  <c r="M38" i="20"/>
  <c r="M137" i="20"/>
  <c r="M61" i="20"/>
  <c r="M42" i="20"/>
  <c r="AL61" i="20"/>
  <c r="AL42" i="20"/>
  <c r="AL38" i="20"/>
  <c r="AM137" i="20" l="1"/>
  <c r="AR137" i="20" s="1"/>
  <c r="AM38" i="20"/>
  <c r="AR38" i="20" s="1"/>
  <c r="AM61" i="20"/>
  <c r="AR61" i="20" s="1"/>
  <c r="AM42" i="20"/>
  <c r="AR42" i="20" s="1"/>
  <c r="BC68" i="20" l="1"/>
  <c r="BB68" i="20"/>
  <c r="AW68" i="20"/>
  <c r="AU68" i="20"/>
  <c r="AQ68" i="20"/>
  <c r="H68" i="20"/>
  <c r="BC28" i="20"/>
  <c r="BB28" i="20"/>
  <c r="AW28" i="20"/>
  <c r="AU28" i="20"/>
  <c r="AQ28" i="20"/>
  <c r="H28" i="20"/>
  <c r="P28" i="20" l="1"/>
  <c r="L68" i="20"/>
  <c r="G68" i="20"/>
  <c r="K68" i="20"/>
  <c r="Z68" i="20"/>
  <c r="F68" i="20"/>
  <c r="J68" i="20"/>
  <c r="P68" i="20"/>
  <c r="I68" i="20"/>
  <c r="I28" i="20"/>
  <c r="G28" i="20"/>
  <c r="K28" i="20"/>
  <c r="Z28" i="20"/>
  <c r="L28" i="20"/>
  <c r="F28" i="20"/>
  <c r="J28" i="20"/>
  <c r="BC58" i="20"/>
  <c r="BB58" i="20"/>
  <c r="AW58" i="20"/>
  <c r="AU58" i="20"/>
  <c r="AQ58" i="20"/>
  <c r="H58" i="20"/>
  <c r="BC145" i="20"/>
  <c r="BB145" i="20"/>
  <c r="AW145" i="20"/>
  <c r="AU145" i="20"/>
  <c r="AQ145" i="20"/>
  <c r="H145" i="20"/>
  <c r="BC84" i="20"/>
  <c r="BB84" i="20"/>
  <c r="AW84" i="20"/>
  <c r="AU84" i="20"/>
  <c r="AQ84" i="20"/>
  <c r="H84" i="20"/>
  <c r="P84" i="20" s="1"/>
  <c r="BC124" i="20"/>
  <c r="BB124" i="20"/>
  <c r="AW124" i="20"/>
  <c r="AU124" i="20"/>
  <c r="AQ124" i="20"/>
  <c r="H124" i="20"/>
  <c r="BC63" i="20"/>
  <c r="BB63" i="20"/>
  <c r="AW63" i="20"/>
  <c r="AU63" i="20"/>
  <c r="AQ63" i="20"/>
  <c r="H63" i="20"/>
  <c r="BC40" i="20"/>
  <c r="BB40" i="20"/>
  <c r="AW40" i="20"/>
  <c r="AU40" i="20"/>
  <c r="AQ40" i="20"/>
  <c r="H40" i="20"/>
  <c r="P40" i="20" s="1"/>
  <c r="BC22" i="20"/>
  <c r="BB22" i="20"/>
  <c r="AW22" i="20"/>
  <c r="AU22" i="20"/>
  <c r="AQ22" i="20"/>
  <c r="H22" i="20"/>
  <c r="I22" i="20" s="1"/>
  <c r="BC19" i="20"/>
  <c r="BB19" i="20"/>
  <c r="AW19" i="20"/>
  <c r="AU19" i="20"/>
  <c r="AQ19" i="20"/>
  <c r="H19" i="20"/>
  <c r="AL28" i="20" l="1"/>
  <c r="M28" i="20"/>
  <c r="AL68" i="20"/>
  <c r="M68" i="20"/>
  <c r="P124" i="20"/>
  <c r="L58" i="20"/>
  <c r="G58" i="20"/>
  <c r="Z58" i="20"/>
  <c r="K58" i="20"/>
  <c r="I58" i="20"/>
  <c r="F58" i="20"/>
  <c r="J58" i="20"/>
  <c r="P58" i="20"/>
  <c r="I40" i="20"/>
  <c r="L145" i="20"/>
  <c r="I84" i="20"/>
  <c r="G145" i="20"/>
  <c r="K145" i="20"/>
  <c r="Z145" i="20"/>
  <c r="F145" i="20"/>
  <c r="J145" i="20"/>
  <c r="P145" i="20"/>
  <c r="I145" i="20"/>
  <c r="L84" i="20"/>
  <c r="G84" i="20"/>
  <c r="K84" i="20"/>
  <c r="Z84" i="20"/>
  <c r="AL84" i="20" s="1"/>
  <c r="F84" i="20"/>
  <c r="J84" i="20"/>
  <c r="J63" i="20"/>
  <c r="P22" i="20"/>
  <c r="G63" i="20"/>
  <c r="Z63" i="20"/>
  <c r="J22" i="20"/>
  <c r="F63" i="20"/>
  <c r="P63" i="20"/>
  <c r="F22" i="20"/>
  <c r="I124" i="20"/>
  <c r="G124" i="20"/>
  <c r="Z124" i="20"/>
  <c r="F124" i="20"/>
  <c r="J124" i="20"/>
  <c r="I63" i="20"/>
  <c r="G40" i="20"/>
  <c r="K40" i="20"/>
  <c r="Z40" i="20"/>
  <c r="AL40" i="20" s="1"/>
  <c r="L40" i="20"/>
  <c r="F40" i="20"/>
  <c r="J40" i="20"/>
  <c r="L19" i="20"/>
  <c r="G22" i="20"/>
  <c r="Z22" i="20"/>
  <c r="G19" i="20"/>
  <c r="K19" i="20"/>
  <c r="Z19" i="20"/>
  <c r="F19" i="20"/>
  <c r="J19" i="20"/>
  <c r="P19" i="20"/>
  <c r="I19" i="20"/>
  <c r="AM28" i="20" l="1"/>
  <c r="AM68" i="20"/>
  <c r="AL124" i="20"/>
  <c r="M58" i="20"/>
  <c r="AL58" i="20"/>
  <c r="AL63" i="20"/>
  <c r="M145" i="20"/>
  <c r="AL145" i="20"/>
  <c r="AL19" i="20"/>
  <c r="M22" i="20"/>
  <c r="M63" i="20"/>
  <c r="M84" i="20"/>
  <c r="AM84" i="20" s="1"/>
  <c r="AR84" i="20" s="1"/>
  <c r="M124" i="20"/>
  <c r="AL22" i="20"/>
  <c r="M40" i="20"/>
  <c r="AM40" i="20" s="1"/>
  <c r="AR40" i="20" s="1"/>
  <c r="M19" i="20"/>
  <c r="BC25" i="40"/>
  <c r="BB25" i="40"/>
  <c r="AW25" i="40"/>
  <c r="AU25" i="40"/>
  <c r="AQ25" i="40"/>
  <c r="H25" i="40"/>
  <c r="BC30" i="40"/>
  <c r="BC34" i="40" s="1"/>
  <c r="BB30" i="40"/>
  <c r="BB34" i="40" s="1"/>
  <c r="AW30" i="40"/>
  <c r="AW34" i="40" s="1"/>
  <c r="AU30" i="40"/>
  <c r="AU34" i="40" s="1"/>
  <c r="AQ30" i="40"/>
  <c r="AQ34" i="40" s="1"/>
  <c r="H30" i="40"/>
  <c r="H34" i="40" s="1"/>
  <c r="BC24" i="40"/>
  <c r="BB24" i="40"/>
  <c r="AW24" i="40"/>
  <c r="AU24" i="40"/>
  <c r="AQ24" i="40"/>
  <c r="H24" i="40"/>
  <c r="K30" i="40" l="1"/>
  <c r="K34" i="40" s="1"/>
  <c r="L30" i="40"/>
  <c r="L34" i="40" s="1"/>
  <c r="Z30" i="40"/>
  <c r="Z34" i="40" s="1"/>
  <c r="AR68" i="20"/>
  <c r="I25" i="40"/>
  <c r="L24" i="40"/>
  <c r="P30" i="40"/>
  <c r="P34" i="40" s="1"/>
  <c r="AR28" i="20"/>
  <c r="AM58" i="20"/>
  <c r="AR58" i="20" s="1"/>
  <c r="AM19" i="20"/>
  <c r="AR19" i="20" s="1"/>
  <c r="AM124" i="20"/>
  <c r="AM63" i="20"/>
  <c r="AM145" i="20"/>
  <c r="AM22" i="20"/>
  <c r="AR22" i="20" s="1"/>
  <c r="P25" i="40"/>
  <c r="L25" i="40"/>
  <c r="G25" i="40"/>
  <c r="K25" i="40"/>
  <c r="Z25" i="40"/>
  <c r="F25" i="40"/>
  <c r="J25" i="40"/>
  <c r="F24" i="40"/>
  <c r="J24" i="40"/>
  <c r="P24" i="40"/>
  <c r="I24" i="40"/>
  <c r="G24" i="40"/>
  <c r="K24" i="40"/>
  <c r="Z24" i="40"/>
  <c r="I30" i="40"/>
  <c r="I34" i="40" s="1"/>
  <c r="G30" i="40"/>
  <c r="G34" i="40" s="1"/>
  <c r="F30" i="40"/>
  <c r="F34" i="40" s="1"/>
  <c r="J30" i="40"/>
  <c r="J34" i="40" s="1"/>
  <c r="AL30" i="40" l="1"/>
  <c r="AL34" i="40" s="1"/>
  <c r="AR145" i="20"/>
  <c r="AR124" i="20"/>
  <c r="AR63" i="20"/>
  <c r="M25" i="40"/>
  <c r="AL25" i="40"/>
  <c r="AL24" i="40"/>
  <c r="M24" i="40"/>
  <c r="M30" i="40"/>
  <c r="H129" i="20"/>
  <c r="AQ129" i="20"/>
  <c r="AU129" i="20"/>
  <c r="AW129" i="20"/>
  <c r="BB129" i="20"/>
  <c r="BC129" i="20"/>
  <c r="BC157" i="20"/>
  <c r="BC160" i="20" s="1"/>
  <c r="BB157" i="20"/>
  <c r="BB160" i="20" s="1"/>
  <c r="AW157" i="20"/>
  <c r="AU157" i="20"/>
  <c r="AU160" i="20" s="1"/>
  <c r="AQ157" i="20"/>
  <c r="H157" i="20"/>
  <c r="BC156" i="20"/>
  <c r="BB156" i="20"/>
  <c r="AW156" i="20"/>
  <c r="AU156" i="20"/>
  <c r="AQ156" i="20"/>
  <c r="H156" i="20"/>
  <c r="BC154" i="20"/>
  <c r="BB154" i="20"/>
  <c r="AW154" i="20"/>
  <c r="AU154" i="20"/>
  <c r="AQ154" i="20"/>
  <c r="H154" i="20"/>
  <c r="BC152" i="20"/>
  <c r="BB152" i="20"/>
  <c r="AW152" i="20"/>
  <c r="AU152" i="20"/>
  <c r="AQ152" i="20"/>
  <c r="H152" i="20"/>
  <c r="BC151" i="20"/>
  <c r="BB151" i="20"/>
  <c r="AW151" i="20"/>
  <c r="AU151" i="20"/>
  <c r="AQ151" i="20"/>
  <c r="H151" i="20"/>
  <c r="BC150" i="20"/>
  <c r="BB150" i="20"/>
  <c r="AW150" i="20"/>
  <c r="AU150" i="20"/>
  <c r="AQ150" i="20"/>
  <c r="H150" i="20"/>
  <c r="BC149" i="20"/>
  <c r="BB149" i="20"/>
  <c r="AW149" i="20"/>
  <c r="AU149" i="20"/>
  <c r="AQ149" i="20"/>
  <c r="H149" i="20"/>
  <c r="BC148" i="20"/>
  <c r="BB148" i="20"/>
  <c r="AW148" i="20"/>
  <c r="AU148" i="20"/>
  <c r="AQ148" i="20"/>
  <c r="H148" i="20"/>
  <c r="BC147" i="20"/>
  <c r="BB147" i="20"/>
  <c r="AW147" i="20"/>
  <c r="AU147" i="20"/>
  <c r="AQ147" i="20"/>
  <c r="H147" i="20"/>
  <c r="F147" i="20" s="1"/>
  <c r="BC146" i="20"/>
  <c r="BB146" i="20"/>
  <c r="AW146" i="20"/>
  <c r="AU146" i="20"/>
  <c r="AQ146" i="20"/>
  <c r="H146" i="20"/>
  <c r="BC144" i="20"/>
  <c r="BB144" i="20"/>
  <c r="AW144" i="20"/>
  <c r="AU144" i="20"/>
  <c r="AQ144" i="20"/>
  <c r="H144" i="20"/>
  <c r="BC143" i="20"/>
  <c r="BB143" i="20"/>
  <c r="AW143" i="20"/>
  <c r="AU143" i="20"/>
  <c r="AQ143" i="20"/>
  <c r="H143" i="20"/>
  <c r="P143" i="20" s="1"/>
  <c r="BC142" i="20"/>
  <c r="BB142" i="20"/>
  <c r="AW142" i="20"/>
  <c r="AU142" i="20"/>
  <c r="AQ142" i="20"/>
  <c r="H142" i="20"/>
  <c r="Z142" i="20" s="1"/>
  <c r="BC141" i="20"/>
  <c r="BB141" i="20"/>
  <c r="AW141" i="20"/>
  <c r="AU141" i="20"/>
  <c r="AQ141" i="20"/>
  <c r="H141" i="20"/>
  <c r="F141" i="20" s="1"/>
  <c r="BC140" i="20"/>
  <c r="BB140" i="20"/>
  <c r="AW140" i="20"/>
  <c r="AU140" i="20"/>
  <c r="AQ140" i="20"/>
  <c r="H140" i="20"/>
  <c r="BC139" i="20"/>
  <c r="BB139" i="20"/>
  <c r="AW139" i="20"/>
  <c r="AU139" i="20"/>
  <c r="AQ139" i="20"/>
  <c r="H139" i="20"/>
  <c r="F139" i="20" s="1"/>
  <c r="BC138" i="20"/>
  <c r="BB138" i="20"/>
  <c r="AW138" i="20"/>
  <c r="AU138" i="20"/>
  <c r="AQ138" i="20"/>
  <c r="H138" i="20"/>
  <c r="BC136" i="20"/>
  <c r="BB136" i="20"/>
  <c r="AW136" i="20"/>
  <c r="AU136" i="20"/>
  <c r="AQ136" i="20"/>
  <c r="H136" i="20"/>
  <c r="F136" i="20" s="1"/>
  <c r="BC135" i="20"/>
  <c r="BB135" i="20"/>
  <c r="AW135" i="20"/>
  <c r="AU135" i="20"/>
  <c r="AQ135" i="20"/>
  <c r="H135" i="20"/>
  <c r="BC133" i="20"/>
  <c r="BB133" i="20"/>
  <c r="AW133" i="20"/>
  <c r="AU133" i="20"/>
  <c r="AQ133" i="20"/>
  <c r="H133" i="20"/>
  <c r="BC131" i="20"/>
  <c r="BB131" i="20"/>
  <c r="AW131" i="20"/>
  <c r="AU131" i="20"/>
  <c r="AQ131" i="20"/>
  <c r="H131" i="20"/>
  <c r="BC130" i="20"/>
  <c r="BB130" i="20"/>
  <c r="AW130" i="20"/>
  <c r="AU130" i="20"/>
  <c r="AQ130" i="20"/>
  <c r="H130" i="20"/>
  <c r="BC127" i="20"/>
  <c r="BB127" i="20"/>
  <c r="AW127" i="20"/>
  <c r="AU127" i="20"/>
  <c r="AQ127" i="20"/>
  <c r="H127" i="20"/>
  <c r="BC126" i="20"/>
  <c r="BB126" i="20"/>
  <c r="AW126" i="20"/>
  <c r="AU126" i="20"/>
  <c r="AQ126" i="20"/>
  <c r="H126" i="20"/>
  <c r="Z126" i="20" s="1"/>
  <c r="BC125" i="20"/>
  <c r="BB125" i="20"/>
  <c r="AW125" i="20"/>
  <c r="AU125" i="20"/>
  <c r="AQ125" i="20"/>
  <c r="H125" i="20"/>
  <c r="BC123" i="20"/>
  <c r="BB123" i="20"/>
  <c r="AW123" i="20"/>
  <c r="AU123" i="20"/>
  <c r="AQ123" i="20"/>
  <c r="H123" i="20"/>
  <c r="Z123" i="20" s="1"/>
  <c r="BC121" i="20"/>
  <c r="BB121" i="20"/>
  <c r="AW121" i="20"/>
  <c r="AU121" i="20"/>
  <c r="AQ121" i="20"/>
  <c r="H121" i="20"/>
  <c r="F121" i="20" s="1"/>
  <c r="BC120" i="20"/>
  <c r="BB120" i="20"/>
  <c r="AW120" i="20"/>
  <c r="AU120" i="20"/>
  <c r="AQ120" i="20"/>
  <c r="H120" i="20"/>
  <c r="Z120" i="20" s="1"/>
  <c r="BC119" i="20"/>
  <c r="BB119" i="20"/>
  <c r="AW119" i="20"/>
  <c r="AU119" i="20"/>
  <c r="AQ119" i="20"/>
  <c r="H119" i="20"/>
  <c r="BC118" i="20"/>
  <c r="BB118" i="20"/>
  <c r="AW118" i="20"/>
  <c r="AU118" i="20"/>
  <c r="AQ118" i="20"/>
  <c r="H118" i="20"/>
  <c r="Z118" i="20" s="1"/>
  <c r="BC117" i="20"/>
  <c r="BB117" i="20"/>
  <c r="AW117" i="20"/>
  <c r="AU117" i="20"/>
  <c r="AQ117" i="20"/>
  <c r="H117" i="20"/>
  <c r="Z117" i="20" s="1"/>
  <c r="BC116" i="20"/>
  <c r="BB116" i="20"/>
  <c r="AW116" i="20"/>
  <c r="AU116" i="20"/>
  <c r="AQ116" i="20"/>
  <c r="H116" i="20"/>
  <c r="BC115" i="20"/>
  <c r="BB115" i="20"/>
  <c r="AW115" i="20"/>
  <c r="AU115" i="20"/>
  <c r="AQ115" i="20"/>
  <c r="H115" i="20"/>
  <c r="BC114" i="20"/>
  <c r="BB114" i="20"/>
  <c r="AW114" i="20"/>
  <c r="AU114" i="20"/>
  <c r="AQ114" i="20"/>
  <c r="H114" i="20"/>
  <c r="BC111" i="20"/>
  <c r="BB111" i="20"/>
  <c r="AW111" i="20"/>
  <c r="AU111" i="20"/>
  <c r="AQ111" i="20"/>
  <c r="H111" i="20"/>
  <c r="BC109" i="20"/>
  <c r="BB109" i="20"/>
  <c r="AW109" i="20"/>
  <c r="AU109" i="20"/>
  <c r="AQ109" i="20"/>
  <c r="H109" i="20"/>
  <c r="K109" i="20" s="1"/>
  <c r="BC107" i="20"/>
  <c r="BB107" i="20"/>
  <c r="AW107" i="20"/>
  <c r="AU107" i="20"/>
  <c r="AQ107" i="20"/>
  <c r="H107" i="20"/>
  <c r="Z107" i="20" s="1"/>
  <c r="BC106" i="20"/>
  <c r="BB106" i="20"/>
  <c r="AW106" i="20"/>
  <c r="AU106" i="20"/>
  <c r="AQ106" i="20"/>
  <c r="H106" i="20"/>
  <c r="BC105" i="20"/>
  <c r="BB105" i="20"/>
  <c r="AW105" i="20"/>
  <c r="AU105" i="20"/>
  <c r="AQ105" i="20"/>
  <c r="H105" i="20"/>
  <c r="BC104" i="20"/>
  <c r="BB104" i="20"/>
  <c r="AW104" i="20"/>
  <c r="AU104" i="20"/>
  <c r="AQ104" i="20"/>
  <c r="H104" i="20"/>
  <c r="Z104" i="20" s="1"/>
  <c r="BC103" i="20"/>
  <c r="BB103" i="20"/>
  <c r="AW103" i="20"/>
  <c r="AU103" i="20"/>
  <c r="AQ103" i="20"/>
  <c r="H103" i="20"/>
  <c r="Z103" i="20" s="1"/>
  <c r="BC102" i="20"/>
  <c r="BB102" i="20"/>
  <c r="AW102" i="20"/>
  <c r="AU102" i="20"/>
  <c r="AQ102" i="20"/>
  <c r="H102" i="20"/>
  <c r="BC100" i="20"/>
  <c r="BB100" i="20"/>
  <c r="AW100" i="20"/>
  <c r="AU100" i="20"/>
  <c r="AQ100" i="20"/>
  <c r="H100" i="20"/>
  <c r="Z100" i="20" s="1"/>
  <c r="BC98" i="20"/>
  <c r="BB98" i="20"/>
  <c r="AW98" i="20"/>
  <c r="AU98" i="20"/>
  <c r="AQ98" i="20"/>
  <c r="H98" i="20"/>
  <c r="K98" i="20" s="1"/>
  <c r="BC97" i="20"/>
  <c r="BB97" i="20"/>
  <c r="AW97" i="20"/>
  <c r="AU97" i="20"/>
  <c r="AQ97" i="20"/>
  <c r="H97" i="20"/>
  <c r="Z97" i="20" s="1"/>
  <c r="BC96" i="20"/>
  <c r="BB96" i="20"/>
  <c r="AW96" i="20"/>
  <c r="AU96" i="20"/>
  <c r="AQ96" i="20"/>
  <c r="H96" i="20"/>
  <c r="BC95" i="20"/>
  <c r="BB95" i="20"/>
  <c r="AW95" i="20"/>
  <c r="AU95" i="20"/>
  <c r="AQ95" i="20"/>
  <c r="H95" i="20"/>
  <c r="Z95" i="20" s="1"/>
  <c r="BC94" i="20"/>
  <c r="BB94" i="20"/>
  <c r="AW94" i="20"/>
  <c r="AU94" i="20"/>
  <c r="AQ94" i="20"/>
  <c r="H94" i="20"/>
  <c r="BC93" i="20"/>
  <c r="BB93" i="20"/>
  <c r="BB113" i="20" s="1"/>
  <c r="AW93" i="20"/>
  <c r="AW113" i="20" s="1"/>
  <c r="AU93" i="20"/>
  <c r="AQ93" i="20"/>
  <c r="H93" i="20"/>
  <c r="H113" i="20" s="1"/>
  <c r="BC90" i="20"/>
  <c r="BB90" i="20"/>
  <c r="AW90" i="20"/>
  <c r="AU90" i="20"/>
  <c r="AQ90" i="20"/>
  <c r="H90" i="20"/>
  <c r="BC89" i="20"/>
  <c r="BB89" i="20"/>
  <c r="AW89" i="20"/>
  <c r="AU89" i="20"/>
  <c r="AQ89" i="20"/>
  <c r="H89" i="20"/>
  <c r="BC59" i="20"/>
  <c r="BB59" i="20"/>
  <c r="AW59" i="20"/>
  <c r="AU59" i="20"/>
  <c r="AQ59" i="20"/>
  <c r="H59" i="20"/>
  <c r="BC56" i="20"/>
  <c r="BB56" i="20"/>
  <c r="AW56" i="20"/>
  <c r="AU56" i="20"/>
  <c r="AQ56" i="20"/>
  <c r="H56" i="20"/>
  <c r="BC46" i="20"/>
  <c r="BB46" i="20"/>
  <c r="AW46" i="20"/>
  <c r="AU46" i="20"/>
  <c r="AQ46" i="20"/>
  <c r="H46" i="20"/>
  <c r="BC24" i="20"/>
  <c r="BB24" i="20"/>
  <c r="AW24" i="20"/>
  <c r="AU24" i="20"/>
  <c r="AQ24" i="20"/>
  <c r="H24" i="20"/>
  <c r="P24" i="20" s="1"/>
  <c r="BC23" i="20"/>
  <c r="BB23" i="20"/>
  <c r="AW23" i="20"/>
  <c r="AU23" i="20"/>
  <c r="AQ23" i="20"/>
  <c r="H23" i="20"/>
  <c r="Z157" i="20" l="1"/>
  <c r="Z160" i="20" s="1"/>
  <c r="H160" i="20"/>
  <c r="AQ113" i="20"/>
  <c r="BC113" i="20"/>
  <c r="AU113" i="20"/>
  <c r="Z90" i="20"/>
  <c r="J156" i="20"/>
  <c r="Z154" i="20"/>
  <c r="Z115" i="20"/>
  <c r="Z135" i="20"/>
  <c r="Z93" i="20"/>
  <c r="Z89" i="20"/>
  <c r="Z111" i="20"/>
  <c r="Z152" i="20"/>
  <c r="P130" i="20"/>
  <c r="P151" i="20"/>
  <c r="P46" i="20"/>
  <c r="Z148" i="20"/>
  <c r="Z114" i="20"/>
  <c r="L114" i="20"/>
  <c r="K114" i="20"/>
  <c r="P119" i="20"/>
  <c r="Z138" i="20"/>
  <c r="Z150" i="20"/>
  <c r="F144" i="20"/>
  <c r="AM30" i="40"/>
  <c r="Z105" i="20"/>
  <c r="Z146" i="20"/>
  <c r="F125" i="20"/>
  <c r="K102" i="20"/>
  <c r="L102" i="20"/>
  <c r="Z140" i="20"/>
  <c r="L140" i="20"/>
  <c r="K140" i="20"/>
  <c r="F149" i="20"/>
  <c r="Z94" i="20"/>
  <c r="L94" i="20"/>
  <c r="K94" i="20"/>
  <c r="I129" i="20"/>
  <c r="K129" i="20"/>
  <c r="L129" i="20"/>
  <c r="AM25" i="40"/>
  <c r="AM24" i="40"/>
  <c r="AR24" i="40" s="1"/>
  <c r="K156" i="20"/>
  <c r="L156" i="20"/>
  <c r="P56" i="20"/>
  <c r="K56" i="20"/>
  <c r="L56" i="20"/>
  <c r="F129" i="20"/>
  <c r="J129" i="20"/>
  <c r="P129" i="20"/>
  <c r="Z129" i="20"/>
  <c r="G129" i="20"/>
  <c r="J131" i="20"/>
  <c r="P147" i="20"/>
  <c r="I104" i="20"/>
  <c r="L106" i="20"/>
  <c r="P139" i="20"/>
  <c r="I102" i="20"/>
  <c r="J125" i="20"/>
  <c r="J127" i="20"/>
  <c r="F130" i="20"/>
  <c r="J149" i="20"/>
  <c r="F131" i="20"/>
  <c r="J141" i="20"/>
  <c r="J116" i="20"/>
  <c r="F119" i="20"/>
  <c r="J130" i="20"/>
  <c r="J139" i="20"/>
  <c r="J147" i="20"/>
  <c r="I94" i="20"/>
  <c r="P141" i="20"/>
  <c r="P149" i="20"/>
  <c r="I100" i="20"/>
  <c r="P121" i="20"/>
  <c r="L96" i="20"/>
  <c r="F89" i="20"/>
  <c r="P89" i="20"/>
  <c r="I90" i="20"/>
  <c r="G94" i="20"/>
  <c r="P94" i="20"/>
  <c r="I97" i="20"/>
  <c r="J98" i="20"/>
  <c r="F102" i="20"/>
  <c r="J102" i="20"/>
  <c r="G104" i="20"/>
  <c r="P104" i="20"/>
  <c r="AL104" i="20" s="1"/>
  <c r="I107" i="20"/>
  <c r="J109" i="20"/>
  <c r="J119" i="20"/>
  <c r="P131" i="20"/>
  <c r="J133" i="20"/>
  <c r="P136" i="20"/>
  <c r="J143" i="20"/>
  <c r="P144" i="20"/>
  <c r="J151" i="20"/>
  <c r="I157" i="20"/>
  <c r="I160" i="20" s="1"/>
  <c r="K89" i="20"/>
  <c r="F94" i="20"/>
  <c r="I95" i="20"/>
  <c r="I98" i="20"/>
  <c r="F104" i="20"/>
  <c r="K104" i="20"/>
  <c r="I105" i="20"/>
  <c r="I109" i="20"/>
  <c r="J136" i="20"/>
  <c r="J144" i="20"/>
  <c r="F133" i="20"/>
  <c r="F143" i="20"/>
  <c r="F151" i="20"/>
  <c r="F157" i="20"/>
  <c r="F160" i="20" s="1"/>
  <c r="P157" i="20"/>
  <c r="G89" i="20"/>
  <c r="J94" i="20"/>
  <c r="J104" i="20"/>
  <c r="F116" i="20"/>
  <c r="P133" i="20"/>
  <c r="I154" i="20"/>
  <c r="J157" i="20"/>
  <c r="J160" i="20" s="1"/>
  <c r="F156" i="20"/>
  <c r="P156" i="20"/>
  <c r="L157" i="20"/>
  <c r="L160" i="20" s="1"/>
  <c r="G156" i="20"/>
  <c r="Z156" i="20"/>
  <c r="I156" i="20"/>
  <c r="G157" i="20"/>
  <c r="G160" i="20" s="1"/>
  <c r="K157" i="20"/>
  <c r="K160" i="20" s="1"/>
  <c r="F135" i="20"/>
  <c r="J135" i="20"/>
  <c r="P135" i="20"/>
  <c r="L136" i="20"/>
  <c r="F138" i="20"/>
  <c r="J138" i="20"/>
  <c r="P138" i="20"/>
  <c r="L139" i="20"/>
  <c r="F140" i="20"/>
  <c r="J140" i="20"/>
  <c r="P140" i="20"/>
  <c r="L141" i="20"/>
  <c r="F142" i="20"/>
  <c r="J142" i="20"/>
  <c r="P142" i="20"/>
  <c r="AL142" i="20" s="1"/>
  <c r="L143" i="20"/>
  <c r="L144" i="20"/>
  <c r="F146" i="20"/>
  <c r="J146" i="20"/>
  <c r="P146" i="20"/>
  <c r="L147" i="20"/>
  <c r="F148" i="20"/>
  <c r="J148" i="20"/>
  <c r="P148" i="20"/>
  <c r="L149" i="20"/>
  <c r="F150" i="20"/>
  <c r="J150" i="20"/>
  <c r="P150" i="20"/>
  <c r="L151" i="20"/>
  <c r="F152" i="20"/>
  <c r="J152" i="20"/>
  <c r="P152" i="20"/>
  <c r="F154" i="20"/>
  <c r="J154" i="20"/>
  <c r="P154" i="20"/>
  <c r="G133" i="20"/>
  <c r="Z133" i="20"/>
  <c r="I135" i="20"/>
  <c r="G136" i="20"/>
  <c r="K136" i="20"/>
  <c r="Z136" i="20"/>
  <c r="I138" i="20"/>
  <c r="G139" i="20"/>
  <c r="K139" i="20"/>
  <c r="Z139" i="20"/>
  <c r="I140" i="20"/>
  <c r="G141" i="20"/>
  <c r="K141" i="20"/>
  <c r="Z141" i="20"/>
  <c r="I142" i="20"/>
  <c r="G143" i="20"/>
  <c r="K143" i="20"/>
  <c r="Z143" i="20"/>
  <c r="AL143" i="20" s="1"/>
  <c r="G144" i="20"/>
  <c r="K144" i="20"/>
  <c r="Z144" i="20"/>
  <c r="I146" i="20"/>
  <c r="G147" i="20"/>
  <c r="K147" i="20"/>
  <c r="Z147" i="20"/>
  <c r="I148" i="20"/>
  <c r="G149" i="20"/>
  <c r="K149" i="20"/>
  <c r="Z149" i="20"/>
  <c r="I150" i="20"/>
  <c r="G151" i="20"/>
  <c r="K151" i="20"/>
  <c r="Z151" i="20"/>
  <c r="I152" i="20"/>
  <c r="L148" i="20"/>
  <c r="L152" i="20"/>
  <c r="L154" i="20"/>
  <c r="L135" i="20"/>
  <c r="L138" i="20"/>
  <c r="L142" i="20"/>
  <c r="L146" i="20"/>
  <c r="L150" i="20"/>
  <c r="I133" i="20"/>
  <c r="G135" i="20"/>
  <c r="K135" i="20"/>
  <c r="I136" i="20"/>
  <c r="G138" i="20"/>
  <c r="K138" i="20"/>
  <c r="I139" i="20"/>
  <c r="G140" i="20"/>
  <c r="I141" i="20"/>
  <c r="G142" i="20"/>
  <c r="K142" i="20"/>
  <c r="I143" i="20"/>
  <c r="I144" i="20"/>
  <c r="G146" i="20"/>
  <c r="K146" i="20"/>
  <c r="I147" i="20"/>
  <c r="G148" i="20"/>
  <c r="K148" i="20"/>
  <c r="I149" i="20"/>
  <c r="G150" i="20"/>
  <c r="K150" i="20"/>
  <c r="I151" i="20"/>
  <c r="G152" i="20"/>
  <c r="K152" i="20"/>
  <c r="G154" i="20"/>
  <c r="K154" i="20"/>
  <c r="Z96" i="20"/>
  <c r="Z106" i="20"/>
  <c r="G96" i="20"/>
  <c r="P96" i="20"/>
  <c r="Z98" i="20"/>
  <c r="G106" i="20"/>
  <c r="P106" i="20"/>
  <c r="Z109" i="20"/>
  <c r="P116" i="20"/>
  <c r="J121" i="20"/>
  <c r="P125" i="20"/>
  <c r="F127" i="20"/>
  <c r="F96" i="20"/>
  <c r="K96" i="20"/>
  <c r="G98" i="20"/>
  <c r="P98" i="20"/>
  <c r="Z102" i="20"/>
  <c r="F106" i="20"/>
  <c r="K106" i="20"/>
  <c r="G109" i="20"/>
  <c r="P109" i="20"/>
  <c r="P127" i="20"/>
  <c r="J89" i="20"/>
  <c r="I93" i="20"/>
  <c r="I96" i="20"/>
  <c r="J96" i="20"/>
  <c r="F98" i="20"/>
  <c r="G102" i="20"/>
  <c r="P102" i="20"/>
  <c r="I103" i="20"/>
  <c r="I106" i="20"/>
  <c r="J106" i="20"/>
  <c r="F109" i="20"/>
  <c r="I111" i="20"/>
  <c r="F114" i="20"/>
  <c r="J114" i="20"/>
  <c r="P114" i="20"/>
  <c r="F115" i="20"/>
  <c r="J115" i="20"/>
  <c r="P115" i="20"/>
  <c r="L116" i="20"/>
  <c r="F117" i="20"/>
  <c r="J117" i="20"/>
  <c r="P117" i="20"/>
  <c r="AL117" i="20" s="1"/>
  <c r="F118" i="20"/>
  <c r="J118" i="20"/>
  <c r="P118" i="20"/>
  <c r="AL118" i="20" s="1"/>
  <c r="L119" i="20"/>
  <c r="F120" i="20"/>
  <c r="J120" i="20"/>
  <c r="P120" i="20"/>
  <c r="AL120" i="20" s="1"/>
  <c r="L121" i="20"/>
  <c r="F123" i="20"/>
  <c r="J123" i="20"/>
  <c r="P123" i="20"/>
  <c r="AL123" i="20" s="1"/>
  <c r="L125" i="20"/>
  <c r="F126" i="20"/>
  <c r="J126" i="20"/>
  <c r="P126" i="20"/>
  <c r="AL126" i="20" s="1"/>
  <c r="L127" i="20"/>
  <c r="L130" i="20"/>
  <c r="L131" i="20"/>
  <c r="L104" i="20"/>
  <c r="I114" i="20"/>
  <c r="I115" i="20"/>
  <c r="G116" i="20"/>
  <c r="K116" i="20"/>
  <c r="Z116" i="20"/>
  <c r="I117" i="20"/>
  <c r="I118" i="20"/>
  <c r="G119" i="20"/>
  <c r="K119" i="20"/>
  <c r="Z119" i="20"/>
  <c r="I120" i="20"/>
  <c r="G121" i="20"/>
  <c r="K121" i="20"/>
  <c r="Z121" i="20"/>
  <c r="I123" i="20"/>
  <c r="G125" i="20"/>
  <c r="K125" i="20"/>
  <c r="Z125" i="20"/>
  <c r="I126" i="20"/>
  <c r="G127" i="20"/>
  <c r="K127" i="20"/>
  <c r="Z127" i="20"/>
  <c r="G130" i="20"/>
  <c r="K130" i="20"/>
  <c r="Z130" i="20"/>
  <c r="G131" i="20"/>
  <c r="K131" i="20"/>
  <c r="Z131" i="20"/>
  <c r="L115" i="20"/>
  <c r="L117" i="20"/>
  <c r="L118" i="20"/>
  <c r="L120" i="20"/>
  <c r="L123" i="20"/>
  <c r="L126" i="20"/>
  <c r="L98" i="20"/>
  <c r="L109" i="20"/>
  <c r="G114" i="20"/>
  <c r="G115" i="20"/>
  <c r="K115" i="20"/>
  <c r="I116" i="20"/>
  <c r="G117" i="20"/>
  <c r="K117" i="20"/>
  <c r="G118" i="20"/>
  <c r="K118" i="20"/>
  <c r="I119" i="20"/>
  <c r="G120" i="20"/>
  <c r="K120" i="20"/>
  <c r="I121" i="20"/>
  <c r="G123" i="20"/>
  <c r="K123" i="20"/>
  <c r="I125" i="20"/>
  <c r="G126" i="20"/>
  <c r="K126" i="20"/>
  <c r="I127" i="20"/>
  <c r="I130" i="20"/>
  <c r="I131" i="20"/>
  <c r="L23" i="20"/>
  <c r="L59" i="20"/>
  <c r="L89" i="20"/>
  <c r="F90" i="20"/>
  <c r="J90" i="20"/>
  <c r="P90" i="20"/>
  <c r="F93" i="20"/>
  <c r="J93" i="20"/>
  <c r="P93" i="20"/>
  <c r="F95" i="20"/>
  <c r="J95" i="20"/>
  <c r="P95" i="20"/>
  <c r="AL95" i="20" s="1"/>
  <c r="F97" i="20"/>
  <c r="J97" i="20"/>
  <c r="P97" i="20"/>
  <c r="AL97" i="20" s="1"/>
  <c r="F100" i="20"/>
  <c r="J100" i="20"/>
  <c r="P100" i="20"/>
  <c r="AL100" i="20" s="1"/>
  <c r="F103" i="20"/>
  <c r="J103" i="20"/>
  <c r="P103" i="20"/>
  <c r="AL103" i="20" s="1"/>
  <c r="F105" i="20"/>
  <c r="J105" i="20"/>
  <c r="P105" i="20"/>
  <c r="F107" i="20"/>
  <c r="J107" i="20"/>
  <c r="P107" i="20"/>
  <c r="AL107" i="20" s="1"/>
  <c r="F111" i="20"/>
  <c r="J111" i="20"/>
  <c r="P111" i="20"/>
  <c r="L90" i="20"/>
  <c r="L93" i="20"/>
  <c r="L95" i="20"/>
  <c r="L97" i="20"/>
  <c r="L100" i="20"/>
  <c r="L103" i="20"/>
  <c r="L105" i="20"/>
  <c r="L107" i="20"/>
  <c r="L111" i="20"/>
  <c r="I89" i="20"/>
  <c r="G90" i="20"/>
  <c r="K90" i="20"/>
  <c r="G93" i="20"/>
  <c r="K93" i="20"/>
  <c r="G95" i="20"/>
  <c r="K95" i="20"/>
  <c r="G97" i="20"/>
  <c r="K97" i="20"/>
  <c r="G100" i="20"/>
  <c r="K100" i="20"/>
  <c r="G103" i="20"/>
  <c r="K103" i="20"/>
  <c r="G105" i="20"/>
  <c r="K105" i="20"/>
  <c r="G107" i="20"/>
  <c r="K107" i="20"/>
  <c r="G111" i="20"/>
  <c r="K111" i="20"/>
  <c r="Z24" i="20"/>
  <c r="AL24" i="20" s="1"/>
  <c r="K24" i="20"/>
  <c r="I46" i="20"/>
  <c r="F23" i="20"/>
  <c r="P23" i="20"/>
  <c r="J23" i="20"/>
  <c r="I23" i="20"/>
  <c r="G24" i="20"/>
  <c r="I56" i="20"/>
  <c r="G59" i="20"/>
  <c r="K59" i="20"/>
  <c r="Z59" i="20"/>
  <c r="F59" i="20"/>
  <c r="J59" i="20"/>
  <c r="P59" i="20"/>
  <c r="G56" i="20"/>
  <c r="Z56" i="20"/>
  <c r="I59" i="20"/>
  <c r="F56" i="20"/>
  <c r="J56" i="20"/>
  <c r="G46" i="20"/>
  <c r="Z46" i="20"/>
  <c r="L46" i="20"/>
  <c r="K46" i="20"/>
  <c r="F46" i="20"/>
  <c r="J46" i="20"/>
  <c r="G23" i="20"/>
  <c r="K23" i="20"/>
  <c r="Z23" i="20"/>
  <c r="I24" i="20"/>
  <c r="L24" i="20"/>
  <c r="F24" i="20"/>
  <c r="J24" i="20"/>
  <c r="AL157" i="20" l="1"/>
  <c r="P160" i="20"/>
  <c r="G113" i="20"/>
  <c r="F113" i="20"/>
  <c r="I113" i="20"/>
  <c r="P113" i="20"/>
  <c r="K113" i="20"/>
  <c r="L113" i="20"/>
  <c r="J113" i="20"/>
  <c r="Z113" i="20"/>
  <c r="AL90" i="20"/>
  <c r="AL154" i="20"/>
  <c r="AL115" i="20"/>
  <c r="AL93" i="20"/>
  <c r="AL111" i="20"/>
  <c r="AL89" i="20"/>
  <c r="AL152" i="20"/>
  <c r="AL151" i="20"/>
  <c r="AL130" i="20"/>
  <c r="AL46" i="20"/>
  <c r="AL148" i="20"/>
  <c r="AL114" i="20"/>
  <c r="AL150" i="20"/>
  <c r="AL138" i="20"/>
  <c r="AL119" i="20"/>
  <c r="AR30" i="40"/>
  <c r="AR34" i="40" s="1"/>
  <c r="AL140" i="20"/>
  <c r="AL96" i="20"/>
  <c r="AL105" i="20"/>
  <c r="AL146" i="20"/>
  <c r="AL94" i="20"/>
  <c r="AL56" i="20"/>
  <c r="AR25" i="40"/>
  <c r="AL131" i="20"/>
  <c r="M98" i="20"/>
  <c r="AL147" i="20"/>
  <c r="M102" i="20"/>
  <c r="M109" i="20"/>
  <c r="AL141" i="20"/>
  <c r="AL136" i="20"/>
  <c r="AL121" i="20"/>
  <c r="AL135" i="20"/>
  <c r="M104" i="20"/>
  <c r="AM104" i="20" s="1"/>
  <c r="AR104" i="20" s="1"/>
  <c r="AL129" i="20"/>
  <c r="M144" i="20"/>
  <c r="M136" i="20"/>
  <c r="M94" i="20"/>
  <c r="AL149" i="20"/>
  <c r="AL144" i="20"/>
  <c r="AL139" i="20"/>
  <c r="M129" i="20"/>
  <c r="M115" i="20"/>
  <c r="AL98" i="20"/>
  <c r="AL102" i="20"/>
  <c r="M96" i="20"/>
  <c r="AL125" i="20"/>
  <c r="M106" i="20"/>
  <c r="M149" i="20"/>
  <c r="M141" i="20"/>
  <c r="M133" i="20"/>
  <c r="AL127" i="20"/>
  <c r="AL116" i="20"/>
  <c r="M140" i="20"/>
  <c r="M130" i="20"/>
  <c r="M119" i="20"/>
  <c r="M151" i="20"/>
  <c r="M148" i="20"/>
  <c r="M143" i="20"/>
  <c r="AM143" i="20" s="1"/>
  <c r="AR143" i="20" s="1"/>
  <c r="M146" i="20"/>
  <c r="M138" i="20"/>
  <c r="M157" i="20"/>
  <c r="M127" i="20"/>
  <c r="M125" i="20"/>
  <c r="M116" i="20"/>
  <c r="AL109" i="20"/>
  <c r="M152" i="20"/>
  <c r="M147" i="20"/>
  <c r="M139" i="20"/>
  <c r="M135" i="20"/>
  <c r="M131" i="20"/>
  <c r="M150" i="20"/>
  <c r="M142" i="20"/>
  <c r="AM142" i="20" s="1"/>
  <c r="AR142" i="20" s="1"/>
  <c r="M154" i="20"/>
  <c r="M156" i="20"/>
  <c r="AL156" i="20"/>
  <c r="AL160" i="20" s="1"/>
  <c r="AL133" i="20"/>
  <c r="M123" i="20"/>
  <c r="AM123" i="20" s="1"/>
  <c r="AR123" i="20" s="1"/>
  <c r="M126" i="20"/>
  <c r="AM126" i="20" s="1"/>
  <c r="AR126" i="20" s="1"/>
  <c r="M120" i="20"/>
  <c r="AM120" i="20" s="1"/>
  <c r="AR120" i="20" s="1"/>
  <c r="M117" i="20"/>
  <c r="AM117" i="20" s="1"/>
  <c r="AR117" i="20" s="1"/>
  <c r="M114" i="20"/>
  <c r="M100" i="20"/>
  <c r="AM100" i="20" s="1"/>
  <c r="AR100" i="20" s="1"/>
  <c r="M121" i="20"/>
  <c r="M118" i="20"/>
  <c r="AM118" i="20" s="1"/>
  <c r="AR118" i="20" s="1"/>
  <c r="AL106" i="20"/>
  <c r="M107" i="20"/>
  <c r="M97" i="20"/>
  <c r="M105" i="20"/>
  <c r="M95" i="20"/>
  <c r="AM95" i="20" s="1"/>
  <c r="AR95" i="20" s="1"/>
  <c r="M111" i="20"/>
  <c r="M103" i="20"/>
  <c r="AM103" i="20" s="1"/>
  <c r="AR103" i="20" s="1"/>
  <c r="M93" i="20"/>
  <c r="M90" i="20"/>
  <c r="M89" i="20"/>
  <c r="M23" i="20"/>
  <c r="AL23" i="20"/>
  <c r="M59" i="20"/>
  <c r="M24" i="20"/>
  <c r="AM24" i="20" s="1"/>
  <c r="AR24" i="20" s="1"/>
  <c r="M46" i="20"/>
  <c r="M56" i="20"/>
  <c r="AL59" i="20"/>
  <c r="AL155" i="20" l="1"/>
  <c r="AL113" i="20"/>
  <c r="AM90" i="20"/>
  <c r="AM154" i="20"/>
  <c r="AM97" i="20"/>
  <c r="AM115" i="20"/>
  <c r="AM152" i="20"/>
  <c r="AM93" i="20"/>
  <c r="AM130" i="20"/>
  <c r="AM151" i="20"/>
  <c r="AM46" i="20"/>
  <c r="AR46" i="20" s="1"/>
  <c r="AM114" i="20"/>
  <c r="AM138" i="20"/>
  <c r="AR138" i="20" s="1"/>
  <c r="AM150" i="20"/>
  <c r="AM119" i="20"/>
  <c r="AM148" i="20"/>
  <c r="AM111" i="20"/>
  <c r="AM140" i="20"/>
  <c r="AR140" i="20" s="1"/>
  <c r="AM96" i="20"/>
  <c r="AR96" i="20" s="1"/>
  <c r="AM105" i="20"/>
  <c r="AR105" i="20" s="1"/>
  <c r="AM146" i="20"/>
  <c r="AM107" i="20"/>
  <c r="AM116" i="20"/>
  <c r="AR116" i="20" s="1"/>
  <c r="AM94" i="20"/>
  <c r="AR94" i="20" s="1"/>
  <c r="AM56" i="20"/>
  <c r="AR56" i="20" s="1"/>
  <c r="AM98" i="20"/>
  <c r="AR98" i="20" s="1"/>
  <c r="AM102" i="20"/>
  <c r="AM131" i="20"/>
  <c r="AM109" i="20"/>
  <c r="AR109" i="20" s="1"/>
  <c r="AM147" i="20"/>
  <c r="AR147" i="20" s="1"/>
  <c r="AM121" i="20"/>
  <c r="AR121" i="20" s="1"/>
  <c r="AM141" i="20"/>
  <c r="AR141" i="20" s="1"/>
  <c r="AM136" i="20"/>
  <c r="AR136" i="20" s="1"/>
  <c r="AM157" i="20"/>
  <c r="AM139" i="20"/>
  <c r="AR139" i="20" s="1"/>
  <c r="AM135" i="20"/>
  <c r="AM129" i="20"/>
  <c r="AM144" i="20"/>
  <c r="AM125" i="20"/>
  <c r="AM149" i="20"/>
  <c r="AM127" i="20"/>
  <c r="AM106" i="20"/>
  <c r="AR106" i="20" s="1"/>
  <c r="AM133" i="20"/>
  <c r="AM156" i="20"/>
  <c r="AM23" i="20"/>
  <c r="AM89" i="20"/>
  <c r="AM59" i="20"/>
  <c r="L39" i="46"/>
  <c r="P21" i="46"/>
  <c r="P20" i="46"/>
  <c r="P19" i="46"/>
  <c r="AM155" i="20" l="1"/>
  <c r="AM113" i="20"/>
  <c r="AR90" i="20"/>
  <c r="AR114" i="20"/>
  <c r="AR154" i="20"/>
  <c r="AR97" i="20"/>
  <c r="AR115" i="20"/>
  <c r="AR152" i="20"/>
  <c r="AR131" i="20"/>
  <c r="AR93" i="20"/>
  <c r="AR151" i="20"/>
  <c r="AR130" i="20"/>
  <c r="AR129" i="20"/>
  <c r="AR102" i="20"/>
  <c r="AR133" i="20"/>
  <c r="AR119" i="20"/>
  <c r="AR23" i="20"/>
  <c r="AR150" i="20"/>
  <c r="AR59" i="20"/>
  <c r="AR148" i="20"/>
  <c r="AR111" i="20"/>
  <c r="AR144" i="20"/>
  <c r="AR146" i="20"/>
  <c r="AR125" i="20"/>
  <c r="AR107" i="20"/>
  <c r="AR149" i="20"/>
  <c r="AR127" i="20"/>
  <c r="AR157" i="20"/>
  <c r="AR135" i="20"/>
  <c r="AR156" i="20"/>
  <c r="AR89" i="20"/>
  <c r="P22" i="46"/>
  <c r="AR160" i="20" l="1"/>
  <c r="AR155" i="20"/>
  <c r="AR113" i="20"/>
  <c r="BC82" i="20"/>
  <c r="BB82" i="20"/>
  <c r="AW82" i="20"/>
  <c r="AQ82" i="20"/>
  <c r="BC81" i="20"/>
  <c r="BB81" i="20"/>
  <c r="AW81" i="20"/>
  <c r="AQ81" i="20"/>
  <c r="BC80" i="20"/>
  <c r="BB80" i="20"/>
  <c r="AW80" i="20"/>
  <c r="AQ80" i="20"/>
  <c r="BC79" i="20"/>
  <c r="BB79" i="20"/>
  <c r="AW79" i="20"/>
  <c r="AQ79" i="20"/>
  <c r="BC78" i="20"/>
  <c r="BB78" i="20"/>
  <c r="AW78" i="20"/>
  <c r="AQ78" i="20"/>
  <c r="BC88" i="20"/>
  <c r="BB88" i="20"/>
  <c r="AW88" i="20"/>
  <c r="AQ88" i="20"/>
  <c r="BC87" i="20"/>
  <c r="BB87" i="20"/>
  <c r="AW87" i="20"/>
  <c r="AQ87" i="20"/>
  <c r="BC76" i="20"/>
  <c r="BB76" i="20"/>
  <c r="AW76" i="20"/>
  <c r="AQ76" i="20"/>
  <c r="BC75" i="20"/>
  <c r="BB75" i="20"/>
  <c r="AW75" i="20"/>
  <c r="AQ75" i="20"/>
  <c r="BC74" i="20"/>
  <c r="BB74" i="20"/>
  <c r="AW74" i="20"/>
  <c r="AQ74" i="20"/>
  <c r="BC73" i="20"/>
  <c r="BB73" i="20"/>
  <c r="AW73" i="20"/>
  <c r="AQ73" i="20"/>
  <c r="BC72" i="20"/>
  <c r="BB72" i="20"/>
  <c r="AW72" i="20"/>
  <c r="AQ72" i="20"/>
  <c r="BC69" i="20"/>
  <c r="BB69" i="20"/>
  <c r="AW69" i="20"/>
  <c r="AQ69" i="20"/>
  <c r="BC67" i="20"/>
  <c r="BB67" i="20"/>
  <c r="AW67" i="20"/>
  <c r="AQ67" i="20"/>
  <c r="BC66" i="20"/>
  <c r="BB66" i="20"/>
  <c r="AW66" i="20"/>
  <c r="AQ66" i="20"/>
  <c r="BC65" i="20"/>
  <c r="BB65" i="20"/>
  <c r="AW65" i="20"/>
  <c r="AQ65" i="20"/>
  <c r="BC23" i="40" l="1"/>
  <c r="BB23" i="40"/>
  <c r="AW23" i="40"/>
  <c r="AQ23" i="40"/>
  <c r="BC22" i="40"/>
  <c r="BB22" i="40"/>
  <c r="AW22" i="40"/>
  <c r="AQ22" i="40"/>
  <c r="BC21" i="40"/>
  <c r="BB21" i="40"/>
  <c r="AW21" i="40"/>
  <c r="AQ21" i="40"/>
  <c r="BC20" i="40"/>
  <c r="BB20" i="40"/>
  <c r="AW20" i="40"/>
  <c r="AQ20" i="40"/>
  <c r="BC19" i="40"/>
  <c r="BB19" i="40"/>
  <c r="AW19" i="40"/>
  <c r="AQ19" i="40"/>
  <c r="BC18" i="40"/>
  <c r="BB18" i="40"/>
  <c r="AW18" i="40"/>
  <c r="AQ18" i="40"/>
  <c r="BC17" i="40"/>
  <c r="BB17" i="40"/>
  <c r="AW17" i="40"/>
  <c r="AQ17" i="40"/>
  <c r="BC14" i="40"/>
  <c r="BB14" i="40"/>
  <c r="AW14" i="40"/>
  <c r="AQ14" i="40"/>
  <c r="BC13" i="40"/>
  <c r="BB13" i="40"/>
  <c r="AW13" i="40"/>
  <c r="AQ13" i="40"/>
  <c r="BC12" i="40"/>
  <c r="BB12" i="40"/>
  <c r="AW12" i="40"/>
  <c r="AQ12" i="40"/>
  <c r="BC11" i="40"/>
  <c r="BB11" i="40"/>
  <c r="AW11" i="40"/>
  <c r="AQ11" i="40"/>
  <c r="BC9" i="40"/>
  <c r="BB9" i="40"/>
  <c r="AW9" i="40"/>
  <c r="AQ9" i="40"/>
  <c r="BC29" i="40" l="1"/>
  <c r="BC35" i="40" s="1"/>
  <c r="AQ29" i="40"/>
  <c r="AQ35" i="40" s="1"/>
  <c r="AW29" i="40"/>
  <c r="AW35" i="40" s="1"/>
  <c r="BB29" i="40"/>
  <c r="BB35" i="40" s="1"/>
  <c r="L37" i="39"/>
  <c r="P21" i="39"/>
  <c r="P20" i="39"/>
  <c r="P19" i="39"/>
  <c r="P22" i="39" l="1"/>
  <c r="BC86" i="20" l="1"/>
  <c r="BB86" i="20"/>
  <c r="AW86" i="20"/>
  <c r="AQ86" i="20"/>
  <c r="BC77" i="20"/>
  <c r="BC92" i="20" s="1"/>
  <c r="BB77" i="20"/>
  <c r="BB92" i="20" s="1"/>
  <c r="AW77" i="20"/>
  <c r="AW92" i="20" s="1"/>
  <c r="AQ77" i="20"/>
  <c r="AQ92" i="20" s="1"/>
  <c r="BC64" i="20"/>
  <c r="BB64" i="20"/>
  <c r="AW64" i="20"/>
  <c r="AQ64" i="20"/>
  <c r="BC62" i="20"/>
  <c r="BB62" i="20"/>
  <c r="AW62" i="20"/>
  <c r="AQ62" i="20"/>
  <c r="BC60" i="20"/>
  <c r="BB60" i="20"/>
  <c r="AW60" i="20"/>
  <c r="AQ60" i="20"/>
  <c r="BC55" i="20"/>
  <c r="BB55" i="20"/>
  <c r="AW55" i="20"/>
  <c r="AQ55" i="20"/>
  <c r="BC54" i="20"/>
  <c r="BB54" i="20"/>
  <c r="AW54" i="20"/>
  <c r="AQ54" i="20"/>
  <c r="BC53" i="20"/>
  <c r="BB53" i="20"/>
  <c r="AW53" i="20"/>
  <c r="AQ53" i="20"/>
  <c r="BC52" i="20"/>
  <c r="BB52" i="20"/>
  <c r="AW52" i="20"/>
  <c r="AQ52" i="20"/>
  <c r="BC51" i="20"/>
  <c r="BC71" i="20" s="1"/>
  <c r="BB51" i="20"/>
  <c r="BB71" i="20" s="1"/>
  <c r="AW51" i="20"/>
  <c r="AW71" i="20" s="1"/>
  <c r="AQ51" i="20"/>
  <c r="BC48" i="20"/>
  <c r="BB48" i="20"/>
  <c r="AW48" i="20"/>
  <c r="AQ48" i="20"/>
  <c r="BC47" i="20"/>
  <c r="BB47" i="20"/>
  <c r="AW47" i="20"/>
  <c r="AQ47" i="20"/>
  <c r="BC45" i="20"/>
  <c r="BB45" i="20"/>
  <c r="AW45" i="20"/>
  <c r="AQ45" i="20"/>
  <c r="BC44" i="20"/>
  <c r="BB44" i="20"/>
  <c r="AW44" i="20"/>
  <c r="AQ44" i="20"/>
  <c r="BC43" i="20"/>
  <c r="BB43" i="20"/>
  <c r="AW43" i="20"/>
  <c r="AQ43" i="20"/>
  <c r="BC41" i="20"/>
  <c r="BB41" i="20"/>
  <c r="AW41" i="20"/>
  <c r="AQ41" i="20"/>
  <c r="BC39" i="20"/>
  <c r="BB39" i="20"/>
  <c r="AW39" i="20"/>
  <c r="AQ39" i="20"/>
  <c r="BC37" i="20"/>
  <c r="BB37" i="20"/>
  <c r="AW37" i="20"/>
  <c r="AQ37" i="20"/>
  <c r="BC36" i="20"/>
  <c r="BB36" i="20"/>
  <c r="AW36" i="20"/>
  <c r="AQ36" i="20"/>
  <c r="BC35" i="20"/>
  <c r="BB35" i="20"/>
  <c r="AW35" i="20"/>
  <c r="AQ35" i="20"/>
  <c r="AQ71" i="20" l="1"/>
  <c r="F18" i="15"/>
  <c r="BC9" i="20"/>
  <c r="BB9" i="20"/>
  <c r="AW9" i="20"/>
  <c r="BC128" i="20"/>
  <c r="BC134" i="20" s="1"/>
  <c r="BB128" i="20"/>
  <c r="BB134" i="20" s="1"/>
  <c r="AW128" i="20"/>
  <c r="AW134" i="20" s="1"/>
  <c r="BC10" i="20"/>
  <c r="AW10" i="20"/>
  <c r="BC11" i="20"/>
  <c r="BB11" i="20"/>
  <c r="AW11" i="20"/>
  <c r="BC12" i="20"/>
  <c r="BB12" i="20"/>
  <c r="AW12" i="20"/>
  <c r="BC13" i="20"/>
  <c r="BB13" i="20"/>
  <c r="AW13" i="20"/>
  <c r="BC14" i="20"/>
  <c r="BB14" i="20"/>
  <c r="AW14" i="20"/>
  <c r="BC15" i="20"/>
  <c r="BB15" i="20"/>
  <c r="AW15" i="20"/>
  <c r="BC16" i="20"/>
  <c r="BB16" i="20"/>
  <c r="AW16" i="20"/>
  <c r="BC17" i="20"/>
  <c r="BB17" i="20"/>
  <c r="AW17" i="20"/>
  <c r="BC18" i="20"/>
  <c r="BB18" i="20"/>
  <c r="AW18" i="20"/>
  <c r="AW20" i="20"/>
  <c r="BC21" i="20"/>
  <c r="BB21" i="20"/>
  <c r="AW21" i="20"/>
  <c r="BC25" i="20"/>
  <c r="BB25" i="20"/>
  <c r="AW25" i="20"/>
  <c r="BC27" i="20"/>
  <c r="BB27" i="20"/>
  <c r="AW27" i="20"/>
  <c r="BC30" i="20"/>
  <c r="BB30" i="20"/>
  <c r="AW30" i="20"/>
  <c r="BC31" i="20"/>
  <c r="BB31" i="20"/>
  <c r="AW31" i="20"/>
  <c r="BC32" i="20"/>
  <c r="BB32" i="20"/>
  <c r="AW32" i="20"/>
  <c r="BC33" i="20"/>
  <c r="BB33" i="20"/>
  <c r="AW33" i="20"/>
  <c r="BC34" i="20"/>
  <c r="BB34" i="20"/>
  <c r="AW34" i="20"/>
  <c r="F22" i="15"/>
  <c r="V16" i="15"/>
  <c r="W16" i="15"/>
  <c r="K16" i="15"/>
  <c r="L16" i="15" s="1"/>
  <c r="M16" i="15"/>
  <c r="Q16" i="15" s="1"/>
  <c r="F17" i="15"/>
  <c r="V17" i="15" s="1"/>
  <c r="W17" i="15"/>
  <c r="I17" i="15"/>
  <c r="O17" i="15"/>
  <c r="W18" i="15"/>
  <c r="I18" i="15"/>
  <c r="O18" i="15"/>
  <c r="F19" i="15"/>
  <c r="W19" i="15"/>
  <c r="I19" i="15"/>
  <c r="O19" i="15"/>
  <c r="F20" i="15"/>
  <c r="W20" i="15"/>
  <c r="I20" i="15"/>
  <c r="O20" i="15"/>
  <c r="F21" i="15"/>
  <c r="W21" i="15"/>
  <c r="I21" i="15"/>
  <c r="O21" i="15"/>
  <c r="W22" i="15"/>
  <c r="I22" i="15"/>
  <c r="O22" i="15"/>
  <c r="F23" i="15"/>
  <c r="V23" i="15" s="1"/>
  <c r="W23" i="15"/>
  <c r="I23" i="15"/>
  <c r="O23" i="15"/>
  <c r="D25" i="15"/>
  <c r="AL10" i="15"/>
  <c r="AQ9" i="20"/>
  <c r="AQ128" i="20"/>
  <c r="AQ134" i="20" s="1"/>
  <c r="AQ10" i="20"/>
  <c r="AQ11" i="20"/>
  <c r="AQ12" i="20"/>
  <c r="AQ13" i="20"/>
  <c r="AQ14" i="20"/>
  <c r="AQ15" i="20"/>
  <c r="AQ16" i="20"/>
  <c r="AQ17" i="20"/>
  <c r="AQ18" i="20"/>
  <c r="AQ20" i="20"/>
  <c r="AQ21" i="20"/>
  <c r="AQ25" i="20"/>
  <c r="AQ27" i="20"/>
  <c r="AQ30" i="20"/>
  <c r="AQ31" i="20"/>
  <c r="AQ32" i="20"/>
  <c r="AQ33" i="20"/>
  <c r="AQ34" i="20"/>
  <c r="AW50" i="20" l="1"/>
  <c r="BC50" i="20"/>
  <c r="AQ50" i="20"/>
  <c r="BB50" i="20"/>
  <c r="AW29" i="20"/>
  <c r="BB29" i="20"/>
  <c r="BC29" i="20"/>
  <c r="AQ29" i="20"/>
  <c r="Y23" i="15"/>
  <c r="R16" i="15"/>
  <c r="S16" i="15" s="1"/>
  <c r="Y17" i="15"/>
  <c r="M23" i="15"/>
  <c r="Q23" i="15" s="1"/>
  <c r="K23" i="15"/>
  <c r="L23" i="15" s="1"/>
  <c r="K22" i="15"/>
  <c r="L22" i="15" s="1"/>
  <c r="M17" i="15"/>
  <c r="Q17" i="15" s="1"/>
  <c r="K17" i="15"/>
  <c r="L17" i="15" s="1"/>
  <c r="Y16" i="15"/>
  <c r="M22" i="15"/>
  <c r="Q22" i="15" s="1"/>
  <c r="V22" i="15"/>
  <c r="Y22" i="15" s="1"/>
  <c r="V18" i="15"/>
  <c r="Y18" i="15" s="1"/>
  <c r="K18" i="15"/>
  <c r="L18" i="15" s="1"/>
  <c r="M18" i="15"/>
  <c r="Q18" i="15" s="1"/>
  <c r="V20" i="15"/>
  <c r="Y20" i="15" s="1"/>
  <c r="K20" i="15"/>
  <c r="L20" i="15" s="1"/>
  <c r="M20" i="15"/>
  <c r="Q20" i="15" s="1"/>
  <c r="M21" i="15"/>
  <c r="Q21" i="15" s="1"/>
  <c r="V21" i="15"/>
  <c r="Y21" i="15" s="1"/>
  <c r="K21" i="15"/>
  <c r="L21" i="15" s="1"/>
  <c r="M19" i="15"/>
  <c r="Q19" i="15" s="1"/>
  <c r="V19" i="15"/>
  <c r="Y19" i="15" s="1"/>
  <c r="K19" i="15"/>
  <c r="L19" i="15" s="1"/>
  <c r="BC161" i="20" l="1"/>
  <c r="BB161" i="20"/>
  <c r="AW161" i="20"/>
  <c r="Z16" i="15"/>
  <c r="AA16" i="15" s="1"/>
  <c r="R17" i="15"/>
  <c r="S17" i="15" s="1"/>
  <c r="Z17" i="15" s="1"/>
  <c r="AA17" i="15" s="1"/>
  <c r="R23" i="15"/>
  <c r="S23" i="15" s="1"/>
  <c r="Z23" i="15" s="1"/>
  <c r="AA23" i="15" s="1"/>
  <c r="R22" i="15"/>
  <c r="S22" i="15" s="1"/>
  <c r="Z22" i="15" s="1"/>
  <c r="AA22" i="15" s="1"/>
  <c r="AU35" i="20"/>
  <c r="H35" i="20"/>
  <c r="AU36" i="20"/>
  <c r="H36" i="20"/>
  <c r="H52" i="20"/>
  <c r="AU52" i="20"/>
  <c r="H48" i="20"/>
  <c r="AU48" i="20"/>
  <c r="AU44" i="20"/>
  <c r="H44" i="20"/>
  <c r="AU43" i="20"/>
  <c r="H43" i="20"/>
  <c r="H55" i="20"/>
  <c r="AU55" i="20"/>
  <c r="H79" i="20"/>
  <c r="AU79" i="20"/>
  <c r="H75" i="20"/>
  <c r="AU75" i="20"/>
  <c r="AU80" i="20"/>
  <c r="H80" i="20"/>
  <c r="AU20" i="40"/>
  <c r="H20" i="40"/>
  <c r="H21" i="40"/>
  <c r="AU21" i="40"/>
  <c r="AU14" i="40"/>
  <c r="H14" i="40"/>
  <c r="AU77" i="20"/>
  <c r="H77" i="20"/>
  <c r="R19" i="15"/>
  <c r="S19" i="15" s="1"/>
  <c r="Z19" i="15" s="1"/>
  <c r="AA19" i="15" s="1"/>
  <c r="H60" i="20"/>
  <c r="AU60" i="20"/>
  <c r="H86" i="20"/>
  <c r="AU86" i="20"/>
  <c r="AU53" i="20"/>
  <c r="H53" i="20"/>
  <c r="H45" i="20"/>
  <c r="AU45" i="20"/>
  <c r="H67" i="20"/>
  <c r="AU67" i="20"/>
  <c r="AU69" i="20"/>
  <c r="H69" i="20"/>
  <c r="H87" i="20"/>
  <c r="AU87" i="20"/>
  <c r="AU78" i="20"/>
  <c r="H78" i="20"/>
  <c r="AU18" i="40"/>
  <c r="H18" i="40"/>
  <c r="AU12" i="40"/>
  <c r="H12" i="40"/>
  <c r="H13" i="40"/>
  <c r="AU13" i="40"/>
  <c r="AU65" i="20"/>
  <c r="H65" i="20"/>
  <c r="AU66" i="20"/>
  <c r="H66" i="20"/>
  <c r="H74" i="20"/>
  <c r="AU74" i="20"/>
  <c r="H88" i="20"/>
  <c r="AU88" i="20"/>
  <c r="H73" i="20"/>
  <c r="AU73" i="20"/>
  <c r="AU82" i="20"/>
  <c r="H82" i="20"/>
  <c r="AU9" i="40"/>
  <c r="H9" i="40"/>
  <c r="H17" i="40"/>
  <c r="AU17" i="40"/>
  <c r="AU22" i="40"/>
  <c r="H22" i="40"/>
  <c r="H19" i="40"/>
  <c r="AU19" i="40"/>
  <c r="R18" i="15"/>
  <c r="S18" i="15" s="1"/>
  <c r="Z18" i="15" s="1"/>
  <c r="AA18" i="15" s="1"/>
  <c r="H51" i="20"/>
  <c r="AU51" i="20"/>
  <c r="H47" i="20"/>
  <c r="AU47" i="20"/>
  <c r="H62" i="20"/>
  <c r="AU62" i="20"/>
  <c r="H41" i="20"/>
  <c r="AU41" i="20"/>
  <c r="AU37" i="20"/>
  <c r="H37" i="20"/>
  <c r="H39" i="20"/>
  <c r="AU39" i="20"/>
  <c r="H54" i="20"/>
  <c r="AU54" i="20"/>
  <c r="H64" i="20"/>
  <c r="AU64" i="20"/>
  <c r="H72" i="20"/>
  <c r="AU72" i="20"/>
  <c r="H76" i="20"/>
  <c r="AU76" i="20"/>
  <c r="AU81" i="20"/>
  <c r="H81" i="20"/>
  <c r="H11" i="40"/>
  <c r="AU11" i="40"/>
  <c r="H23" i="40"/>
  <c r="AU23" i="40"/>
  <c r="H9" i="20"/>
  <c r="R20" i="15"/>
  <c r="S20" i="15" s="1"/>
  <c r="Z20" i="15" s="1"/>
  <c r="AA20" i="15" s="1"/>
  <c r="H33" i="20"/>
  <c r="AU33" i="20"/>
  <c r="H25" i="20"/>
  <c r="AU25" i="20"/>
  <c r="H14" i="20"/>
  <c r="J14" i="20" s="1"/>
  <c r="AU14" i="20"/>
  <c r="AU9" i="20"/>
  <c r="AU31" i="20"/>
  <c r="H31" i="20"/>
  <c r="AU12" i="20"/>
  <c r="H12" i="20"/>
  <c r="J12" i="20" s="1"/>
  <c r="H27" i="20"/>
  <c r="AU27" i="20"/>
  <c r="H32" i="20"/>
  <c r="AU32" i="20"/>
  <c r="H20" i="20"/>
  <c r="AU20" i="20"/>
  <c r="H13" i="20"/>
  <c r="J13" i="20" s="1"/>
  <c r="AU13" i="20"/>
  <c r="AU17" i="20"/>
  <c r="H17" i="20"/>
  <c r="J17" i="20" s="1"/>
  <c r="AU10" i="20"/>
  <c r="H10" i="20"/>
  <c r="H16" i="20"/>
  <c r="J16" i="20" s="1"/>
  <c r="AU16" i="20"/>
  <c r="AU21" i="20"/>
  <c r="H21" i="20"/>
  <c r="J21" i="20" s="1"/>
  <c r="R21" i="15"/>
  <c r="S21" i="15" s="1"/>
  <c r="Z21" i="15" s="1"/>
  <c r="AA21" i="15" s="1"/>
  <c r="H30" i="20"/>
  <c r="AU30" i="20"/>
  <c r="H18" i="20"/>
  <c r="J18" i="20" s="1"/>
  <c r="AU18" i="20"/>
  <c r="H11" i="20"/>
  <c r="AU11" i="20"/>
  <c r="AU34" i="20"/>
  <c r="H34" i="20"/>
  <c r="AU15" i="20"/>
  <c r="H15" i="20"/>
  <c r="J15" i="20" s="1"/>
  <c r="AU128" i="20"/>
  <c r="AU134" i="20" s="1"/>
  <c r="H128" i="20"/>
  <c r="H134" i="20" s="1"/>
  <c r="H50" i="20" l="1"/>
  <c r="H92" i="20"/>
  <c r="AU92" i="20"/>
  <c r="H71" i="20"/>
  <c r="AU71" i="20"/>
  <c r="AU50" i="20"/>
  <c r="G20" i="20"/>
  <c r="F20" i="20"/>
  <c r="AU29" i="20"/>
  <c r="H29" i="20"/>
  <c r="H29" i="40"/>
  <c r="H35" i="40" s="1"/>
  <c r="AU29" i="40"/>
  <c r="AU35" i="40" s="1"/>
  <c r="J20" i="20"/>
  <c r="K20" i="20"/>
  <c r="L20" i="20"/>
  <c r="J27" i="20"/>
  <c r="K43" i="20"/>
  <c r="L43" i="20"/>
  <c r="L10" i="20"/>
  <c r="K10" i="20"/>
  <c r="J25" i="20"/>
  <c r="L80" i="20"/>
  <c r="K80" i="20"/>
  <c r="K72" i="20"/>
  <c r="L72" i="20"/>
  <c r="K60" i="20"/>
  <c r="L60" i="20"/>
  <c r="K39" i="20"/>
  <c r="L39" i="20"/>
  <c r="J10" i="20"/>
  <c r="J11" i="20"/>
  <c r="K11" i="20"/>
  <c r="L11" i="20"/>
  <c r="L65" i="20"/>
  <c r="K65" i="20"/>
  <c r="G76" i="20"/>
  <c r="P76" i="20"/>
  <c r="J76" i="20"/>
  <c r="Z76" i="20"/>
  <c r="L76" i="20"/>
  <c r="I76" i="20"/>
  <c r="K76" i="20"/>
  <c r="F76" i="20"/>
  <c r="K53" i="20"/>
  <c r="F53" i="20"/>
  <c r="P53" i="20"/>
  <c r="G53" i="20"/>
  <c r="J53" i="20"/>
  <c r="L53" i="20"/>
  <c r="Z53" i="20"/>
  <c r="I53" i="20"/>
  <c r="J52" i="20"/>
  <c r="F52" i="20"/>
  <c r="L52" i="20"/>
  <c r="P52" i="20"/>
  <c r="I52" i="20"/>
  <c r="Z52" i="20"/>
  <c r="G52" i="20"/>
  <c r="K52" i="20"/>
  <c r="P11" i="40"/>
  <c r="K11" i="40"/>
  <c r="L11" i="40"/>
  <c r="J11" i="40"/>
  <c r="Z11" i="40"/>
  <c r="F11" i="40"/>
  <c r="G11" i="40"/>
  <c r="I11" i="40"/>
  <c r="L88" i="20"/>
  <c r="P88" i="20"/>
  <c r="Z88" i="20"/>
  <c r="F88" i="20"/>
  <c r="I88" i="20"/>
  <c r="G88" i="20"/>
  <c r="J88" i="20"/>
  <c r="K88" i="20"/>
  <c r="L74" i="20"/>
  <c r="K74" i="20"/>
  <c r="Z74" i="20"/>
  <c r="I74" i="20"/>
  <c r="J74" i="20"/>
  <c r="F74" i="20"/>
  <c r="P74" i="20"/>
  <c r="G74" i="20"/>
  <c r="Z12" i="40"/>
  <c r="F12" i="40"/>
  <c r="G12" i="40"/>
  <c r="J12" i="40"/>
  <c r="P12" i="40"/>
  <c r="I12" i="40"/>
  <c r="L12" i="40"/>
  <c r="K12" i="40"/>
  <c r="G18" i="40"/>
  <c r="I18" i="40"/>
  <c r="L18" i="40"/>
  <c r="Z18" i="40"/>
  <c r="J18" i="40"/>
  <c r="P18" i="40"/>
  <c r="K18" i="40"/>
  <c r="F18" i="40"/>
  <c r="G78" i="20"/>
  <c r="L78" i="20"/>
  <c r="P78" i="20"/>
  <c r="I78" i="20"/>
  <c r="K78" i="20"/>
  <c r="Z78" i="20"/>
  <c r="J78" i="20"/>
  <c r="F78" i="20"/>
  <c r="Z79" i="20"/>
  <c r="J79" i="20"/>
  <c r="K79" i="20"/>
  <c r="F79" i="20"/>
  <c r="G79" i="20"/>
  <c r="I79" i="20"/>
  <c r="L79" i="20"/>
  <c r="P79" i="20"/>
  <c r="Z55" i="20"/>
  <c r="G55" i="20"/>
  <c r="J55" i="20"/>
  <c r="P55" i="20"/>
  <c r="F55" i="20"/>
  <c r="K55" i="20"/>
  <c r="I55" i="20"/>
  <c r="L55" i="20"/>
  <c r="P36" i="20"/>
  <c r="I36" i="20"/>
  <c r="K36" i="20"/>
  <c r="F36" i="20"/>
  <c r="J36" i="20"/>
  <c r="Z36" i="20"/>
  <c r="L36" i="20"/>
  <c r="G36" i="20"/>
  <c r="Z72" i="20"/>
  <c r="J72" i="20"/>
  <c r="I72" i="20"/>
  <c r="G72" i="20"/>
  <c r="F72" i="20"/>
  <c r="P72" i="20"/>
  <c r="G37" i="20"/>
  <c r="I37" i="20"/>
  <c r="P37" i="20"/>
  <c r="F37" i="20"/>
  <c r="J37" i="20"/>
  <c r="K37" i="20"/>
  <c r="L37" i="20"/>
  <c r="Z37" i="20"/>
  <c r="Z17" i="40"/>
  <c r="L17" i="40"/>
  <c r="P17" i="40"/>
  <c r="G17" i="40"/>
  <c r="F17" i="40"/>
  <c r="K17" i="40"/>
  <c r="J17" i="40"/>
  <c r="I17" i="40"/>
  <c r="Z75" i="20"/>
  <c r="J75" i="20"/>
  <c r="F75" i="20"/>
  <c r="K75" i="20"/>
  <c r="G75" i="20"/>
  <c r="I75" i="20"/>
  <c r="L75" i="20"/>
  <c r="P75" i="20"/>
  <c r="Z48" i="20"/>
  <c r="K48" i="20"/>
  <c r="L48" i="20"/>
  <c r="G48" i="20"/>
  <c r="F48" i="20"/>
  <c r="P48" i="20"/>
  <c r="J48" i="20"/>
  <c r="I48" i="20"/>
  <c r="J81" i="20"/>
  <c r="L81" i="20"/>
  <c r="P81" i="20"/>
  <c r="K81" i="20"/>
  <c r="G81" i="20"/>
  <c r="Z81" i="20"/>
  <c r="F81" i="20"/>
  <c r="I81" i="20"/>
  <c r="I64" i="20"/>
  <c r="J64" i="20"/>
  <c r="P64" i="20"/>
  <c r="L64" i="20"/>
  <c r="K64" i="20"/>
  <c r="F64" i="20"/>
  <c r="G64" i="20"/>
  <c r="Z64" i="20"/>
  <c r="I39" i="20"/>
  <c r="Z39" i="20"/>
  <c r="J39" i="20"/>
  <c r="P39" i="20"/>
  <c r="F39" i="20"/>
  <c r="G39" i="20"/>
  <c r="P41" i="20"/>
  <c r="F41" i="20"/>
  <c r="I41" i="20"/>
  <c r="Z41" i="20"/>
  <c r="G41" i="20"/>
  <c r="J41" i="20"/>
  <c r="L47" i="20"/>
  <c r="J47" i="20"/>
  <c r="I47" i="20"/>
  <c r="K47" i="20"/>
  <c r="F47" i="20"/>
  <c r="Z47" i="20"/>
  <c r="G47" i="20"/>
  <c r="P47" i="20"/>
  <c r="P51" i="20"/>
  <c r="J51" i="20"/>
  <c r="Z51" i="20"/>
  <c r="G51" i="20"/>
  <c r="L51" i="20"/>
  <c r="F51" i="20"/>
  <c r="I51" i="20"/>
  <c r="K51" i="20"/>
  <c r="Z66" i="20"/>
  <c r="J66" i="20"/>
  <c r="G66" i="20"/>
  <c r="L66" i="20"/>
  <c r="F66" i="20"/>
  <c r="I66" i="20"/>
  <c r="K66" i="20"/>
  <c r="P66" i="20"/>
  <c r="K87" i="20"/>
  <c r="F87" i="20"/>
  <c r="G87" i="20"/>
  <c r="L87" i="20"/>
  <c r="I87" i="20"/>
  <c r="J87" i="20"/>
  <c r="Z87" i="20"/>
  <c r="P87" i="20"/>
  <c r="Z67" i="20"/>
  <c r="K67" i="20"/>
  <c r="F67" i="20"/>
  <c r="J67" i="20"/>
  <c r="I67" i="20"/>
  <c r="G67" i="20"/>
  <c r="P67" i="20"/>
  <c r="L67" i="20"/>
  <c r="Z45" i="20"/>
  <c r="G45" i="20"/>
  <c r="P45" i="20"/>
  <c r="F45" i="20"/>
  <c r="K45" i="20"/>
  <c r="L45" i="20"/>
  <c r="J45" i="20"/>
  <c r="I45" i="20"/>
  <c r="K86" i="20"/>
  <c r="Z86" i="20"/>
  <c r="L86" i="20"/>
  <c r="P86" i="20"/>
  <c r="F86" i="20"/>
  <c r="I86" i="20"/>
  <c r="G86" i="20"/>
  <c r="J86" i="20"/>
  <c r="L20" i="40"/>
  <c r="G20" i="40"/>
  <c r="I20" i="40"/>
  <c r="K20" i="40"/>
  <c r="Z20" i="40"/>
  <c r="J20" i="40"/>
  <c r="P20" i="40"/>
  <c r="F20" i="40"/>
  <c r="Z80" i="20"/>
  <c r="G80" i="20"/>
  <c r="J80" i="20"/>
  <c r="F80" i="20"/>
  <c r="P80" i="20"/>
  <c r="I80" i="20"/>
  <c r="I43" i="20"/>
  <c r="Z43" i="20"/>
  <c r="J43" i="20"/>
  <c r="F43" i="20"/>
  <c r="G43" i="20"/>
  <c r="P43" i="20"/>
  <c r="F44" i="20"/>
  <c r="K44" i="20"/>
  <c r="I44" i="20"/>
  <c r="J44" i="20"/>
  <c r="P44" i="20"/>
  <c r="Z44" i="20"/>
  <c r="G44" i="20"/>
  <c r="L44" i="20"/>
  <c r="AA25" i="15"/>
  <c r="J23" i="40"/>
  <c r="G23" i="40"/>
  <c r="I23" i="40"/>
  <c r="F23" i="40"/>
  <c r="Z23" i="40"/>
  <c r="P23" i="40"/>
  <c r="K23" i="40"/>
  <c r="L23" i="40"/>
  <c r="J19" i="40"/>
  <c r="I19" i="40"/>
  <c r="Z19" i="40"/>
  <c r="K19" i="40"/>
  <c r="G19" i="40"/>
  <c r="F19" i="40"/>
  <c r="L19" i="40"/>
  <c r="P19" i="40"/>
  <c r="J73" i="20"/>
  <c r="Z73" i="20"/>
  <c r="F73" i="20"/>
  <c r="G73" i="20"/>
  <c r="K73" i="20"/>
  <c r="L73" i="20"/>
  <c r="I73" i="20"/>
  <c r="P73" i="20"/>
  <c r="G69" i="20"/>
  <c r="F69" i="20"/>
  <c r="I69" i="20"/>
  <c r="J69" i="20"/>
  <c r="K69" i="20"/>
  <c r="Z69" i="20"/>
  <c r="P69" i="20"/>
  <c r="L69" i="20"/>
  <c r="K77" i="20"/>
  <c r="J77" i="20"/>
  <c r="L77" i="20"/>
  <c r="Z77" i="20"/>
  <c r="G77" i="20"/>
  <c r="P77" i="20"/>
  <c r="F77" i="20"/>
  <c r="I77" i="20"/>
  <c r="F21" i="40"/>
  <c r="P21" i="40"/>
  <c r="K21" i="40"/>
  <c r="L21" i="40"/>
  <c r="G21" i="40"/>
  <c r="Z21" i="40"/>
  <c r="I21" i="40"/>
  <c r="J21" i="40"/>
  <c r="L54" i="20"/>
  <c r="K54" i="20"/>
  <c r="Z54" i="20"/>
  <c r="G54" i="20"/>
  <c r="F54" i="20"/>
  <c r="I54" i="20"/>
  <c r="J54" i="20"/>
  <c r="P54" i="20"/>
  <c r="P62" i="20"/>
  <c r="F62" i="20"/>
  <c r="Z62" i="20"/>
  <c r="G62" i="20"/>
  <c r="L62" i="20"/>
  <c r="J62" i="20"/>
  <c r="K62" i="20"/>
  <c r="I62" i="20"/>
  <c r="J22" i="40"/>
  <c r="Z22" i="40"/>
  <c r="F22" i="40"/>
  <c r="I22" i="40"/>
  <c r="G22" i="40"/>
  <c r="K22" i="40"/>
  <c r="P22" i="40"/>
  <c r="L22" i="40"/>
  <c r="L9" i="40"/>
  <c r="G9" i="40"/>
  <c r="J9" i="40"/>
  <c r="I9" i="40"/>
  <c r="Z9" i="40"/>
  <c r="P9" i="40"/>
  <c r="F9" i="40"/>
  <c r="K9" i="40"/>
  <c r="P82" i="20"/>
  <c r="K82" i="20"/>
  <c r="J82" i="20"/>
  <c r="L82" i="20"/>
  <c r="I82" i="20"/>
  <c r="F82" i="20"/>
  <c r="G82" i="20"/>
  <c r="Z82" i="20"/>
  <c r="Z65" i="20"/>
  <c r="I65" i="20"/>
  <c r="P65" i="20"/>
  <c r="G65" i="20"/>
  <c r="F65" i="20"/>
  <c r="J65" i="20"/>
  <c r="Z13" i="40"/>
  <c r="L13" i="40"/>
  <c r="P13" i="40"/>
  <c r="K13" i="40"/>
  <c r="F13" i="40"/>
  <c r="J13" i="40"/>
  <c r="G13" i="40"/>
  <c r="I13" i="40"/>
  <c r="J60" i="20"/>
  <c r="Z60" i="20"/>
  <c r="G60" i="20"/>
  <c r="F60" i="20"/>
  <c r="P60" i="20"/>
  <c r="I60" i="20"/>
  <c r="G14" i="40"/>
  <c r="F14" i="40"/>
  <c r="L14" i="40"/>
  <c r="Z14" i="40"/>
  <c r="P14" i="40"/>
  <c r="K14" i="40"/>
  <c r="J14" i="40"/>
  <c r="I14" i="40"/>
  <c r="P35" i="20"/>
  <c r="L35" i="20"/>
  <c r="K35" i="20"/>
  <c r="F35" i="20"/>
  <c r="Z35" i="20"/>
  <c r="G35" i="20"/>
  <c r="J35" i="20"/>
  <c r="I35" i="20"/>
  <c r="J128" i="20"/>
  <c r="J134" i="20" s="1"/>
  <c r="I32" i="20"/>
  <c r="K32" i="20"/>
  <c r="F32" i="20"/>
  <c r="Z32" i="20"/>
  <c r="L32" i="20"/>
  <c r="G32" i="20"/>
  <c r="P32" i="20"/>
  <c r="J32" i="20"/>
  <c r="P15" i="20"/>
  <c r="I15" i="20"/>
  <c r="K15" i="20"/>
  <c r="F15" i="20"/>
  <c r="L15" i="20"/>
  <c r="G15" i="20"/>
  <c r="Z15" i="20"/>
  <c r="P34" i="20"/>
  <c r="I34" i="20"/>
  <c r="K34" i="20"/>
  <c r="J34" i="20"/>
  <c r="F34" i="20"/>
  <c r="Z34" i="20"/>
  <c r="L34" i="20"/>
  <c r="G34" i="20"/>
  <c r="I17" i="20"/>
  <c r="K17" i="20"/>
  <c r="G17" i="20"/>
  <c r="P17" i="20"/>
  <c r="Z17" i="20"/>
  <c r="L17" i="20"/>
  <c r="F17" i="20"/>
  <c r="I27" i="20"/>
  <c r="K27" i="20"/>
  <c r="F27" i="20"/>
  <c r="Z27" i="20"/>
  <c r="P27" i="20"/>
  <c r="L27" i="20"/>
  <c r="G27" i="20"/>
  <c r="Z14" i="20"/>
  <c r="I14" i="20"/>
  <c r="K14" i="20"/>
  <c r="P14" i="20"/>
  <c r="L14" i="20"/>
  <c r="G14" i="20"/>
  <c r="F14" i="20"/>
  <c r="Z33" i="20"/>
  <c r="I33" i="20"/>
  <c r="K33" i="20"/>
  <c r="L33" i="20"/>
  <c r="J33" i="20"/>
  <c r="P33" i="20"/>
  <c r="F33" i="20"/>
  <c r="G33" i="20"/>
  <c r="Z18" i="20"/>
  <c r="I18" i="20"/>
  <c r="K18" i="20"/>
  <c r="P18" i="20"/>
  <c r="L18" i="20"/>
  <c r="G18" i="20"/>
  <c r="F18" i="20"/>
  <c r="I20" i="20"/>
  <c r="Z20" i="20"/>
  <c r="P20" i="20"/>
  <c r="Z11" i="20"/>
  <c r="I11" i="20"/>
  <c r="P11" i="20"/>
  <c r="F11" i="20"/>
  <c r="G11" i="20"/>
  <c r="Z30" i="20"/>
  <c r="I30" i="20"/>
  <c r="K30" i="20"/>
  <c r="L30" i="20"/>
  <c r="F30" i="20"/>
  <c r="J30" i="20"/>
  <c r="G30" i="20"/>
  <c r="P30" i="20"/>
  <c r="Z13" i="20"/>
  <c r="I13" i="20"/>
  <c r="K13" i="20"/>
  <c r="F13" i="20"/>
  <c r="P13" i="20"/>
  <c r="L13" i="20"/>
  <c r="G13" i="20"/>
  <c r="I21" i="20"/>
  <c r="K21" i="20"/>
  <c r="G21" i="20"/>
  <c r="P21" i="20"/>
  <c r="Z21" i="20"/>
  <c r="F21" i="20"/>
  <c r="L21" i="20"/>
  <c r="P128" i="20"/>
  <c r="P134" i="20" s="1"/>
  <c r="I128" i="20"/>
  <c r="I134" i="20" s="1"/>
  <c r="K128" i="20"/>
  <c r="K134" i="20" s="1"/>
  <c r="G128" i="20"/>
  <c r="G134" i="20" s="1"/>
  <c r="L128" i="20"/>
  <c r="L134" i="20" s="1"/>
  <c r="F128" i="20"/>
  <c r="F134" i="20" s="1"/>
  <c r="Z128" i="20"/>
  <c r="Z134" i="20" s="1"/>
  <c r="I16" i="20"/>
  <c r="K16" i="20"/>
  <c r="F16" i="20"/>
  <c r="Z16" i="20"/>
  <c r="P16" i="20"/>
  <c r="L16" i="20"/>
  <c r="G16" i="20"/>
  <c r="I10" i="20"/>
  <c r="G10" i="20"/>
  <c r="P10" i="20"/>
  <c r="Z10" i="20"/>
  <c r="F10" i="20"/>
  <c r="P12" i="20"/>
  <c r="I12" i="20"/>
  <c r="K12" i="20"/>
  <c r="Z12" i="20"/>
  <c r="L12" i="20"/>
  <c r="G12" i="20"/>
  <c r="F12" i="20"/>
  <c r="P31" i="20"/>
  <c r="I31" i="20"/>
  <c r="K31" i="20"/>
  <c r="Z31" i="20"/>
  <c r="J31" i="20"/>
  <c r="L31" i="20"/>
  <c r="G31" i="20"/>
  <c r="F31" i="20"/>
  <c r="Z9" i="20"/>
  <c r="I9" i="20"/>
  <c r="K9" i="20"/>
  <c r="P9" i="20"/>
  <c r="L9" i="20"/>
  <c r="J9" i="20"/>
  <c r="G9" i="20"/>
  <c r="F9" i="20"/>
  <c r="Z25" i="20"/>
  <c r="I25" i="20"/>
  <c r="K25" i="20"/>
  <c r="P25" i="20"/>
  <c r="L25" i="20"/>
  <c r="G25" i="20"/>
  <c r="F25" i="20"/>
  <c r="F50" i="20" l="1"/>
  <c r="Z50" i="20"/>
  <c r="I92" i="20"/>
  <c r="P92" i="20"/>
  <c r="J92" i="20"/>
  <c r="L92" i="20"/>
  <c r="G92" i="20"/>
  <c r="F92" i="20"/>
  <c r="Z92" i="20"/>
  <c r="K92" i="20"/>
  <c r="K71" i="20"/>
  <c r="G71" i="20"/>
  <c r="I71" i="20"/>
  <c r="Z71" i="20"/>
  <c r="F71" i="20"/>
  <c r="J71" i="20"/>
  <c r="L71" i="20"/>
  <c r="P71" i="20"/>
  <c r="G50" i="20"/>
  <c r="K50" i="20"/>
  <c r="J29" i="20"/>
  <c r="J50" i="20"/>
  <c r="I50" i="20"/>
  <c r="F29" i="20"/>
  <c r="P50" i="20"/>
  <c r="L50" i="20"/>
  <c r="P29" i="20"/>
  <c r="K29" i="20"/>
  <c r="I29" i="20"/>
  <c r="L29" i="20"/>
  <c r="Z29" i="20"/>
  <c r="G29" i="20"/>
  <c r="H161" i="20"/>
  <c r="Z29" i="40"/>
  <c r="Z35" i="40" s="1"/>
  <c r="L29" i="40"/>
  <c r="L35" i="40" s="1"/>
  <c r="F29" i="40"/>
  <c r="F35" i="40" s="1"/>
  <c r="J29" i="40"/>
  <c r="J35" i="40" s="1"/>
  <c r="P29" i="40"/>
  <c r="P35" i="40" s="1"/>
  <c r="G29" i="40"/>
  <c r="G35" i="40" s="1"/>
  <c r="K29" i="40"/>
  <c r="K35" i="40" s="1"/>
  <c r="I29" i="40"/>
  <c r="I35" i="40" s="1"/>
  <c r="AU161" i="20"/>
  <c r="AL13" i="20"/>
  <c r="AL35" i="20"/>
  <c r="AL11" i="40"/>
  <c r="M34" i="20"/>
  <c r="AL12" i="40"/>
  <c r="AL74" i="20"/>
  <c r="M55" i="20"/>
  <c r="M74" i="20"/>
  <c r="M19" i="40"/>
  <c r="M18" i="40"/>
  <c r="AL43" i="20"/>
  <c r="M87" i="20"/>
  <c r="M79" i="20"/>
  <c r="AL86" i="20"/>
  <c r="AL51" i="20"/>
  <c r="AL18" i="40"/>
  <c r="AL67" i="20"/>
  <c r="M75" i="20"/>
  <c r="AL72" i="20"/>
  <c r="M72" i="20"/>
  <c r="M13" i="40"/>
  <c r="M22" i="40"/>
  <c r="M23" i="40"/>
  <c r="M9" i="40"/>
  <c r="M80" i="20"/>
  <c r="M78" i="20"/>
  <c r="M76" i="20"/>
  <c r="M65" i="20"/>
  <c r="M66" i="20"/>
  <c r="M81" i="20"/>
  <c r="M54" i="20"/>
  <c r="M45" i="20"/>
  <c r="M35" i="20"/>
  <c r="AL36" i="20"/>
  <c r="M36" i="20"/>
  <c r="M39" i="20"/>
  <c r="AL22" i="40"/>
  <c r="M21" i="40"/>
  <c r="M20" i="40"/>
  <c r="M17" i="40"/>
  <c r="M14" i="40"/>
  <c r="M12" i="40"/>
  <c r="AL13" i="40"/>
  <c r="M11" i="40"/>
  <c r="M88" i="20"/>
  <c r="M86" i="20"/>
  <c r="M82" i="20"/>
  <c r="AL81" i="20"/>
  <c r="AL80" i="20"/>
  <c r="M73" i="20"/>
  <c r="AL73" i="20"/>
  <c r="AL69" i="20"/>
  <c r="M69" i="20"/>
  <c r="M67" i="20"/>
  <c r="AL65" i="20"/>
  <c r="M64" i="20"/>
  <c r="M62" i="20"/>
  <c r="M60" i="20"/>
  <c r="M53" i="20"/>
  <c r="M52" i="20"/>
  <c r="M51" i="20"/>
  <c r="M48" i="20"/>
  <c r="AL48" i="20"/>
  <c r="M47" i="20"/>
  <c r="AL47" i="20"/>
  <c r="M44" i="20"/>
  <c r="M43" i="20"/>
  <c r="M41" i="20"/>
  <c r="AL39" i="20"/>
  <c r="M37" i="20"/>
  <c r="AL37" i="20"/>
  <c r="AL21" i="40"/>
  <c r="M77" i="20"/>
  <c r="AL20" i="40"/>
  <c r="AL45" i="20"/>
  <c r="AL54" i="20"/>
  <c r="AL23" i="40"/>
  <c r="AL44" i="20"/>
  <c r="AL87" i="20"/>
  <c r="AL41" i="20"/>
  <c r="AL64" i="20"/>
  <c r="AL88" i="20"/>
  <c r="AL52" i="20"/>
  <c r="AL53" i="20"/>
  <c r="AL76" i="20"/>
  <c r="AL14" i="40"/>
  <c r="AL60" i="20"/>
  <c r="AL82" i="20"/>
  <c r="AL9" i="40"/>
  <c r="AL62" i="20"/>
  <c r="AL77" i="20"/>
  <c r="AL19" i="40"/>
  <c r="AL66" i="20"/>
  <c r="AL75" i="20"/>
  <c r="AL17" i="40"/>
  <c r="AL55" i="20"/>
  <c r="AL79" i="20"/>
  <c r="AL78" i="20"/>
  <c r="AL20" i="20"/>
  <c r="AL15" i="20"/>
  <c r="AL34" i="20"/>
  <c r="AL16" i="20"/>
  <c r="AL11" i="20"/>
  <c r="AL14" i="20"/>
  <c r="AL21" i="20"/>
  <c r="AL30" i="20"/>
  <c r="M14" i="20"/>
  <c r="AL17" i="20"/>
  <c r="AL32" i="20"/>
  <c r="M11" i="20"/>
  <c r="AL128" i="20"/>
  <c r="AL134" i="20" s="1"/>
  <c r="M20" i="20"/>
  <c r="M17" i="20"/>
  <c r="AL10" i="20"/>
  <c r="M16" i="20"/>
  <c r="AL33" i="20"/>
  <c r="M27" i="20"/>
  <c r="M32" i="20"/>
  <c r="M31" i="20"/>
  <c r="AL27" i="20"/>
  <c r="AL18" i="20"/>
  <c r="M13" i="20"/>
  <c r="M25" i="20"/>
  <c r="M128" i="20"/>
  <c r="M21" i="20"/>
  <c r="M33" i="20"/>
  <c r="AL25" i="20"/>
  <c r="M12" i="20"/>
  <c r="M10" i="20"/>
  <c r="M30" i="20"/>
  <c r="M18" i="20"/>
  <c r="M15" i="20"/>
  <c r="AL31" i="20"/>
  <c r="AL12" i="20"/>
  <c r="M9" i="20"/>
  <c r="AL9" i="20"/>
  <c r="AL92" i="20" l="1"/>
  <c r="AL71" i="20"/>
  <c r="M71" i="20"/>
  <c r="AL29" i="20"/>
  <c r="M50" i="20"/>
  <c r="AL50" i="20"/>
  <c r="M29" i="20"/>
  <c r="L161" i="20"/>
  <c r="Z161" i="20"/>
  <c r="AL29" i="40"/>
  <c r="AL35" i="40" s="1"/>
  <c r="J161" i="20"/>
  <c r="P161" i="20"/>
  <c r="I161" i="20"/>
  <c r="K161" i="20"/>
  <c r="F161" i="20"/>
  <c r="AM35" i="20"/>
  <c r="AR35" i="20" s="1"/>
  <c r="AM11" i="40"/>
  <c r="AM12" i="40"/>
  <c r="AR12" i="40" s="1"/>
  <c r="AM14" i="40"/>
  <c r="AR14" i="40" s="1"/>
  <c r="AM74" i="20"/>
  <c r="AR74" i="20" s="1"/>
  <c r="AM51" i="20"/>
  <c r="AM55" i="20"/>
  <c r="AM18" i="40"/>
  <c r="AR18" i="40" s="1"/>
  <c r="AM19" i="40"/>
  <c r="AR19" i="40" s="1"/>
  <c r="AM75" i="20"/>
  <c r="AR75" i="20" s="1"/>
  <c r="AM81" i="20"/>
  <c r="AM79" i="20"/>
  <c r="AR79" i="20" s="1"/>
  <c r="AM45" i="20"/>
  <c r="AR45" i="20" s="1"/>
  <c r="AM66" i="20"/>
  <c r="AM48" i="20"/>
  <c r="AM52" i="20"/>
  <c r="AR52" i="20" s="1"/>
  <c r="AM39" i="20"/>
  <c r="AR39" i="20" s="1"/>
  <c r="AM36" i="20"/>
  <c r="AM76" i="20"/>
  <c r="AR76" i="20" s="1"/>
  <c r="AM13" i="40"/>
  <c r="AR13" i="40" s="1"/>
  <c r="AM72" i="20"/>
  <c r="AM64" i="20"/>
  <c r="AM67" i="20"/>
  <c r="AM22" i="40"/>
  <c r="AR22" i="40" s="1"/>
  <c r="AM78" i="20"/>
  <c r="AR78" i="20" s="1"/>
  <c r="AM53" i="20"/>
  <c r="AM87" i="20"/>
  <c r="AM44" i="20"/>
  <c r="AR44" i="20" s="1"/>
  <c r="AM43" i="20"/>
  <c r="AM86" i="20"/>
  <c r="AM65" i="20"/>
  <c r="AM80" i="20"/>
  <c r="AM41" i="20"/>
  <c r="AR41" i="20" s="1"/>
  <c r="AM37" i="20"/>
  <c r="AM62" i="20"/>
  <c r="AM23" i="40"/>
  <c r="AR23" i="40" s="1"/>
  <c r="AM73" i="20"/>
  <c r="AM60" i="20"/>
  <c r="AR60" i="20" s="1"/>
  <c r="AM54" i="20"/>
  <c r="AR54" i="20" s="1"/>
  <c r="AM47" i="20"/>
  <c r="AM21" i="40"/>
  <c r="AR21" i="40" s="1"/>
  <c r="AM20" i="40"/>
  <c r="AR20" i="40" s="1"/>
  <c r="AM17" i="40"/>
  <c r="AR17" i="40" s="1"/>
  <c r="AM88" i="20"/>
  <c r="AM82" i="20"/>
  <c r="AR82" i="20" s="1"/>
  <c r="AM69" i="20"/>
  <c r="AM9" i="40"/>
  <c r="AM77" i="20"/>
  <c r="AR77" i="20" s="1"/>
  <c r="AM20" i="20"/>
  <c r="AM31" i="20"/>
  <c r="AM34" i="20"/>
  <c r="AM17" i="20"/>
  <c r="AR17" i="20" s="1"/>
  <c r="AM11" i="20"/>
  <c r="AR11" i="20" s="1"/>
  <c r="AM16" i="20"/>
  <c r="AR16" i="20" s="1"/>
  <c r="AM32" i="20"/>
  <c r="AR32" i="20" s="1"/>
  <c r="AM14" i="20"/>
  <c r="AR14" i="20" s="1"/>
  <c r="AM30" i="20"/>
  <c r="AM128" i="20"/>
  <c r="AM134" i="20" s="1"/>
  <c r="AM21" i="20"/>
  <c r="AR21" i="20" s="1"/>
  <c r="AM10" i="20"/>
  <c r="AR10" i="20" s="1"/>
  <c r="AM18" i="20"/>
  <c r="AR18" i="20" s="1"/>
  <c r="AM13" i="20"/>
  <c r="AM15" i="20"/>
  <c r="AM27" i="20"/>
  <c r="AM25" i="20"/>
  <c r="AM33" i="20"/>
  <c r="AR33" i="20" s="1"/>
  <c r="AM12" i="20"/>
  <c r="AM9" i="20"/>
  <c r="G161" i="20" l="1"/>
  <c r="AM92" i="20"/>
  <c r="AM71" i="20"/>
  <c r="AM50" i="20"/>
  <c r="AM29" i="20"/>
  <c r="AM29" i="40"/>
  <c r="AM35" i="40" s="1"/>
  <c r="AR51" i="20"/>
  <c r="AR55" i="20"/>
  <c r="AR72" i="20"/>
  <c r="AR20" i="20"/>
  <c r="AR69" i="20"/>
  <c r="AR73" i="20"/>
  <c r="AR27" i="20"/>
  <c r="AR88" i="20"/>
  <c r="AR65" i="20"/>
  <c r="AR34" i="20"/>
  <c r="AR11" i="40"/>
  <c r="AR53" i="20"/>
  <c r="AR36" i="20"/>
  <c r="AR67" i="20"/>
  <c r="AR37" i="20"/>
  <c r="AR87" i="20"/>
  <c r="AR81" i="20"/>
  <c r="AR12" i="20"/>
  <c r="AR43" i="20"/>
  <c r="AR80" i="20"/>
  <c r="AR62" i="20"/>
  <c r="AR86" i="20"/>
  <c r="AR64" i="20"/>
  <c r="AR47" i="20"/>
  <c r="AR25" i="20"/>
  <c r="AR66" i="20"/>
  <c r="AR48" i="20"/>
  <c r="AR9" i="40"/>
  <c r="AR31" i="20"/>
  <c r="AR128" i="20"/>
  <c r="AR134" i="20" s="1"/>
  <c r="AR30" i="20"/>
  <c r="AR13" i="20"/>
  <c r="AR15" i="20"/>
  <c r="AR9" i="20"/>
  <c r="AQ161" i="20" l="1"/>
  <c r="AR50" i="20"/>
  <c r="AR92" i="20"/>
  <c r="AR71" i="20"/>
  <c r="AR29" i="20"/>
  <c r="AR29" i="40"/>
  <c r="AR35" i="40" s="1"/>
  <c r="AM161" i="20"/>
  <c r="BE35" i="40"/>
  <c r="AR161" i="20" l="1"/>
  <c r="AL161" i="20" l="1"/>
</calcChain>
</file>

<file path=xl/sharedStrings.xml><?xml version="1.0" encoding="utf-8"?>
<sst xmlns="http://schemas.openxmlformats.org/spreadsheetml/2006/main" count="981" uniqueCount="484">
  <si>
    <t>NAME</t>
  </si>
  <si>
    <t>PHIC EE</t>
  </si>
  <si>
    <t>ECARDPLUS</t>
  </si>
  <si>
    <t>PLOPT</t>
  </si>
  <si>
    <t>TOTAL DEDUC</t>
  </si>
  <si>
    <t>OVER PAYMENT</t>
  </si>
  <si>
    <t>SG</t>
  </si>
  <si>
    <t>SEQ NO</t>
  </si>
  <si>
    <t>ECIP</t>
  </si>
  <si>
    <t>GSIS-ER</t>
  </si>
  <si>
    <t>TOTAL NET PAY</t>
  </si>
  <si>
    <t>DIFFERENCE</t>
  </si>
  <si>
    <t>EMRGYLN 
(GCL)</t>
  </si>
  <si>
    <t>EDUC_ASST
(GEA)</t>
  </si>
  <si>
    <t>PLREG 
(POL)</t>
  </si>
  <si>
    <t>PAG-IBIG EE
(FUN)</t>
  </si>
  <si>
    <t>COOP
(COP)</t>
  </si>
  <si>
    <t>UKKKRI LOAN
(UKK)</t>
  </si>
  <si>
    <t>LAND BANK 
(LBP)</t>
  </si>
  <si>
    <t>RANG-AY
(RRB)</t>
  </si>
  <si>
    <t>PAG-IBIG CALAMITY 
(PA1)</t>
  </si>
  <si>
    <t>PAG-IBIG MP 
(MUL)</t>
  </si>
  <si>
    <t>CEAP 
(ED1)</t>
  </si>
  <si>
    <t>UKKKRI
(ADI)</t>
  </si>
  <si>
    <t>CONSOLOAN
(GCN)</t>
  </si>
  <si>
    <t>PERA
(%)</t>
  </si>
  <si>
    <t>PAG-IBIG EE MODIFIED
(PA2)</t>
  </si>
  <si>
    <t>OPT_LIFE
(UOI)</t>
  </si>
  <si>
    <t>SALARY 
(*)</t>
  </si>
  <si>
    <t>GSIS -EE
(LIF)</t>
  </si>
  <si>
    <t>DISALLOWANCE
(DIS)</t>
  </si>
  <si>
    <t>WITHOUT PAY 
(WP)</t>
  </si>
  <si>
    <t>PAG-IBIG HOUSING
(PHO)</t>
  </si>
  <si>
    <t>TOTAL</t>
  </si>
  <si>
    <t>SEPT 1 - 15</t>
  </si>
  <si>
    <t>SEPT 16 - 30</t>
  </si>
  <si>
    <t>TOTAL NET PAY 
SEPTEMBER</t>
  </si>
  <si>
    <t>SUBSISTENCE</t>
  </si>
  <si>
    <t>LAUNDRY</t>
  </si>
  <si>
    <t>HAZARD PAY</t>
  </si>
  <si>
    <t>LAUNDRY PAY</t>
  </si>
  <si>
    <t>SUBSISTENCE PAY</t>
  </si>
  <si>
    <t>TOTAL SALARY</t>
  </si>
  <si>
    <t>HP RATE</t>
  </si>
  <si>
    <t>NO. OF DAYS PRESENT</t>
  </si>
  <si>
    <t>WORKING DAYS</t>
  </si>
  <si>
    <t>SUBSISTENCE PER DAY</t>
  </si>
  <si>
    <t>SUBSISTENCE DEDUCTION</t>
  </si>
  <si>
    <t>SUBSISTENCE PER MONTH</t>
  </si>
  <si>
    <t>2019 BUDGET PROPOSAL</t>
  </si>
  <si>
    <t>Department</t>
  </si>
  <si>
    <t>:  Department of Health</t>
  </si>
  <si>
    <t>RO/Bureau/Office</t>
  </si>
  <si>
    <t>:  Health Human Resource Development Bureau</t>
  </si>
  <si>
    <t>Program</t>
  </si>
  <si>
    <t>:  Health Systems Strengthening Program</t>
  </si>
  <si>
    <t>Sub-Program</t>
  </si>
  <si>
    <t>:  Health Human Resource Sub-Program</t>
  </si>
  <si>
    <t>Line Item</t>
  </si>
  <si>
    <r>
      <rPr>
        <sz val="12"/>
        <color theme="1"/>
        <rFont val="Arial"/>
        <family val="2"/>
      </rPr>
      <t xml:space="preserve">: </t>
    </r>
    <r>
      <rPr>
        <b/>
        <sz val="12"/>
        <color theme="1"/>
        <rFont val="Arial"/>
        <family val="2"/>
      </rPr>
      <t xml:space="preserve"> Human Resources for Health Deployment</t>
    </r>
  </si>
  <si>
    <t>Organizational Outcome</t>
  </si>
  <si>
    <t>:  Access to Promotive and Preventive Healthcare Services Improved</t>
  </si>
  <si>
    <t>Object Code</t>
  </si>
  <si>
    <t>:  310202100001000</t>
  </si>
  <si>
    <t>Calendar Year</t>
  </si>
  <si>
    <t>:  2019</t>
  </si>
  <si>
    <t>POSITION</t>
  </si>
  <si>
    <t>SG
SSL 4 - Tranche</t>
  </si>
  <si>
    <r>
      <rPr>
        <sz val="10"/>
        <color theme="1"/>
        <rFont val="Arial"/>
        <family val="2"/>
      </rPr>
      <t>(A)</t>
    </r>
    <r>
      <rPr>
        <b/>
        <sz val="10"/>
        <color theme="1"/>
        <rFont val="Arial"/>
        <family val="2"/>
      </rPr>
      <t xml:space="preserve">
Total No. of Slots</t>
    </r>
  </si>
  <si>
    <r>
      <rPr>
        <sz val="10"/>
        <color theme="1"/>
        <rFont val="Arial"/>
        <family val="2"/>
      </rPr>
      <t xml:space="preserve">(B) </t>
    </r>
    <r>
      <rPr>
        <b/>
        <sz val="10"/>
        <color theme="1"/>
        <rFont val="Arial"/>
        <family val="2"/>
      </rPr>
      <t xml:space="preserve">
No. of Months</t>
    </r>
  </si>
  <si>
    <t>COST for BASIC PAY, PERA, RA, SUBSISTENCE, LAUNDRY, HAZARD</t>
  </si>
  <si>
    <t>EMPLOYER SHARE</t>
  </si>
  <si>
    <r>
      <rPr>
        <sz val="10"/>
        <color theme="1"/>
        <rFont val="Arial"/>
        <family val="2"/>
      </rPr>
      <t>(C)</t>
    </r>
    <r>
      <rPr>
        <b/>
        <sz val="10"/>
        <color theme="1"/>
        <rFont val="Arial"/>
        <family val="2"/>
      </rPr>
      <t xml:space="preserve">
TOTAL</t>
    </r>
  </si>
  <si>
    <r>
      <rPr>
        <sz val="10"/>
        <color theme="1"/>
        <rFont val="Arial"/>
        <family val="2"/>
      </rPr>
      <t>(D=B*C)</t>
    </r>
    <r>
      <rPr>
        <b/>
        <sz val="10"/>
        <color theme="1"/>
        <rFont val="Arial"/>
        <family val="2"/>
      </rPr>
      <t xml:space="preserve">
TOTAL COST</t>
    </r>
  </si>
  <si>
    <t>ADDITIONAL BENEFITS</t>
  </si>
  <si>
    <r>
      <rPr>
        <sz val="10"/>
        <color theme="1"/>
        <rFont val="Arial"/>
        <family val="2"/>
      </rPr>
      <t xml:space="preserve">(F=D+E) </t>
    </r>
    <r>
      <rPr>
        <b/>
        <sz val="10"/>
        <color theme="1"/>
        <rFont val="Arial"/>
        <family val="2"/>
      </rPr>
      <t xml:space="preserve">
Total Salary + Benefits for 1 Year</t>
    </r>
  </si>
  <si>
    <r>
      <rPr>
        <sz val="10"/>
        <color theme="1"/>
        <rFont val="Arial"/>
        <family val="2"/>
      </rPr>
      <t>(G=A*F)</t>
    </r>
    <r>
      <rPr>
        <b/>
        <sz val="10"/>
        <color theme="1"/>
        <rFont val="Arial"/>
        <family val="2"/>
      </rPr>
      <t xml:space="preserve">
Total Salary + Benefits</t>
    </r>
  </si>
  <si>
    <t>Mid-Year BONUS</t>
  </si>
  <si>
    <t>CLOTHING</t>
  </si>
  <si>
    <t>Year-End BONUS</t>
  </si>
  <si>
    <t>CASH GIFT</t>
  </si>
  <si>
    <t>PEI</t>
  </si>
  <si>
    <r>
      <rPr>
        <sz val="9"/>
        <color theme="1"/>
        <rFont val="Arial"/>
        <family val="2"/>
      </rPr>
      <t>(E)</t>
    </r>
    <r>
      <rPr>
        <b/>
        <sz val="9"/>
        <color theme="1"/>
        <rFont val="Arial"/>
        <family val="2"/>
      </rPr>
      <t xml:space="preserve"> 
TOTAL</t>
    </r>
  </si>
  <si>
    <t>BASIC</t>
  </si>
  <si>
    <t>PERA</t>
  </si>
  <si>
    <t>RA</t>
  </si>
  <si>
    <t>HAZARD</t>
  </si>
  <si>
    <r>
      <t xml:space="preserve">TOTAL
</t>
    </r>
    <r>
      <rPr>
        <sz val="8"/>
        <color theme="1"/>
        <rFont val="Arial"/>
        <family val="2"/>
      </rPr>
      <t>(as stated in the memo)</t>
    </r>
  </si>
  <si>
    <t>GSIS</t>
  </si>
  <si>
    <t>PAG IBIG</t>
  </si>
  <si>
    <t>PHIC</t>
  </si>
  <si>
    <t>PER MONTH</t>
  </si>
  <si>
    <t>Medical Officer IV 
(Deployment of Resident Physicians)</t>
  </si>
  <si>
    <t xml:space="preserve">Dentist II </t>
  </si>
  <si>
    <t>Nurse II</t>
  </si>
  <si>
    <t>Pharmacist II</t>
  </si>
  <si>
    <t>Medical Technologist II</t>
  </si>
  <si>
    <t>Nutritionist - Dietititians II</t>
  </si>
  <si>
    <t>Midwife II</t>
  </si>
  <si>
    <t>Sub-Total:</t>
  </si>
  <si>
    <t>SL CODE
TIN</t>
  </si>
  <si>
    <t>MONTHLY BASIC SALARY</t>
  </si>
  <si>
    <t>SUB TOTAL</t>
  </si>
  <si>
    <t>GRAND TOTAL</t>
  </si>
  <si>
    <t>NO. OF LEAVES WITH PAY</t>
  </si>
  <si>
    <t>G E N E R A L   P A Y R O L L</t>
  </si>
  <si>
    <t>DOH-CENTER FOR HEALTH DEVELOPMENT - I</t>
  </si>
  <si>
    <t>Name of  Office</t>
  </si>
  <si>
    <t>Period covered</t>
  </si>
  <si>
    <t>We acknowledge receipt of cash shown opposite our name as ull compensation for the period covered</t>
  </si>
  <si>
    <t>REMARKS</t>
  </si>
  <si>
    <t xml:space="preserve">          CERTIFIED: Services duly rendered as stated.</t>
  </si>
  <si>
    <t xml:space="preserve">          APPROVED FOR PAYMENT:______________________________________________________</t>
  </si>
  <si>
    <t xml:space="preserve">       ________________________________________________(Php ______________)</t>
  </si>
  <si>
    <r>
      <t xml:space="preserve"> </t>
    </r>
    <r>
      <rPr>
        <b/>
        <u/>
        <sz val="12"/>
        <rFont val="Times New Roman"/>
        <family val="1"/>
      </rPr>
      <t>GUDELIA M. TE, MDA</t>
    </r>
  </si>
  <si>
    <t>Authorized Official</t>
  </si>
  <si>
    <t xml:space="preserve">                      CERTIFIED: Supporting documents complete and proper, and cash available</t>
  </si>
  <si>
    <t xml:space="preserve">         CERTIFIED: Each employee whose name appears above  has been paid the amount indicated opposite </t>
  </si>
  <si>
    <t xml:space="preserve">                in the amount of   P ________________.</t>
  </si>
  <si>
    <t xml:space="preserve">              on his/her name.</t>
  </si>
  <si>
    <t xml:space="preserve">   ALOBS No. ____________________</t>
  </si>
  <si>
    <t>ALOBS No.</t>
  </si>
  <si>
    <t xml:space="preserve">    Date: _________________________</t>
  </si>
  <si>
    <t>Date :</t>
  </si>
  <si>
    <r>
      <t xml:space="preserve">  </t>
    </r>
    <r>
      <rPr>
        <b/>
        <u/>
        <sz val="12"/>
        <rFont val="Times New Roman"/>
        <family val="1"/>
      </rPr>
      <t>ERLINDA S. MONTEMAYOR, CPA</t>
    </r>
  </si>
  <si>
    <t>EPIGENIA L. BUENO</t>
  </si>
  <si>
    <t xml:space="preserve">    JEV No. ______________________</t>
  </si>
  <si>
    <t>JEV No,</t>
  </si>
  <si>
    <t xml:space="preserve">   Accountant III</t>
  </si>
  <si>
    <t>Date</t>
  </si>
  <si>
    <t>Administrative Officer V</t>
  </si>
  <si>
    <t xml:space="preserve">     Date: </t>
  </si>
  <si>
    <t>Disbursing Officer</t>
  </si>
  <si>
    <t>W/ TAX</t>
  </si>
  <si>
    <t>Appendix 11</t>
  </si>
  <si>
    <t>OBLIGATION REQUEST AND STATUS</t>
  </si>
  <si>
    <t>Serial No. : _____________________</t>
  </si>
  <si>
    <t>Date : _________________________</t>
  </si>
  <si>
    <t>Entity Name</t>
  </si>
  <si>
    <t>Fund Cluster : ___________________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</si>
  <si>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</si>
  <si>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</si>
  <si>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</si>
  <si>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</si>
  <si>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</si>
  <si>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</si>
  <si>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</si>
  <si>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</si>
  <si>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>ABELLON, GREG JHOANNES</t>
  </si>
  <si>
    <t>P/P/A : 224002000200000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</si>
  <si>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</si>
  <si>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</si>
  <si>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</si>
  <si>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</si>
  <si>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</si>
  <si>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</si>
  <si>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</si>
  <si>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</si>
  <si>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</si>
  <si>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</si>
  <si>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</si>
  <si>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</si>
  <si>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</si>
  <si>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Printed Name: ____________________________________</t>
  </si>
  <si>
    <t>Printed Name:</t>
  </si>
  <si>
    <t>MARIBEL A. CEREZO</t>
  </si>
  <si>
    <t>Position        :</t>
  </si>
  <si>
    <t>Head, Requesting Office/Authorized Representative</t>
  </si>
  <si>
    <t>Head, Budget Division/Unit/Authorized Representative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</si>
  <si>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</si>
  <si>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</si>
  <si>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</si>
  <si>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</si>
  <si>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</si>
  <si>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</si>
  <si>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</si>
  <si>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</si>
  <si>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</si>
  <si>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</si>
  <si>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</si>
  <si>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</si>
  <si>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</si>
  <si>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</si>
  <si>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</si>
  <si>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</si>
  <si>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</si>
  <si>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</si>
  <si>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1</t>
  </si>
  <si>
    <t>2</t>
  </si>
  <si>
    <t>Head Accounting Unit</t>
  </si>
  <si>
    <t>Chief, MSD</t>
  </si>
  <si>
    <t xml:space="preserve">                                 Chief, MSD</t>
  </si>
  <si>
    <t xml:space="preserve">                               Chief, MSD</t>
  </si>
  <si>
    <t xml:space="preserve"> TOTAL</t>
  </si>
  <si>
    <t>SUB-TOTAL</t>
  </si>
  <si>
    <t>PS CONTRACTUAL</t>
  </si>
  <si>
    <t>`</t>
  </si>
  <si>
    <t xml:space="preserve">                                           </t>
  </si>
  <si>
    <t>NURSE II-PS-CONTRACTUAL (NDP) ILOCOS SUR BASIC SALARY, PERA,HAZARD PAY, SUBSISTENCE &amp; LAUNDRY ALLOWANCE</t>
  </si>
  <si>
    <t>AGAM, JOYRINALUZ R.</t>
  </si>
  <si>
    <t>AGBISIT, JAMAICA FELICHI R.</t>
  </si>
  <si>
    <t>BILLEDO, MARIUS CLIFFORD R.</t>
  </si>
  <si>
    <t>CABREROS, EULA MAE T.</t>
  </si>
  <si>
    <t>COMBIS, ERWIN T.</t>
  </si>
  <si>
    <t>DASUGO, ROBERT JOHN P.</t>
  </si>
  <si>
    <t>FRANCE, KARYL MAY D.</t>
  </si>
  <si>
    <t>RUADAP, SHAYNE Q.</t>
  </si>
  <si>
    <t>VALDEZ, ALFRED JOHN C.</t>
  </si>
  <si>
    <t>ANYOG, LORMIE M.</t>
  </si>
  <si>
    <t>ASIONG, JOANNA V.</t>
  </si>
  <si>
    <t>BANAO, HAIDIE M.</t>
  </si>
  <si>
    <t>CARIÑO, KRISTIE DIGNA R.</t>
  </si>
  <si>
    <t>CASES, ROSALYN C.</t>
  </si>
  <si>
    <t>ESPIRITU, PRINCESS DIANE F.</t>
  </si>
  <si>
    <t>GABUAT, DABBIE A.</t>
  </si>
  <si>
    <t>VALLEJO, CHARLOTTE JOY N.</t>
  </si>
  <si>
    <t>PERALTA, HELEN GRACE D.</t>
  </si>
  <si>
    <t>ILOCOS SUR</t>
  </si>
  <si>
    <t>MIGULLAS, CATHERINE G.</t>
  </si>
  <si>
    <t>CABANG, MICHELLE A.</t>
  </si>
  <si>
    <t>ARROGANTE, JESSAMINE B.</t>
  </si>
  <si>
    <t>SOBERANO, ALLYZA G.</t>
  </si>
  <si>
    <t>SORIANO, RAVEN GEORGETTE V.</t>
  </si>
  <si>
    <t>TORRELIZA, IRAD KIM B.</t>
  </si>
  <si>
    <t>RARAS, MA. CARINA O.</t>
  </si>
  <si>
    <t>MEDICAL TECHNOLOGIST II</t>
  </si>
  <si>
    <t>PHARMACIST II</t>
  </si>
  <si>
    <t>CORTADO, PATRICK G.</t>
  </si>
  <si>
    <t>MTDP  (Done)                                                                                   ETD: March 10, 2022;                                              Resigned: April 12, 2022.</t>
  </si>
  <si>
    <t>RHMPP (Done)                                                                       Resigned: March 24, 2022.</t>
  </si>
  <si>
    <t>NDP (Done)                                                                           ETD: January 10, 2022                                                 Resigned: February 1, 2022.</t>
  </si>
  <si>
    <t>NDP (Done)                                                                             Resigned: March 1, 2022.</t>
  </si>
  <si>
    <t xml:space="preserve">NDP (Done)                                                                          ETD: FEBRUARY 15, 2022                                                      Resigned: March 7, 2022.                                              </t>
  </si>
  <si>
    <t>HELEN D. TOBIAS, MD, MPA, MDM, CSEE</t>
  </si>
  <si>
    <t>Director III</t>
  </si>
  <si>
    <t>QUILOP, GUADALUPE P.</t>
  </si>
  <si>
    <t>DOH CHD-I</t>
  </si>
  <si>
    <t>JANUARY-DECEMBER 2022</t>
  </si>
  <si>
    <t>NDP(Done-8/24)                                                                   Resigned: August 1, 2022                                                    ETD: JULY 1, 2022                                                     3SL -6/20-22 -w/pay.</t>
  </si>
  <si>
    <t>NDP(Done)-9/20/22                                                                                            Resigned: August 10, 2022.</t>
  </si>
  <si>
    <t>NDP(Done-9/21/22)                                                                                     Resigned: September 1, 2022</t>
  </si>
  <si>
    <t>ABAYA, RAPHUNZEL B.</t>
  </si>
  <si>
    <t>BALONZO, NHEA BIANCA B.</t>
  </si>
  <si>
    <t>BUENO, ROSEMARIE GRACE C.</t>
  </si>
  <si>
    <t>LAPITAN, MARY GRACE G.</t>
  </si>
  <si>
    <t>MALAMION, NADIA R.</t>
  </si>
  <si>
    <t>QUIDANGEN, GABRIEL D.</t>
  </si>
  <si>
    <t>NDP (Done-10/7/22)                                                      Resigned: September 19, 2022                                                 1SL-8/12 -w/pay; 4FL-9/1,2&amp;5-6-w/pay;                                     8VL-9/7-9&amp;12-16-w/pay.</t>
  </si>
  <si>
    <t>NDP (Done-10/7/22)                                                                                    Resigned: September 13, 2022                                                             2EL-9/2&amp;5 -w/pay; 1VL-9/9-w/pay.</t>
  </si>
  <si>
    <t>NDP(CANCELLED RESIGN)                                                                                     Resigned: November 1, 2022</t>
  </si>
  <si>
    <t>NDP (Done-12/20/22)                                                                                    Resigned: September 19, 2022</t>
  </si>
  <si>
    <t>NDP New (Done-12/20/22)                                                                            ETD: SEPTEMBER 9, 2022                                                                   Resigned: September 19, 2022</t>
  </si>
  <si>
    <t>NDP New (Done-12/20/22)                                                                                 ETD: SEPTEMBER 5, 2022                                                             Resigned: October 10, 2022</t>
  </si>
  <si>
    <t>NUTRITIONIST (Done-12/20/22)                                                                                    Resigned: November 1, 2022</t>
  </si>
  <si>
    <t>NDP New (Done-12/20/22)                                                                                             Resigned: November 16, 2022</t>
  </si>
  <si>
    <t>NDP New (Done-12/20/22)                                                                                              Resigned: November 16, 2022</t>
  </si>
  <si>
    <t>NDP New (Done-12/20/22)                                                                                                         Resigned: November 16, 2022</t>
  </si>
  <si>
    <t>NDP New (Done-12/20/22)                                                                                         Resigned: November 14, 2022                                          2EL -10/11&amp;28 -w/pay.</t>
  </si>
  <si>
    <t>AGUSTIN, GRETCHEN B.</t>
  </si>
  <si>
    <t>ALCAYAGA, CEFELITA R.</t>
  </si>
  <si>
    <t>ALLACADEN, HARLENE B.</t>
  </si>
  <si>
    <t>AMATE, MANNELI O.</t>
  </si>
  <si>
    <t>ANGELES, KRISTINE MAE B.</t>
  </si>
  <si>
    <t>ANNAGUEY, CRESLY MAY Q.</t>
  </si>
  <si>
    <t>AQUINO, MA. RUBY V.</t>
  </si>
  <si>
    <t>ARELLANO, CHIARA RUBY R.</t>
  </si>
  <si>
    <t>ARGUILLA, REIZON Q.</t>
  </si>
  <si>
    <t>ARQUINES, ROWELL C.</t>
  </si>
  <si>
    <t>BALCITA, MERLIZA M.</t>
  </si>
  <si>
    <t>BALOS, LOVELY JOY B.</t>
  </si>
  <si>
    <t>BANASAN, DIONYVON LOVE JOY D.</t>
  </si>
  <si>
    <t>BAOBAOEN, ANABELLE L.</t>
  </si>
  <si>
    <t>BARROGA, DANAH KHATES R.</t>
  </si>
  <si>
    <t>BAUTISTA, JOANA PAOLA C.</t>
  </si>
  <si>
    <t>BELLO, JONAS ANTHONY L.</t>
  </si>
  <si>
    <t>BISOY, GLENN JAY M.</t>
  </si>
  <si>
    <t>BOTERES, RIZZA ILONAH P.</t>
  </si>
  <si>
    <t>BRILLO, GAIZEL R.</t>
  </si>
  <si>
    <t>BUENAVISTA, MA. ANGELA D.</t>
  </si>
  <si>
    <t>BURGOS, WINKLE GOY D.</t>
  </si>
  <si>
    <t>CABANTING, RICHELLE B.</t>
  </si>
  <si>
    <t>CABRAS, ANVYL P.</t>
  </si>
  <si>
    <t>CABRERA, JERZON BRIAN T.</t>
  </si>
  <si>
    <t>CABREROS, ROMEL M.</t>
  </si>
  <si>
    <t>CACABELOS, KENNET R.</t>
  </si>
  <si>
    <t>CADUCIO, FLORIMAY P.</t>
  </si>
  <si>
    <t>CAMBAY, VIDA MARI T.</t>
  </si>
  <si>
    <t>CANTANO, BRENDA A.</t>
  </si>
  <si>
    <t>CARDENAS, CHELSEA RUBY B.</t>
  </si>
  <si>
    <t>CIERVA, JOMAR E.</t>
  </si>
  <si>
    <t>CIRIACO, ELLEN B.</t>
  </si>
  <si>
    <t>CIRIACO, NOVA D.</t>
  </si>
  <si>
    <t>COBANGBANG, JENNYFER R.</t>
  </si>
  <si>
    <t>CORTEL, APRIL LANE Q.</t>
  </si>
  <si>
    <t>CUENTA, IRENE JEIDA G.</t>
  </si>
  <si>
    <t>DAGDAG, MARY GRACE O.</t>
  </si>
  <si>
    <t>DALILIS, HARVI A.</t>
  </si>
  <si>
    <t>DAMOLAN, NENA A.</t>
  </si>
  <si>
    <t>DANGLAY, LEA G.</t>
  </si>
  <si>
    <t>DARIO, ELISEO R.</t>
  </si>
  <si>
    <t>DAUZ , MOISES  V.</t>
  </si>
  <si>
    <t>DAWATEN, MYLENE C.</t>
  </si>
  <si>
    <t>DEL ROSARIO, BERNADETTE A.</t>
  </si>
  <si>
    <t>DIMADIM, FERNAND PAUL M.</t>
  </si>
  <si>
    <t>DIWAN, RITCHEL T.</t>
  </si>
  <si>
    <t>DOMINNO, ARLENE W.</t>
  </si>
  <si>
    <t>ESCOBAR, SONIA V.</t>
  </si>
  <si>
    <t>ESPEJO, MELANIE C.</t>
  </si>
  <si>
    <t>ESPEJO, HAZEL V.</t>
  </si>
  <si>
    <t>EVANGELISTA, PAUL ANDREW D.</t>
  </si>
  <si>
    <t>FERNANDEZ, MARSHA A.</t>
  </si>
  <si>
    <t>FERNANDEZ, JOANNA ISABEL L.</t>
  </si>
  <si>
    <t>FRANCE, DANA D.</t>
  </si>
  <si>
    <t>FULLER, MARIE CHARMAINE M.</t>
  </si>
  <si>
    <t>GALANG, MARGARET JANE E.</t>
  </si>
  <si>
    <t>GALINDO, KEVIN G.</t>
  </si>
  <si>
    <t>GAMAD, JESSICA M.</t>
  </si>
  <si>
    <t>GAPATE, DIVINE L.</t>
  </si>
  <si>
    <t>GARLEJO, ALEXANDER S.</t>
  </si>
  <si>
    <t>GIRON, MIRASOL R.</t>
  </si>
  <si>
    <t>GOROSPE, LAARNI R.</t>
  </si>
  <si>
    <t>GREGORIO, DON CARLO L.</t>
  </si>
  <si>
    <t>GUMIDAM, JONATHAN P.</t>
  </si>
  <si>
    <t>GUTED, KRIEZEL ABIGAIL Q.</t>
  </si>
  <si>
    <t>HABAB, MARVIN H.</t>
  </si>
  <si>
    <t>HABER, MICHELLE D.</t>
  </si>
  <si>
    <t xml:space="preserve">IBAÑEZ, ARLENE A. </t>
  </si>
  <si>
    <t>IDICA, JOCKER G.</t>
  </si>
  <si>
    <t>INES, JAZZANINE Y.</t>
  </si>
  <si>
    <t>JIMENEZ, RIZALIE O.</t>
  </si>
  <si>
    <t>JIMENO, JONALYN I.</t>
  </si>
  <si>
    <t>JOAQUIN, MAIEL D.</t>
  </si>
  <si>
    <t>LACADEN RHONA MISHELL A.</t>
  </si>
  <si>
    <t>LLAMA, EMY ROSE L.</t>
  </si>
  <si>
    <t>LOPEZ, RAYMUND R.</t>
  </si>
  <si>
    <t>LUBINA, GREGOR C.</t>
  </si>
  <si>
    <t>MARTINEZ, MARY MAE D.</t>
  </si>
  <si>
    <t>MARVIL, REMILYN F.</t>
  </si>
  <si>
    <t>MAYEGYEG, GAYLE DEEM G.</t>
  </si>
  <si>
    <t>MENDOZA, ADRIAN MAR D.</t>
  </si>
  <si>
    <t>MINA, NOREIKA A.</t>
  </si>
  <si>
    <t>MIRA, CHARLES ANDREW T.</t>
  </si>
  <si>
    <t>MORALES, GUILLER S.</t>
  </si>
  <si>
    <t>NOVELOSO, JOSEPHINE RODELIA A.</t>
  </si>
  <si>
    <t>OANDASAN, MELCHOR R.</t>
  </si>
  <si>
    <t>PACQUING, MARK ANTHONY B.</t>
  </si>
  <si>
    <t>PALACOL, REA A.</t>
  </si>
  <si>
    <t>PALOMARES, JOSELYN M.</t>
  </si>
  <si>
    <t>PAREL, KATHLEEN CHARM G.</t>
  </si>
  <si>
    <t xml:space="preserve">PASCUA, JOY </t>
  </si>
  <si>
    <t>PASCUA, CRISTELLE JENINE B.</t>
  </si>
  <si>
    <t>PETATE, LESLIE Q.</t>
  </si>
  <si>
    <t>PIANO, MARILET A.</t>
  </si>
  <si>
    <t>PIMENTEL, JOSEPH FERROUS D.</t>
  </si>
  <si>
    <t>PINGEN, GERRY R.</t>
  </si>
  <si>
    <t>PORDIDIO, REINA ODAYNE B.</t>
  </si>
  <si>
    <t>QUIRINO, LADY ZARINA C.</t>
  </si>
  <si>
    <t>RABANG, JOSEPHINE II P.</t>
  </si>
  <si>
    <t>RABUYA, JOHN MICHAEL A.</t>
  </si>
  <si>
    <t>RAFANAN, JOHN-CHRISTIAN R.</t>
  </si>
  <si>
    <t>RAGUNTON, ROSALY C.</t>
  </si>
  <si>
    <t>RAMOS, VENUS U.</t>
  </si>
  <si>
    <t>RAMOS, FRANK LORD S.</t>
  </si>
  <si>
    <t>RAPACON, JOBELLE R.</t>
  </si>
  <si>
    <t>REBULDELA, INGRID LALAINE V.</t>
  </si>
  <si>
    <t>RECAIDO, ABIGAIL D.</t>
  </si>
  <si>
    <t>REYES, MAY B.</t>
  </si>
  <si>
    <t>RIMALOS, PINKY LORRAINE M.</t>
  </si>
  <si>
    <t>ROBIEGO, AMELISA I.</t>
  </si>
  <si>
    <t>SAJONIA, JONNEL C.</t>
  </si>
  <si>
    <t>SANTOS, RAZLE E.</t>
  </si>
  <si>
    <t>SARAOS, ARNOLD G.</t>
  </si>
  <si>
    <t>SAUPAN, ELAINE JOY A.</t>
  </si>
  <si>
    <t>SOFLA, KATHLEEN G.</t>
  </si>
  <si>
    <t>SORIA, JOCELYN L.</t>
  </si>
  <si>
    <t>SUPANG, MONALISA A.</t>
  </si>
  <si>
    <t>TABION, IALEEN U.</t>
  </si>
  <si>
    <t>TABULOC, REA Q.</t>
  </si>
  <si>
    <t>TAQUEBAN, ABIGAEL D.</t>
  </si>
  <si>
    <t>TIMBREZA, JERMAINE MARIELLE T.</t>
  </si>
  <si>
    <t>TINIO, CHRISTOPHER C.</t>
  </si>
  <si>
    <t>TOBIA, KARINA CRISTY R.</t>
  </si>
  <si>
    <t>TOLIO, CLIFFORD JOHN R.</t>
  </si>
  <si>
    <t>TORIO, DENNIES B.</t>
  </si>
  <si>
    <t>TUBERA, KRISTINE MAE F.</t>
  </si>
  <si>
    <t>TUMBAGA, JOAN B.</t>
  </si>
  <si>
    <t>UFANO, CHARIE ANN U.</t>
  </si>
  <si>
    <t>VALDEZ, RUBYLYN P.</t>
  </si>
  <si>
    <t>VALDEZ, RAYMUND B.</t>
  </si>
  <si>
    <t>VEGA, AIZZA MARIE V.</t>
  </si>
  <si>
    <t>VICTOR, JOANA MARIE A.</t>
  </si>
  <si>
    <t>VILLANUEVA, RONALD PATRICK F.</t>
  </si>
  <si>
    <t>VILLANUEVA, LARA JANE B.</t>
  </si>
  <si>
    <t>VILLASPER, HAZEL D.</t>
  </si>
  <si>
    <t>WAGAYEN, WILSON L.</t>
  </si>
  <si>
    <t>GALVEZ, CLEOFE VIENNA G.</t>
  </si>
  <si>
    <t>INAY, MARY JOY C.</t>
  </si>
  <si>
    <t>LOMASOC, DEVORAH G.</t>
  </si>
  <si>
    <t>MANUEL, VIRGINIA S.</t>
  </si>
  <si>
    <t>MOLINA, EMIEROSE T.</t>
  </si>
  <si>
    <t>ONIE, ARLENNE B.</t>
  </si>
  <si>
    <t>PADAGAS, ANGELINE JOY B.</t>
  </si>
  <si>
    <t>PURISIMA, AVON E.</t>
  </si>
  <si>
    <t>PURISIMA, HONEY LYN P.</t>
  </si>
  <si>
    <t>RAGASA, KATHRINE JOYCE R.</t>
  </si>
  <si>
    <t>REYES, ERICKA A.</t>
  </si>
  <si>
    <t>TACEDANA, MARY GRACE C.</t>
  </si>
  <si>
    <t>TALAÑA, JENNIE VEE G.</t>
  </si>
  <si>
    <t>DENTIST II</t>
  </si>
  <si>
    <t>AMIGABLE, KATELEEN P..</t>
  </si>
  <si>
    <t>VERZOSA, JOEY LAWRENCE D.</t>
  </si>
  <si>
    <t>JAN 1 - 15</t>
  </si>
  <si>
    <t>TOTAL NET PAY 
JAN</t>
  </si>
  <si>
    <t>JAN 16 - 31</t>
  </si>
  <si>
    <t>HABAN, REYNALINE G.</t>
  </si>
  <si>
    <t>PERALTA, KRISCA FORTUNA B.</t>
  </si>
  <si>
    <t>RODOLFO ANTONIO M. ALBORNOZ, MD, MPH, MDM, CESE</t>
  </si>
  <si>
    <r>
      <t xml:space="preserve">        </t>
    </r>
    <r>
      <rPr>
        <b/>
        <u/>
        <sz val="12"/>
        <rFont val="Times New Roman"/>
        <family val="1"/>
      </rPr>
      <t>ERLINDA S. MONTEMAYOR, CPA</t>
    </r>
  </si>
  <si>
    <t xml:space="preserve">                  Accountant III</t>
  </si>
  <si>
    <t xml:space="preserve">                                      Head Accounting Unit</t>
  </si>
  <si>
    <r>
      <t xml:space="preserve">                  </t>
    </r>
    <r>
      <rPr>
        <b/>
        <u/>
        <sz val="12"/>
        <rFont val="Times New Roman"/>
        <family val="1"/>
      </rPr>
      <t>GUDELIA M. TE, MDA</t>
    </r>
  </si>
  <si>
    <t xml:space="preserve">                        Chief, MSD</t>
  </si>
  <si>
    <t xml:space="preserve">                                           Authorized Official</t>
  </si>
  <si>
    <t>PADP &amp; MTDP &amp; DENTIST II</t>
  </si>
  <si>
    <t xml:space="preserve"> </t>
  </si>
  <si>
    <t>JAVIER, DARRYLLE DAN P.</t>
  </si>
  <si>
    <t>LUZANO, GERTIE T.</t>
  </si>
  <si>
    <t>REDONDIEZ, VANGIE LYNN</t>
  </si>
  <si>
    <t xml:space="preserve">             CERTIFIED: Services duly rendered as stated.</t>
  </si>
  <si>
    <t xml:space="preserve">             CERTIFIED: Supporting documents complete and proper, and cash available</t>
  </si>
  <si>
    <t xml:space="preserve">           CERTIFIED: Each employee whose name appears above  has been paid the amount indicated opposite </t>
  </si>
  <si>
    <t>ILOCOS SUR -NURSE II-PS-CONTRACTUAL (NDP) BASIC SALARY, PERA,HAZARD PAY, SUBSISTENCE &amp; LAUNDRY ALLOWANCE</t>
  </si>
  <si>
    <t>ILOCOS SUR - MIDWIVES II-PS CONTRACTUAL (RHMPP) BASIC SALARY, PERA,HAZARD PAY, SUBSISTENCE &amp; LAUNDRY ALLOWANCE</t>
  </si>
  <si>
    <t>ILOCOS SUR - PADP, MTDP &amp; DENTIST II-PS CONTRACTUAL (PDP)  BASIC SALARY, PERA,HAZARD PAY, SUBSISTENCE &amp; LAUNDRY ALLOWANCE</t>
  </si>
  <si>
    <t>RESIGNED MARCH 01, 2023</t>
  </si>
  <si>
    <t>PHYSICAL THERAPIST II</t>
  </si>
  <si>
    <t>TURALVA, JULINA H.</t>
  </si>
  <si>
    <t>General Payroll-ANYOG, LORMIE M. &amp; 23 OTHERS</t>
  </si>
  <si>
    <t>DAGDAG, NOVA G.</t>
  </si>
  <si>
    <t xml:space="preserve">GALLA, DONNA LYN </t>
  </si>
  <si>
    <t>PASAHOL, ALICE P.</t>
  </si>
  <si>
    <t>RHMPP -PS CONTRACTUAL</t>
  </si>
  <si>
    <t>NDP -PS CONTRACTUAL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</si>
  <si>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</si>
  <si>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</si>
  <si>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</si>
  <si>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</si>
  <si>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</si>
  <si>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</si>
  <si>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</si>
  <si>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</si>
  <si>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</si>
  <si>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</si>
  <si>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</si>
  <si>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</si>
  <si>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</si>
  <si>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</si>
  <si>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</si>
  <si>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</si>
  <si>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</si>
  <si>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</si>
  <si>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DAOATEN, ROXANE F.</t>
  </si>
  <si>
    <t>General Payroll-AGAM, JOYRINALUZ R. &amp; 141 OTHERS</t>
  </si>
  <si>
    <t>General Payroll-MACUGAY, PAUL ANTHONY O. &amp; 8 OTHERS</t>
  </si>
  <si>
    <t>MACUGAY, PAUL ANTHONY O.</t>
  </si>
  <si>
    <t>JUNE 2023</t>
  </si>
  <si>
    <t>RESIGNED JULY 3, 2023</t>
  </si>
  <si>
    <t>REYES, MA. KRYSSEL CHARISSE B.</t>
  </si>
  <si>
    <t>BARBO, CAROL A.</t>
  </si>
  <si>
    <t>ETD: MAY 4, 2023; Advanced salary for the month of June.</t>
  </si>
  <si>
    <t>ETD: MAY 22, 2023; Advanced salary for the month of June.</t>
  </si>
  <si>
    <t>To obligate BASIC SALARY, PERA, SUBSISTENCE, LAUNDRY AND HAZARD PAY for the month of JUNE 2023 as per attached supporting papers in the amount of .......</t>
  </si>
  <si>
    <t>3EL - MAY 29-31, 2023 - W/ PAY.</t>
  </si>
  <si>
    <t>SL - MAY 26, 2023 -W/ PAY.</t>
  </si>
  <si>
    <t>3EL -MAY 15-17; 2VL - MAY 18-19, 2023 -W/ PAY.</t>
  </si>
  <si>
    <t>5EL - MAY 22-26, 2023 -W/ PAY.</t>
  </si>
  <si>
    <t>SL - MAY 8, 2023 -W/ PAY.</t>
  </si>
  <si>
    <t>ML -April 15 - July 28, 2023 -w/ pay.</t>
  </si>
  <si>
    <t>ML -June 9 - September 21, 2023 -w/ pay.</t>
  </si>
  <si>
    <t>3EL -MAY 17-19, 2023 -W/ PAY.</t>
  </si>
  <si>
    <t>ML -May 13-June 14, 2023 -W/ PAY. (hazard and laundry pay already deducted on May 2023 payroll)</t>
  </si>
  <si>
    <t>ML -February 21-June 6, 2023 (hazard and laundry pay already deducted on May 2023 payroll)</t>
  </si>
  <si>
    <t>2EL - MAY 5 &amp; 8, 2023 -W/ PAY.</t>
  </si>
  <si>
    <t>2QL - MAY 2-3, 2023 -W/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</si>
</sst>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_ ;\-#,##0.00\ "/>
    <numFmt numFmtId="167" formatCode="mm/dd/yy;@"/>
  </numFmts>
  <fonts count="6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9"/>
      <color indexed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0"/>
      <name val="Broadway"/>
      <family val="5"/>
    </font>
    <font>
      <u/>
      <sz val="12"/>
      <name val="Arial Narrow"/>
      <family val="2"/>
    </font>
    <font>
      <sz val="8"/>
      <name val="Arial 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u/>
      <sz val="12"/>
      <name val="Times New Roman"/>
      <family val="1"/>
    </font>
    <font>
      <sz val="8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rgb="FFFF0000"/>
      <name val="Arial Narrow"/>
      <family val="2"/>
    </font>
    <font>
      <sz val="10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4.5"/>
      <name val="Times New Roman"/>
      <family val="1"/>
    </font>
    <font>
      <b/>
      <u/>
      <sz val="12.5"/>
      <name val="Arial"/>
      <family val="2"/>
    </font>
    <font>
      <b/>
      <u/>
      <sz val="12.5"/>
      <name val="Times New Roman"/>
      <family val="1"/>
    </font>
    <font>
      <b/>
      <sz val="12.5"/>
      <name val="Arial Narrow"/>
      <family val="2"/>
    </font>
    <font>
      <sz val="11.5"/>
      <name val="Times New Roman"/>
      <family val="1"/>
    </font>
    <font>
      <sz val="11.5"/>
      <name val="Arial Narrow"/>
      <family val="2"/>
    </font>
    <font>
      <sz val="11.5"/>
      <color indexed="8"/>
      <name val="Times New Roman"/>
      <family val="1"/>
    </font>
    <font>
      <b/>
      <sz val="11"/>
      <name val="Arial"/>
      <family val="2"/>
    </font>
    <font>
      <b/>
      <sz val="14"/>
      <name val="Arial Narrow"/>
      <family val="2"/>
    </font>
    <font>
      <sz val="18.5"/>
      <name val="Broadway"/>
      <family val="5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463C1"/>
      <name val="Calibri"/>
      <family val="2"/>
    </font>
    <font>
      <sz val="11"/>
      <color rgb="FF000000"/>
      <name val="Times New Roman"/>
      <family val="1"/>
    </font>
    <font>
      <b/>
      <u/>
      <sz val="12"/>
      <name val="Arial Narrow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8"/>
      <name val="MS Sans Serif"/>
    </font>
    <font>
      <b/>
      <sz val="9"/>
      <name val="Times New Roman"/>
      <family val="1"/>
    </font>
    <font>
      <b/>
      <sz val="11"/>
      <color indexed="8"/>
      <name val="Times New Roman"/>
      <family val="1"/>
    </font>
    <font>
      <b/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>
      <alignment vertical="center"/>
    </xf>
    <xf numFmtId="43" fontId="4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39" fillId="0" borderId="0">
      <alignment vertical="center"/>
    </xf>
    <xf numFmtId="0" fontId="57" fillId="0" borderId="0">
      <alignment vertical="top"/>
      <protection locked="0"/>
    </xf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610">
    <xf numFmtId="0" fontId="0" fillId="0" borderId="0" xfId="0"/>
    <xf numFmtId="0" fontId="8" fillId="0" borderId="0" xfId="0" applyFont="1" applyAlignment="1">
      <alignment vertical="center"/>
    </xf>
    <xf numFmtId="43" fontId="8" fillId="0" borderId="0" xfId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8" fillId="0" borderId="0" xfId="1" applyFont="1" applyFill="1" applyBorder="1" applyAlignment="1">
      <alignment vertical="center"/>
    </xf>
    <xf numFmtId="43" fontId="8" fillId="0" borderId="0" xfId="1" applyFont="1" applyFill="1" applyBorder="1" applyAlignment="1" applyProtection="1">
      <alignment vertical="center"/>
    </xf>
    <xf numFmtId="0" fontId="8" fillId="0" borderId="2" xfId="0" applyFont="1" applyBorder="1" applyAlignment="1">
      <alignment horizontal="center" vertical="center"/>
    </xf>
    <xf numFmtId="43" fontId="7" fillId="3" borderId="2" xfId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43" fontId="7" fillId="3" borderId="0" xfId="1" applyFont="1" applyFill="1" applyBorder="1" applyAlignment="1" applyProtection="1">
      <alignment horizontal="center" vertical="center" wrapText="1"/>
    </xf>
    <xf numFmtId="43" fontId="8" fillId="3" borderId="2" xfId="1" applyFont="1" applyFill="1" applyBorder="1" applyAlignment="1">
      <alignment vertical="center"/>
    </xf>
    <xf numFmtId="43" fontId="8" fillId="3" borderId="2" xfId="1" applyFont="1" applyFill="1" applyBorder="1" applyAlignment="1" applyProtection="1">
      <alignment vertical="center"/>
    </xf>
    <xf numFmtId="43" fontId="8" fillId="3" borderId="0" xfId="1" applyFont="1" applyFill="1" applyBorder="1" applyAlignment="1" applyProtection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 wrapText="1"/>
    </xf>
    <xf numFmtId="164" fontId="10" fillId="0" borderId="0" xfId="2" applyNumberFormat="1" applyFont="1" applyAlignment="1">
      <alignment horizontal="center" vertical="center" wrapText="1"/>
    </xf>
    <xf numFmtId="43" fontId="10" fillId="0" borderId="0" xfId="3" applyFont="1" applyAlignment="1">
      <alignment vertical="center" wrapText="1"/>
    </xf>
    <xf numFmtId="164" fontId="10" fillId="0" borderId="0" xfId="3" applyNumberFormat="1" applyFont="1" applyAlignment="1">
      <alignment vertical="center" wrapText="1"/>
    </xf>
    <xf numFmtId="164" fontId="10" fillId="0" borderId="0" xfId="3" applyNumberFormat="1" applyFont="1" applyAlignment="1">
      <alignment horizontal="center" vertical="center" wrapText="1"/>
    </xf>
    <xf numFmtId="164" fontId="10" fillId="0" borderId="0" xfId="4" applyNumberFormat="1" applyFont="1" applyAlignment="1">
      <alignment horizontal="center" vertical="center" wrapText="1"/>
    </xf>
    <xf numFmtId="164" fontId="10" fillId="0" borderId="0" xfId="3" applyNumberFormat="1" applyFont="1" applyAlignment="1">
      <alignment horizontal="right" vertical="center" wrapText="1"/>
    </xf>
    <xf numFmtId="164" fontId="5" fillId="0" borderId="0" xfId="2" applyNumberFormat="1" applyAlignment="1">
      <alignment vertical="center"/>
    </xf>
    <xf numFmtId="165" fontId="0" fillId="0" borderId="0" xfId="5" applyFont="1" applyAlignment="1">
      <alignment vertical="center"/>
    </xf>
    <xf numFmtId="0" fontId="5" fillId="0" borderId="0" xfId="2" applyAlignment="1">
      <alignment vertical="center"/>
    </xf>
    <xf numFmtId="166" fontId="0" fillId="0" borderId="0" xfId="5" applyNumberFormat="1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center"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center" vertical="center"/>
    </xf>
    <xf numFmtId="3" fontId="5" fillId="0" borderId="0" xfId="2" applyNumberFormat="1" applyAlignment="1">
      <alignment vertical="center"/>
    </xf>
    <xf numFmtId="0" fontId="13" fillId="0" borderId="0" xfId="2" applyFont="1" applyAlignment="1">
      <alignment vertical="center"/>
    </xf>
    <xf numFmtId="166" fontId="13" fillId="0" borderId="0" xfId="5" applyNumberFormat="1" applyFont="1" applyAlignment="1">
      <alignment horizontal="center" vertical="center"/>
    </xf>
    <xf numFmtId="0" fontId="13" fillId="0" borderId="0" xfId="2" applyFont="1" applyAlignment="1">
      <alignment vertical="center" wrapText="1"/>
    </xf>
    <xf numFmtId="0" fontId="13" fillId="0" borderId="0" xfId="2" applyFont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164" fontId="13" fillId="0" borderId="0" xfId="2" applyNumberFormat="1" applyFont="1" applyAlignment="1">
      <alignment vertical="center"/>
    </xf>
    <xf numFmtId="165" fontId="13" fillId="0" borderId="0" xfId="5" applyFont="1" applyAlignment="1">
      <alignment vertical="center"/>
    </xf>
    <xf numFmtId="164" fontId="17" fillId="2" borderId="25" xfId="2" applyNumberFormat="1" applyFont="1" applyFill="1" applyBorder="1" applyAlignment="1">
      <alignment horizontal="center" vertical="center" textRotation="90"/>
    </xf>
    <xf numFmtId="164" fontId="17" fillId="2" borderId="26" xfId="2" applyNumberFormat="1" applyFont="1" applyFill="1" applyBorder="1" applyAlignment="1">
      <alignment horizontal="center" vertical="center" textRotation="90"/>
    </xf>
    <xf numFmtId="164" fontId="18" fillId="2" borderId="27" xfId="2" applyNumberFormat="1" applyFont="1" applyFill="1" applyBorder="1" applyAlignment="1">
      <alignment horizontal="centerContinuous" vertical="center" wrapText="1"/>
    </xf>
    <xf numFmtId="164" fontId="13" fillId="2" borderId="23" xfId="2" applyNumberFormat="1" applyFont="1" applyFill="1" applyBorder="1" applyAlignment="1">
      <alignment horizontal="center" vertical="center" textRotation="90" wrapText="1"/>
    </xf>
    <xf numFmtId="164" fontId="13" fillId="2" borderId="24" xfId="2" applyNumberFormat="1" applyFont="1" applyFill="1" applyBorder="1" applyAlignment="1">
      <alignment horizontal="center" vertical="center" textRotation="90" wrapText="1"/>
    </xf>
    <xf numFmtId="164" fontId="14" fillId="2" borderId="24" xfId="2" applyNumberFormat="1" applyFont="1" applyFill="1" applyBorder="1" applyAlignment="1">
      <alignment horizontal="center" vertical="center" textRotation="90" wrapText="1"/>
    </xf>
    <xf numFmtId="164" fontId="18" fillId="2" borderId="25" xfId="2" applyNumberFormat="1" applyFont="1" applyFill="1" applyBorder="1" applyAlignment="1">
      <alignment horizontal="center" vertical="center" textRotation="90"/>
    </xf>
    <xf numFmtId="0" fontId="13" fillId="0" borderId="29" xfId="2" applyFont="1" applyBorder="1" applyAlignment="1">
      <alignment horizontal="left" vertical="center" wrapText="1"/>
    </xf>
    <xf numFmtId="0" fontId="13" fillId="0" borderId="30" xfId="2" applyFont="1" applyBorder="1" applyAlignment="1">
      <alignment horizontal="center" vertical="center"/>
    </xf>
    <xf numFmtId="164" fontId="13" fillId="0" borderId="30" xfId="2" applyNumberFormat="1" applyFont="1" applyBorder="1" applyAlignment="1">
      <alignment horizontal="center" vertical="center"/>
    </xf>
    <xf numFmtId="3" fontId="13" fillId="0" borderId="30" xfId="2" applyNumberFormat="1" applyFont="1" applyBorder="1" applyAlignment="1">
      <alignment horizontal="center" vertical="center"/>
    </xf>
    <xf numFmtId="164" fontId="13" fillId="0" borderId="30" xfId="2" applyNumberFormat="1" applyFont="1" applyBorder="1" applyAlignment="1">
      <alignment vertical="center"/>
    </xf>
    <xf numFmtId="164" fontId="13" fillId="0" borderId="31" xfId="2" applyNumberFormat="1" applyFont="1" applyBorder="1" applyAlignment="1">
      <alignment vertical="center"/>
    </xf>
    <xf numFmtId="164" fontId="14" fillId="2" borderId="32" xfId="2" applyNumberFormat="1" applyFont="1" applyFill="1" applyBorder="1" applyAlignment="1">
      <alignment horizontal="center" vertical="center"/>
    </xf>
    <xf numFmtId="164" fontId="13" fillId="0" borderId="33" xfId="2" applyNumberFormat="1" applyFont="1" applyBorder="1" applyAlignment="1">
      <alignment vertical="center"/>
    </xf>
    <xf numFmtId="164" fontId="14" fillId="0" borderId="30" xfId="2" applyNumberFormat="1" applyFont="1" applyBorder="1" applyAlignment="1">
      <alignment vertical="center"/>
    </xf>
    <xf numFmtId="165" fontId="14" fillId="0" borderId="30" xfId="5" applyFont="1" applyBorder="1" applyAlignment="1">
      <alignment vertical="center"/>
    </xf>
    <xf numFmtId="165" fontId="14" fillId="0" borderId="34" xfId="5" applyFont="1" applyBorder="1" applyAlignment="1">
      <alignment vertical="center"/>
    </xf>
    <xf numFmtId="0" fontId="13" fillId="0" borderId="35" xfId="2" applyFont="1" applyBorder="1" applyAlignment="1">
      <alignment vertical="center" wrapText="1"/>
    </xf>
    <xf numFmtId="0" fontId="13" fillId="0" borderId="36" xfId="2" applyFont="1" applyBorder="1" applyAlignment="1">
      <alignment horizontal="center" vertical="center"/>
    </xf>
    <xf numFmtId="164" fontId="13" fillId="0" borderId="36" xfId="2" applyNumberFormat="1" applyFont="1" applyBorder="1" applyAlignment="1">
      <alignment horizontal="center" vertical="center"/>
    </xf>
    <xf numFmtId="3" fontId="13" fillId="0" borderId="36" xfId="2" applyNumberFormat="1" applyFont="1" applyBorder="1" applyAlignment="1">
      <alignment horizontal="center" vertical="center"/>
    </xf>
    <xf numFmtId="164" fontId="13" fillId="0" borderId="36" xfId="2" applyNumberFormat="1" applyFont="1" applyBorder="1" applyAlignment="1">
      <alignment vertical="center"/>
    </xf>
    <xf numFmtId="164" fontId="13" fillId="0" borderId="37" xfId="2" applyNumberFormat="1" applyFont="1" applyBorder="1" applyAlignment="1">
      <alignment vertical="center"/>
    </xf>
    <xf numFmtId="164" fontId="14" fillId="2" borderId="38" xfId="2" applyNumberFormat="1" applyFont="1" applyFill="1" applyBorder="1" applyAlignment="1">
      <alignment horizontal="center" vertical="center"/>
    </xf>
    <xf numFmtId="164" fontId="13" fillId="0" borderId="39" xfId="2" applyNumberFormat="1" applyFont="1" applyBorder="1" applyAlignment="1">
      <alignment vertical="center"/>
    </xf>
    <xf numFmtId="164" fontId="14" fillId="0" borderId="36" xfId="2" applyNumberFormat="1" applyFont="1" applyBorder="1" applyAlignment="1">
      <alignment vertical="center"/>
    </xf>
    <xf numFmtId="165" fontId="14" fillId="0" borderId="36" xfId="5" applyFont="1" applyBorder="1" applyAlignment="1">
      <alignment vertical="center"/>
    </xf>
    <xf numFmtId="165" fontId="14" fillId="0" borderId="40" xfId="5" applyFont="1" applyBorder="1" applyAlignment="1">
      <alignment vertical="center"/>
    </xf>
    <xf numFmtId="0" fontId="13" fillId="0" borderId="41" xfId="2" applyFont="1" applyBorder="1" applyAlignment="1">
      <alignment vertical="center" wrapText="1"/>
    </xf>
    <xf numFmtId="0" fontId="13" fillId="0" borderId="42" xfId="2" applyFont="1" applyBorder="1" applyAlignment="1">
      <alignment horizontal="center" vertical="center"/>
    </xf>
    <xf numFmtId="164" fontId="13" fillId="0" borderId="42" xfId="2" applyNumberFormat="1" applyFont="1" applyBorder="1" applyAlignment="1">
      <alignment horizontal="center" vertical="center"/>
    </xf>
    <xf numFmtId="3" fontId="13" fillId="0" borderId="42" xfId="2" applyNumberFormat="1" applyFont="1" applyBorder="1" applyAlignment="1">
      <alignment horizontal="center" vertical="center"/>
    </xf>
    <xf numFmtId="164" fontId="13" fillId="0" borderId="42" xfId="2" applyNumberFormat="1" applyFont="1" applyBorder="1" applyAlignment="1">
      <alignment vertical="center"/>
    </xf>
    <xf numFmtId="164" fontId="13" fillId="0" borderId="43" xfId="2" applyNumberFormat="1" applyFont="1" applyBorder="1" applyAlignment="1">
      <alignment vertical="center"/>
    </xf>
    <xf numFmtId="164" fontId="14" fillId="2" borderId="44" xfId="2" applyNumberFormat="1" applyFont="1" applyFill="1" applyBorder="1" applyAlignment="1">
      <alignment horizontal="center" vertical="center"/>
    </xf>
    <xf numFmtId="164" fontId="13" fillId="0" borderId="45" xfId="2" applyNumberFormat="1" applyFont="1" applyBorder="1" applyAlignment="1">
      <alignment vertical="center"/>
    </xf>
    <xf numFmtId="164" fontId="14" fillId="0" borderId="42" xfId="2" applyNumberFormat="1" applyFont="1" applyBorder="1" applyAlignment="1">
      <alignment vertical="center"/>
    </xf>
    <xf numFmtId="165" fontId="14" fillId="0" borderId="42" xfId="5" applyFont="1" applyBorder="1" applyAlignment="1">
      <alignment vertical="center"/>
    </xf>
    <xf numFmtId="165" fontId="14" fillId="0" borderId="46" xfId="5" applyFont="1" applyBorder="1" applyAlignment="1">
      <alignment vertical="center"/>
    </xf>
    <xf numFmtId="0" fontId="13" fillId="0" borderId="47" xfId="2" quotePrefix="1" applyFont="1" applyBorder="1" applyAlignment="1">
      <alignment vertical="center" wrapText="1"/>
    </xf>
    <xf numFmtId="3" fontId="13" fillId="0" borderId="0" xfId="2" applyNumberFormat="1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14" fillId="0" borderId="0" xfId="2" applyNumberFormat="1" applyFont="1" applyAlignment="1">
      <alignment vertical="center"/>
    </xf>
    <xf numFmtId="165" fontId="14" fillId="0" borderId="0" xfId="5" applyFont="1" applyAlignment="1">
      <alignment vertical="center"/>
    </xf>
    <xf numFmtId="165" fontId="14" fillId="0" borderId="48" xfId="5" applyFont="1" applyBorder="1" applyAlignment="1">
      <alignment vertical="center"/>
    </xf>
    <xf numFmtId="0" fontId="19" fillId="4" borderId="49" xfId="2" applyFont="1" applyFill="1" applyBorder="1" applyAlignment="1">
      <alignment vertical="center" wrapText="1"/>
    </xf>
    <xf numFmtId="0" fontId="19" fillId="4" borderId="50" xfId="2" applyFont="1" applyFill="1" applyBorder="1" applyAlignment="1">
      <alignment horizontal="center" vertical="center"/>
    </xf>
    <xf numFmtId="164" fontId="19" fillId="4" borderId="50" xfId="2" applyNumberFormat="1" applyFont="1" applyFill="1" applyBorder="1" applyAlignment="1">
      <alignment horizontal="center" vertical="center"/>
    </xf>
    <xf numFmtId="3" fontId="19" fillId="4" borderId="50" xfId="2" applyNumberFormat="1" applyFont="1" applyFill="1" applyBorder="1" applyAlignment="1">
      <alignment horizontal="center" vertical="center"/>
    </xf>
    <xf numFmtId="164" fontId="19" fillId="4" borderId="50" xfId="2" applyNumberFormat="1" applyFont="1" applyFill="1" applyBorder="1" applyAlignment="1">
      <alignment vertical="center"/>
    </xf>
    <xf numFmtId="165" fontId="19" fillId="4" borderId="50" xfId="5" applyFont="1" applyFill="1" applyBorder="1" applyAlignment="1">
      <alignment vertical="center"/>
    </xf>
    <xf numFmtId="165" fontId="20" fillId="4" borderId="51" xfId="5" applyFont="1" applyFill="1" applyBorder="1" applyAlignment="1">
      <alignment horizontal="right" vertical="center"/>
    </xf>
    <xf numFmtId="0" fontId="21" fillId="0" borderId="0" xfId="2" applyFont="1" applyAlignment="1">
      <alignment vertical="center"/>
    </xf>
    <xf numFmtId="166" fontId="21" fillId="0" borderId="0" xfId="5" applyNumberFormat="1" applyFont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4" fillId="0" borderId="0" xfId="0" applyFont="1"/>
    <xf numFmtId="0" fontId="28" fillId="0" borderId="0" xfId="0" applyFont="1"/>
    <xf numFmtId="0" fontId="29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17" fontId="25" fillId="0" borderId="0" xfId="0" quotePrefix="1" applyNumberFormat="1" applyFont="1"/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43" fontId="8" fillId="0" borderId="53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31" fillId="0" borderId="56" xfId="0" applyFont="1" applyBorder="1" applyAlignment="1">
      <alignment vertical="center"/>
    </xf>
    <xf numFmtId="0" fontId="31" fillId="0" borderId="57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43" fontId="8" fillId="0" borderId="13" xfId="1" applyFont="1" applyFill="1" applyBorder="1" applyAlignment="1">
      <alignment vertical="center"/>
    </xf>
    <xf numFmtId="43" fontId="32" fillId="0" borderId="13" xfId="1" applyFont="1" applyFill="1" applyBorder="1" applyAlignment="1">
      <alignment vertical="center"/>
    </xf>
    <xf numFmtId="43" fontId="8" fillId="0" borderId="59" xfId="1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43" fontId="8" fillId="0" borderId="50" xfId="1" applyFont="1" applyFill="1" applyBorder="1" applyAlignment="1">
      <alignment vertical="center"/>
    </xf>
    <xf numFmtId="43" fontId="8" fillId="0" borderId="22" xfId="1" applyFont="1" applyFill="1" applyBorder="1" applyAlignment="1">
      <alignment vertical="center"/>
    </xf>
    <xf numFmtId="43" fontId="8" fillId="0" borderId="54" xfId="1" applyFont="1" applyFill="1" applyBorder="1" applyAlignment="1">
      <alignment vertical="center"/>
    </xf>
    <xf numFmtId="43" fontId="8" fillId="0" borderId="48" xfId="1" applyFont="1" applyFill="1" applyBorder="1" applyAlignment="1">
      <alignment vertical="center"/>
    </xf>
    <xf numFmtId="43" fontId="8" fillId="0" borderId="60" xfId="1" applyFont="1" applyFill="1" applyBorder="1" applyAlignment="1">
      <alignment vertical="center"/>
    </xf>
    <xf numFmtId="43" fontId="8" fillId="0" borderId="51" xfId="1" applyFont="1" applyFill="1" applyBorder="1" applyAlignment="1">
      <alignment vertical="center"/>
    </xf>
    <xf numFmtId="43" fontId="7" fillId="3" borderId="61" xfId="1" applyFont="1" applyFill="1" applyBorder="1" applyAlignment="1" applyProtection="1">
      <alignment horizontal="center" vertical="center" wrapText="1"/>
    </xf>
    <xf numFmtId="43" fontId="8" fillId="3" borderId="61" xfId="1" applyFont="1" applyFill="1" applyBorder="1" applyAlignment="1">
      <alignment vertical="center"/>
    </xf>
    <xf numFmtId="0" fontId="7" fillId="3" borderId="63" xfId="0" applyFont="1" applyFill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3" borderId="64" xfId="0" applyFont="1" applyFill="1" applyBorder="1" applyAlignment="1">
      <alignment horizontal="center" vertical="center" wrapText="1"/>
    </xf>
    <xf numFmtId="0" fontId="8" fillId="0" borderId="67" xfId="0" applyFont="1" applyBorder="1" applyAlignment="1">
      <alignment vertical="center"/>
    </xf>
    <xf numFmtId="0" fontId="32" fillId="0" borderId="0" xfId="2" applyFont="1"/>
    <xf numFmtId="0" fontId="31" fillId="0" borderId="0" xfId="2" applyFont="1"/>
    <xf numFmtId="0" fontId="40" fillId="0" borderId="17" xfId="7" applyFont="1" applyBorder="1" applyAlignment="1"/>
    <xf numFmtId="0" fontId="27" fillId="0" borderId="15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/>
    </xf>
    <xf numFmtId="0" fontId="27" fillId="0" borderId="15" xfId="2" applyFont="1" applyBorder="1"/>
    <xf numFmtId="43" fontId="31" fillId="0" borderId="0" xfId="2" applyNumberFormat="1" applyFont="1"/>
    <xf numFmtId="43" fontId="41" fillId="0" borderId="0" xfId="2" applyNumberFormat="1" applyFont="1"/>
    <xf numFmtId="0" fontId="27" fillId="0" borderId="23" xfId="2" applyFont="1" applyBorder="1" applyAlignment="1">
      <alignment wrapText="1"/>
    </xf>
    <xf numFmtId="0" fontId="37" fillId="0" borderId="0" xfId="2" applyFont="1" applyAlignment="1">
      <alignment vertical="center"/>
    </xf>
    <xf numFmtId="0" fontId="37" fillId="0" borderId="0" xfId="2" applyFont="1" applyAlignment="1">
      <alignment horizontal="left" vertical="center" wrapText="1"/>
    </xf>
    <xf numFmtId="0" fontId="32" fillId="0" borderId="48" xfId="2" applyFont="1" applyBorder="1"/>
    <xf numFmtId="0" fontId="37" fillId="0" borderId="0" xfId="2" applyFont="1"/>
    <xf numFmtId="0" fontId="37" fillId="0" borderId="47" xfId="2" applyFont="1" applyBorder="1"/>
    <xf numFmtId="0" fontId="32" fillId="0" borderId="47" xfId="2" applyFont="1" applyBorder="1"/>
    <xf numFmtId="0" fontId="32" fillId="0" borderId="0" xfId="2" applyFont="1" applyAlignment="1">
      <alignment wrapText="1"/>
    </xf>
    <xf numFmtId="0" fontId="32" fillId="0" borderId="1" xfId="2" applyFont="1" applyBorder="1" applyAlignment="1">
      <alignment horizontal="left"/>
    </xf>
    <xf numFmtId="0" fontId="32" fillId="0" borderId="1" xfId="2" applyFont="1" applyBorder="1"/>
    <xf numFmtId="0" fontId="32" fillId="0" borderId="71" xfId="2" applyFont="1" applyBorder="1"/>
    <xf numFmtId="0" fontId="32" fillId="0" borderId="47" xfId="2" applyFont="1" applyBorder="1" applyAlignment="1">
      <alignment vertical="center" wrapText="1"/>
    </xf>
    <xf numFmtId="0" fontId="32" fillId="0" borderId="0" xfId="2" applyFont="1" applyAlignment="1">
      <alignment vertical="center" wrapText="1"/>
    </xf>
    <xf numFmtId="0" fontId="32" fillId="0" borderId="49" xfId="2" applyFont="1" applyBorder="1" applyAlignment="1">
      <alignment vertical="center" wrapText="1"/>
    </xf>
    <xf numFmtId="0" fontId="32" fillId="0" borderId="50" xfId="2" applyFont="1" applyBorder="1" applyAlignment="1">
      <alignment vertical="center" wrapText="1"/>
    </xf>
    <xf numFmtId="0" fontId="32" fillId="0" borderId="51" xfId="2" applyFont="1" applyBorder="1" applyAlignment="1">
      <alignment vertical="center" wrapText="1"/>
    </xf>
    <xf numFmtId="0" fontId="32" fillId="0" borderId="50" xfId="2" applyFont="1" applyBorder="1" applyAlignment="1">
      <alignment wrapText="1"/>
    </xf>
    <xf numFmtId="0" fontId="32" fillId="0" borderId="51" xfId="2" applyFont="1" applyBorder="1" applyAlignment="1">
      <alignment wrapText="1"/>
    </xf>
    <xf numFmtId="0" fontId="32" fillId="0" borderId="76" xfId="2" applyFont="1" applyBorder="1"/>
    <xf numFmtId="0" fontId="32" fillId="0" borderId="52" xfId="2" applyFont="1" applyBorder="1"/>
    <xf numFmtId="0" fontId="32" fillId="0" borderId="53" xfId="2" applyFont="1" applyBorder="1"/>
    <xf numFmtId="0" fontId="32" fillId="0" borderId="54" xfId="2" applyFont="1" applyBorder="1"/>
    <xf numFmtId="0" fontId="37" fillId="0" borderId="77" xfId="2" applyFont="1" applyBorder="1"/>
    <xf numFmtId="0" fontId="32" fillId="0" borderId="82" xfId="2" applyFont="1" applyBorder="1" applyAlignment="1">
      <alignment horizontal="center" vertical="center" wrapText="1"/>
    </xf>
    <xf numFmtId="0" fontId="32" fillId="0" borderId="77" xfId="2" applyFont="1" applyBorder="1" applyAlignment="1">
      <alignment horizontal="center" vertical="center"/>
    </xf>
    <xf numFmtId="0" fontId="32" fillId="0" borderId="85" xfId="2" applyFont="1" applyBorder="1" applyAlignment="1">
      <alignment horizontal="center" vertical="center"/>
    </xf>
    <xf numFmtId="0" fontId="32" fillId="0" borderId="85" xfId="2" applyFont="1" applyBorder="1" applyAlignment="1">
      <alignment horizontal="center"/>
    </xf>
    <xf numFmtId="0" fontId="32" fillId="0" borderId="86" xfId="2" applyFont="1" applyBorder="1" applyAlignment="1">
      <alignment horizontal="center" wrapText="1"/>
    </xf>
    <xf numFmtId="167" fontId="32" fillId="0" borderId="75" xfId="2" quotePrefix="1" applyNumberFormat="1" applyFont="1" applyBorder="1"/>
    <xf numFmtId="167" fontId="32" fillId="0" borderId="13" xfId="2" quotePrefix="1" applyNumberFormat="1" applyFont="1" applyBorder="1"/>
    <xf numFmtId="0" fontId="32" fillId="0" borderId="14" xfId="2" applyFont="1" applyBorder="1"/>
    <xf numFmtId="0" fontId="32" fillId="0" borderId="13" xfId="2" quotePrefix="1" applyFont="1" applyBorder="1"/>
    <xf numFmtId="41" fontId="32" fillId="0" borderId="75" xfId="5" applyNumberFormat="1" applyFont="1" applyBorder="1"/>
    <xf numFmtId="0" fontId="32" fillId="0" borderId="13" xfId="2" applyFont="1" applyBorder="1"/>
    <xf numFmtId="0" fontId="32" fillId="0" borderId="15" xfId="2" applyFont="1" applyBorder="1"/>
    <xf numFmtId="41" fontId="32" fillId="0" borderId="15" xfId="5" applyNumberFormat="1" applyFont="1" applyBorder="1"/>
    <xf numFmtId="41" fontId="32" fillId="0" borderId="48" xfId="5" applyNumberFormat="1" applyFont="1" applyBorder="1"/>
    <xf numFmtId="167" fontId="32" fillId="0" borderId="13" xfId="2" applyNumberFormat="1" applyFont="1" applyBorder="1"/>
    <xf numFmtId="0" fontId="32" fillId="0" borderId="75" xfId="2" applyFont="1" applyBorder="1"/>
    <xf numFmtId="41" fontId="32" fillId="0" borderId="13" xfId="5" applyNumberFormat="1" applyFont="1" applyBorder="1"/>
    <xf numFmtId="41" fontId="32" fillId="0" borderId="14" xfId="5" applyNumberFormat="1" applyFont="1" applyBorder="1"/>
    <xf numFmtId="41" fontId="32" fillId="0" borderId="48" xfId="2" applyNumberFormat="1" applyFont="1" applyBorder="1"/>
    <xf numFmtId="43" fontId="32" fillId="0" borderId="15" xfId="5" applyNumberFormat="1" applyFont="1" applyBorder="1"/>
    <xf numFmtId="167" fontId="32" fillId="0" borderId="75" xfId="2" applyNumberFormat="1" applyFont="1" applyBorder="1"/>
    <xf numFmtId="167" fontId="31" fillId="0" borderId="83" xfId="2" applyNumberFormat="1" applyFont="1" applyBorder="1"/>
    <xf numFmtId="167" fontId="31" fillId="0" borderId="22" xfId="2" applyNumberFormat="1" applyFont="1" applyBorder="1"/>
    <xf numFmtId="0" fontId="31" fillId="0" borderId="50" xfId="2" applyFont="1" applyBorder="1"/>
    <xf numFmtId="0" fontId="31" fillId="0" borderId="23" xfId="2" applyFont="1" applyBorder="1"/>
    <xf numFmtId="0" fontId="31" fillId="0" borderId="22" xfId="2" applyFont="1" applyBorder="1"/>
    <xf numFmtId="0" fontId="31" fillId="0" borderId="51" xfId="2" applyFont="1" applyBorder="1"/>
    <xf numFmtId="0" fontId="31" fillId="0" borderId="83" xfId="2" applyFont="1" applyBorder="1"/>
    <xf numFmtId="0" fontId="31" fillId="0" borderId="24" xfId="2" applyFont="1" applyBorder="1"/>
    <xf numFmtId="0" fontId="7" fillId="5" borderId="64" xfId="0" applyFont="1" applyFill="1" applyBorder="1" applyAlignment="1">
      <alignment horizontal="center" vertical="center" wrapText="1"/>
    </xf>
    <xf numFmtId="43" fontId="7" fillId="5" borderId="64" xfId="1" applyFont="1" applyFill="1" applyBorder="1" applyAlignment="1" applyProtection="1">
      <alignment horizontal="center" vertical="center" wrapText="1"/>
    </xf>
    <xf numFmtId="43" fontId="7" fillId="5" borderId="64" xfId="1" applyFont="1" applyFill="1" applyBorder="1" applyAlignment="1">
      <alignment horizontal="center" vertical="center" wrapText="1"/>
    </xf>
    <xf numFmtId="43" fontId="7" fillId="5" borderId="65" xfId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>
      <alignment horizontal="center"/>
    </xf>
    <xf numFmtId="43" fontId="8" fillId="3" borderId="2" xfId="1" applyFont="1" applyFill="1" applyBorder="1" applyAlignment="1"/>
    <xf numFmtId="43" fontId="8" fillId="5" borderId="2" xfId="1" applyFont="1" applyFill="1" applyBorder="1" applyAlignment="1">
      <alignment horizontal="right"/>
    </xf>
    <xf numFmtId="43" fontId="8" fillId="5" borderId="2" xfId="1" applyFont="1" applyFill="1" applyBorder="1" applyAlignment="1"/>
    <xf numFmtId="43" fontId="8" fillId="5" borderId="2" xfId="1" applyFont="1" applyFill="1" applyBorder="1" applyAlignment="1" applyProtection="1"/>
    <xf numFmtId="0" fontId="8" fillId="0" borderId="47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43" fontId="32" fillId="3" borderId="2" xfId="1" applyFont="1" applyFill="1" applyBorder="1" applyAlignment="1">
      <alignment vertical="center"/>
    </xf>
    <xf numFmtId="0" fontId="32" fillId="3" borderId="66" xfId="0" quotePrefix="1" applyFont="1" applyFill="1" applyBorder="1" applyAlignment="1">
      <alignment horizontal="center" vertical="center"/>
    </xf>
    <xf numFmtId="43" fontId="32" fillId="5" borderId="62" xfId="1" applyFont="1" applyFill="1" applyBorder="1" applyAlignment="1" applyProtection="1">
      <alignment wrapText="1"/>
    </xf>
    <xf numFmtId="0" fontId="32" fillId="0" borderId="2" xfId="0" applyFont="1" applyBorder="1" applyAlignment="1">
      <alignment horizontal="center" vertical="center"/>
    </xf>
    <xf numFmtId="43" fontId="32" fillId="3" borderId="61" xfId="1" applyFont="1" applyFill="1" applyBorder="1" applyAlignment="1">
      <alignment vertical="center"/>
    </xf>
    <xf numFmtId="43" fontId="32" fillId="3" borderId="2" xfId="1" applyFont="1" applyFill="1" applyBorder="1" applyAlignment="1" applyProtection="1">
      <alignment vertical="center"/>
    </xf>
    <xf numFmtId="43" fontId="32" fillId="3" borderId="0" xfId="1" applyFont="1" applyFill="1" applyBorder="1" applyAlignment="1" applyProtection="1">
      <alignment vertical="center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5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8" fillId="5" borderId="0" xfId="0" applyFont="1" applyFill="1"/>
    <xf numFmtId="0" fontId="37" fillId="5" borderId="2" xfId="0" applyFont="1" applyFill="1" applyBorder="1"/>
    <xf numFmtId="0" fontId="8" fillId="5" borderId="5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57" xfId="0" applyFont="1" applyFill="1" applyBorder="1" applyAlignment="1">
      <alignment vertical="center"/>
    </xf>
    <xf numFmtId="0" fontId="32" fillId="0" borderId="15" xfId="2" applyFont="1" applyBorder="1" applyAlignment="1">
      <alignment horizontal="center" vertical="center"/>
    </xf>
    <xf numFmtId="0" fontId="32" fillId="0" borderId="47" xfId="2" applyFont="1" applyBorder="1" applyAlignment="1">
      <alignment wrapText="1"/>
    </xf>
    <xf numFmtId="0" fontId="32" fillId="0" borderId="47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32" fillId="0" borderId="14" xfId="2" applyFont="1" applyBorder="1" applyAlignment="1">
      <alignment horizontal="center"/>
    </xf>
    <xf numFmtId="0" fontId="32" fillId="0" borderId="13" xfId="2" quotePrefix="1" applyFont="1" applyBorder="1" applyAlignment="1">
      <alignment horizontal="center"/>
    </xf>
    <xf numFmtId="0" fontId="32" fillId="0" borderId="14" xfId="2" quotePrefix="1" applyFont="1" applyBorder="1" applyAlignment="1">
      <alignment horizontal="center"/>
    </xf>
    <xf numFmtId="0" fontId="60" fillId="5" borderId="2" xfId="0" applyFont="1" applyFill="1" applyBorder="1" applyAlignment="1">
      <alignment horizontal="left" vertical="center"/>
    </xf>
    <xf numFmtId="0" fontId="58" fillId="5" borderId="2" xfId="0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center"/>
    </xf>
    <xf numFmtId="0" fontId="32" fillId="5" borderId="0" xfId="0" applyFont="1" applyFill="1"/>
    <xf numFmtId="0" fontId="61" fillId="5" borderId="2" xfId="0" applyFont="1" applyFill="1" applyBorder="1" applyAlignment="1">
      <alignment horizontal="left" vertical="center" wrapText="1"/>
    </xf>
    <xf numFmtId="0" fontId="8" fillId="0" borderId="7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6" borderId="2" xfId="0" quotePrefix="1" applyFont="1" applyFill="1" applyBorder="1" applyAlignment="1">
      <alignment horizontal="center"/>
    </xf>
    <xf numFmtId="43" fontId="7" fillId="6" borderId="2" xfId="1" applyFont="1" applyFill="1" applyBorder="1" applyAlignment="1"/>
    <xf numFmtId="0" fontId="32" fillId="0" borderId="13" xfId="2" applyFont="1" applyBorder="1" applyAlignment="1">
      <alignment horizontal="center"/>
    </xf>
    <xf numFmtId="0" fontId="27" fillId="0" borderId="13" xfId="2" applyFont="1" applyBorder="1" applyAlignment="1">
      <alignment horizontal="center"/>
    </xf>
    <xf numFmtId="0" fontId="27" fillId="0" borderId="48" xfId="2" applyFont="1" applyBorder="1" applyAlignment="1">
      <alignment horizontal="center"/>
    </xf>
    <xf numFmtId="43" fontId="32" fillId="3" borderId="61" xfId="1" applyFont="1" applyFill="1" applyBorder="1" applyAlignment="1">
      <alignment vertical="center" wrapText="1"/>
    </xf>
    <xf numFmtId="43" fontId="62" fillId="3" borderId="61" xfId="1" applyFont="1" applyFill="1" applyBorder="1" applyAlignment="1">
      <alignment vertical="center" wrapText="1"/>
    </xf>
    <xf numFmtId="0" fontId="32" fillId="5" borderId="0" xfId="0" applyFont="1" applyFill="1" applyAlignment="1">
      <alignment horizontal="center" vertical="center"/>
    </xf>
    <xf numFmtId="43" fontId="37" fillId="5" borderId="62" xfId="1" applyFont="1" applyFill="1" applyBorder="1" applyAlignment="1" applyProtection="1">
      <alignment wrapText="1"/>
    </xf>
    <xf numFmtId="0" fontId="58" fillId="5" borderId="2" xfId="13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left" vertical="center"/>
    </xf>
    <xf numFmtId="0" fontId="32" fillId="5" borderId="2" xfId="11" applyFont="1" applyFill="1" applyBorder="1" applyAlignment="1">
      <alignment horizontal="left" vertical="center"/>
    </xf>
    <xf numFmtId="0" fontId="63" fillId="5" borderId="2" xfId="0" applyFont="1" applyFill="1" applyBorder="1" applyAlignment="1">
      <alignment horizontal="left" vertical="center"/>
    </xf>
    <xf numFmtId="43" fontId="65" fillId="5" borderId="62" xfId="1" applyFont="1" applyFill="1" applyBorder="1" applyAlignment="1" applyProtection="1">
      <alignment wrapText="1"/>
    </xf>
    <xf numFmtId="43" fontId="37" fillId="7" borderId="62" xfId="1" applyFont="1" applyFill="1" applyBorder="1" applyAlignment="1" applyProtection="1">
      <alignment wrapText="1"/>
    </xf>
    <xf numFmtId="0" fontId="8" fillId="0" borderId="7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0" fillId="0" borderId="2" xfId="0" applyFont="1" applyBorder="1" applyAlignment="1">
      <alignment horizontal="left" vertical="center"/>
    </xf>
    <xf numFmtId="43" fontId="8" fillId="0" borderId="2" xfId="1" applyFont="1" applyFill="1" applyBorder="1" applyAlignment="1"/>
    <xf numFmtId="43" fontId="8" fillId="0" borderId="2" xfId="1" applyFont="1" applyFill="1" applyBorder="1" applyAlignment="1">
      <alignment horizontal="right"/>
    </xf>
    <xf numFmtId="43" fontId="8" fillId="0" borderId="2" xfId="1" applyFont="1" applyFill="1" applyBorder="1" applyAlignment="1" applyProtection="1"/>
    <xf numFmtId="43" fontId="32" fillId="0" borderId="61" xfId="1" applyFont="1" applyFill="1" applyBorder="1" applyAlignment="1">
      <alignment vertical="center"/>
    </xf>
    <xf numFmtId="43" fontId="32" fillId="0" borderId="2" xfId="1" applyFont="1" applyFill="1" applyBorder="1" applyAlignment="1">
      <alignment vertical="center"/>
    </xf>
    <xf numFmtId="43" fontId="32" fillId="0" borderId="2" xfId="1" applyFont="1" applyFill="1" applyBorder="1" applyAlignment="1" applyProtection="1">
      <alignment vertical="center"/>
    </xf>
    <xf numFmtId="43" fontId="32" fillId="0" borderId="0" xfId="1" applyFont="1" applyFill="1" applyBorder="1" applyAlignment="1" applyProtection="1">
      <alignment vertical="center"/>
    </xf>
    <xf numFmtId="0" fontId="8" fillId="0" borderId="0" xfId="0" applyFont="1" applyAlignment="1">
      <alignment horizontal="left" vertical="center"/>
    </xf>
    <xf numFmtId="43" fontId="8" fillId="0" borderId="0" xfId="1" applyFont="1" applyFill="1" applyBorder="1" applyAlignment="1" applyProtection="1">
      <alignment horizontal="left" vertical="center"/>
    </xf>
    <xf numFmtId="0" fontId="22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8" fillId="0" borderId="0" xfId="1" applyFont="1" applyFill="1" applyBorder="1" applyAlignment="1" applyProtection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7" fontId="25" fillId="0" borderId="0" xfId="0" quotePrefix="1" applyNumberFormat="1" applyFont="1" applyAlignment="1">
      <alignment horizontal="center" vertical="top"/>
    </xf>
    <xf numFmtId="0" fontId="8" fillId="0" borderId="0" xfId="0" applyFont="1" applyAlignment="1">
      <alignment horizontal="right" vertical="center"/>
    </xf>
    <xf numFmtId="43" fontId="8" fillId="0" borderId="0" xfId="1" applyFont="1" applyFill="1" applyBorder="1" applyAlignment="1" applyProtection="1">
      <alignment horizontal="right" vertical="center"/>
    </xf>
    <xf numFmtId="0" fontId="8" fillId="0" borderId="50" xfId="0" applyFont="1" applyBorder="1" applyAlignment="1">
      <alignment horizontal="right" vertical="center" wrapText="1"/>
    </xf>
    <xf numFmtId="0" fontId="8" fillId="0" borderId="50" xfId="0" applyFont="1" applyBorder="1" applyAlignment="1">
      <alignment horizontal="right" vertical="center"/>
    </xf>
    <xf numFmtId="0" fontId="8" fillId="0" borderId="51" xfId="0" applyFont="1" applyBorder="1" applyAlignment="1">
      <alignment horizontal="right" vertical="center"/>
    </xf>
    <xf numFmtId="43" fontId="8" fillId="0" borderId="50" xfId="1" applyFont="1" applyFill="1" applyBorder="1" applyAlignment="1">
      <alignment horizontal="right" vertical="center"/>
    </xf>
    <xf numFmtId="43" fontId="8" fillId="0" borderId="22" xfId="1" applyFont="1" applyFill="1" applyBorder="1" applyAlignment="1">
      <alignment horizontal="right" vertical="center"/>
    </xf>
    <xf numFmtId="43" fontId="8" fillId="0" borderId="51" xfId="1" applyFont="1" applyFill="1" applyBorder="1" applyAlignment="1">
      <alignment horizontal="right" vertical="center"/>
    </xf>
    <xf numFmtId="0" fontId="7" fillId="0" borderId="4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0" xfId="0" applyFont="1"/>
    <xf numFmtId="0" fontId="8" fillId="0" borderId="48" xfId="0" applyFont="1" applyBorder="1"/>
    <xf numFmtId="43" fontId="8" fillId="0" borderId="0" xfId="1" applyFont="1" applyFill="1" applyBorder="1" applyAlignment="1" applyProtection="1"/>
    <xf numFmtId="0" fontId="8" fillId="0" borderId="49" xfId="0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3" fontId="7" fillId="5" borderId="2" xfId="1" applyFont="1" applyFill="1" applyBorder="1" applyAlignment="1" applyProtection="1">
      <alignment horizontal="center" vertical="center" wrapText="1"/>
    </xf>
    <xf numFmtId="43" fontId="7" fillId="5" borderId="2" xfId="1" applyFont="1" applyFill="1" applyBorder="1" applyAlignment="1">
      <alignment horizontal="center" vertical="center" wrapText="1"/>
    </xf>
    <xf numFmtId="0" fontId="32" fillId="3" borderId="2" xfId="0" quotePrefix="1" applyFont="1" applyFill="1" applyBorder="1" applyAlignment="1">
      <alignment horizontal="center" vertical="center"/>
    </xf>
    <xf numFmtId="43" fontId="32" fillId="5" borderId="2" xfId="1" applyFont="1" applyFill="1" applyBorder="1" applyAlignment="1" applyProtection="1">
      <alignment wrapText="1"/>
    </xf>
    <xf numFmtId="0" fontId="32" fillId="3" borderId="2" xfId="0" applyFont="1" applyFill="1" applyBorder="1" applyAlignment="1">
      <alignment horizontal="center" vertical="center"/>
    </xf>
    <xf numFmtId="165" fontId="32" fillId="0" borderId="2" xfId="0" applyNumberFormat="1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43" fontId="32" fillId="0" borderId="2" xfId="1" applyFont="1" applyFill="1" applyBorder="1" applyAlignment="1" applyProtection="1">
      <alignment wrapText="1"/>
    </xf>
    <xf numFmtId="0" fontId="32" fillId="0" borderId="2" xfId="0" quotePrefix="1" applyFont="1" applyBorder="1" applyAlignment="1">
      <alignment horizontal="center" vertical="center"/>
    </xf>
    <xf numFmtId="0" fontId="32" fillId="3" borderId="18" xfId="0" quotePrefix="1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60" fillId="5" borderId="18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center"/>
    </xf>
    <xf numFmtId="43" fontId="8" fillId="3" borderId="18" xfId="1" applyFont="1" applyFill="1" applyBorder="1" applyAlignment="1"/>
    <xf numFmtId="43" fontId="8" fillId="5" borderId="18" xfId="1" applyFont="1" applyFill="1" applyBorder="1" applyAlignment="1">
      <alignment horizontal="right"/>
    </xf>
    <xf numFmtId="43" fontId="8" fillId="5" borderId="18" xfId="1" applyFont="1" applyFill="1" applyBorder="1" applyAlignment="1"/>
    <xf numFmtId="43" fontId="8" fillId="5" borderId="18" xfId="1" applyFont="1" applyFill="1" applyBorder="1" applyAlignment="1" applyProtection="1"/>
    <xf numFmtId="43" fontId="32" fillId="5" borderId="18" xfId="1" applyFont="1" applyFill="1" applyBorder="1" applyAlignment="1" applyProtection="1">
      <alignment wrapText="1"/>
    </xf>
    <xf numFmtId="43" fontId="32" fillId="3" borderId="17" xfId="1" applyFont="1" applyFill="1" applyBorder="1" applyAlignment="1">
      <alignment vertical="center"/>
    </xf>
    <xf numFmtId="43" fontId="32" fillId="3" borderId="18" xfId="1" applyFont="1" applyFill="1" applyBorder="1" applyAlignment="1">
      <alignment vertical="center"/>
    </xf>
    <xf numFmtId="43" fontId="32" fillId="3" borderId="18" xfId="1" applyFont="1" applyFill="1" applyBorder="1" applyAlignment="1" applyProtection="1">
      <alignment vertical="center"/>
    </xf>
    <xf numFmtId="0" fontId="32" fillId="3" borderId="19" xfId="0" quotePrefix="1" applyFont="1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58" fillId="5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/>
    </xf>
    <xf numFmtId="43" fontId="8" fillId="3" borderId="19" xfId="1" applyFont="1" applyFill="1" applyBorder="1" applyAlignment="1"/>
    <xf numFmtId="43" fontId="8" fillId="5" borderId="19" xfId="1" applyFont="1" applyFill="1" applyBorder="1" applyAlignment="1">
      <alignment horizontal="right"/>
    </xf>
    <xf numFmtId="43" fontId="8" fillId="5" borderId="19" xfId="1" applyFont="1" applyFill="1" applyBorder="1" applyAlignment="1"/>
    <xf numFmtId="43" fontId="8" fillId="5" borderId="19" xfId="1" applyFont="1" applyFill="1" applyBorder="1" applyAlignment="1" applyProtection="1"/>
    <xf numFmtId="43" fontId="32" fillId="5" borderId="19" xfId="1" applyFont="1" applyFill="1" applyBorder="1" applyAlignment="1" applyProtection="1">
      <alignment wrapText="1"/>
    </xf>
    <xf numFmtId="43" fontId="32" fillId="3" borderId="72" xfId="1" applyFont="1" applyFill="1" applyBorder="1" applyAlignment="1">
      <alignment vertical="center"/>
    </xf>
    <xf numFmtId="43" fontId="32" fillId="3" borderId="19" xfId="1" applyFont="1" applyFill="1" applyBorder="1" applyAlignment="1">
      <alignment vertical="center"/>
    </xf>
    <xf numFmtId="43" fontId="32" fillId="3" borderId="19" xfId="1" applyFont="1" applyFill="1" applyBorder="1" applyAlignment="1" applyProtection="1">
      <alignment vertical="center"/>
    </xf>
    <xf numFmtId="43" fontId="32" fillId="5" borderId="89" xfId="1" applyFont="1" applyFill="1" applyBorder="1" applyAlignment="1" applyProtection="1">
      <alignment wrapText="1"/>
    </xf>
    <xf numFmtId="0" fontId="60" fillId="5" borderId="19" xfId="0" applyFont="1" applyFill="1" applyBorder="1" applyAlignment="1">
      <alignment horizontal="left" vertical="center"/>
    </xf>
    <xf numFmtId="43" fontId="32" fillId="5" borderId="90" xfId="1" applyFont="1" applyFill="1" applyBorder="1" applyAlignment="1" applyProtection="1">
      <alignment wrapText="1"/>
    </xf>
    <xf numFmtId="0" fontId="32" fillId="3" borderId="68" xfId="0" quotePrefix="1" applyFont="1" applyFill="1" applyBorder="1" applyAlignment="1">
      <alignment horizontal="center" vertical="center"/>
    </xf>
    <xf numFmtId="43" fontId="62" fillId="5" borderId="62" xfId="1" applyFont="1" applyFill="1" applyBorder="1" applyAlignment="1" applyProtection="1">
      <alignment wrapText="1"/>
    </xf>
    <xf numFmtId="0" fontId="32" fillId="2" borderId="2" xfId="0" applyFont="1" applyFill="1" applyBorder="1" applyAlignment="1">
      <alignment horizontal="center" vertical="center"/>
    </xf>
    <xf numFmtId="43" fontId="32" fillId="2" borderId="61" xfId="1" applyFont="1" applyFill="1" applyBorder="1" applyAlignment="1">
      <alignment vertical="center"/>
    </xf>
    <xf numFmtId="43" fontId="32" fillId="2" borderId="2" xfId="1" applyFont="1" applyFill="1" applyBorder="1" applyAlignment="1">
      <alignment vertical="center"/>
    </xf>
    <xf numFmtId="43" fontId="32" fillId="2" borderId="2" xfId="1" applyFont="1" applyFill="1" applyBorder="1" applyAlignment="1" applyProtection="1">
      <alignment vertical="center"/>
    </xf>
    <xf numFmtId="43" fontId="32" fillId="2" borderId="0" xfId="1" applyFont="1" applyFill="1" applyBorder="1" applyAlignment="1" applyProtection="1">
      <alignment vertical="center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vertical="center"/>
    </xf>
    <xf numFmtId="43" fontId="31" fillId="5" borderId="89" xfId="1" applyFont="1" applyFill="1" applyBorder="1" applyAlignment="1" applyProtection="1">
      <alignment wrapText="1"/>
    </xf>
    <xf numFmtId="0" fontId="32" fillId="0" borderId="2" xfId="0" applyFont="1" applyBorder="1" applyAlignment="1">
      <alignment horizontal="left" vertical="center"/>
    </xf>
    <xf numFmtId="0" fontId="32" fillId="0" borderId="15" xfId="2" applyFont="1" applyBorder="1" applyAlignment="1">
      <alignment horizontal="center" vertical="center" wrapText="1"/>
    </xf>
    <xf numFmtId="0" fontId="8" fillId="0" borderId="47" xfId="0" applyFont="1" applyBorder="1"/>
    <xf numFmtId="43" fontId="31" fillId="5" borderId="62" xfId="1" applyFont="1" applyFill="1" applyBorder="1" applyAlignment="1" applyProtection="1">
      <alignment wrapText="1"/>
    </xf>
    <xf numFmtId="43" fontId="37" fillId="5" borderId="2" xfId="1" applyFont="1" applyFill="1" applyBorder="1" applyAlignment="1" applyProtection="1">
      <alignment wrapText="1"/>
    </xf>
    <xf numFmtId="43" fontId="37" fillId="0" borderId="2" xfId="1" applyFont="1" applyFill="1" applyBorder="1" applyAlignment="1" applyProtection="1">
      <alignment wrapText="1"/>
    </xf>
    <xf numFmtId="0" fontId="8" fillId="8" borderId="87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vertical="center"/>
    </xf>
    <xf numFmtId="0" fontId="7" fillId="8" borderId="25" xfId="0" quotePrefix="1" applyFont="1" applyFill="1" applyBorder="1" applyAlignment="1">
      <alignment horizontal="center" vertical="center"/>
    </xf>
    <xf numFmtId="43" fontId="7" fillId="8" borderId="25" xfId="1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37" fillId="8" borderId="67" xfId="0" quotePrefix="1" applyFont="1" applyFill="1" applyBorder="1" applyAlignment="1">
      <alignment horizontal="center" vertical="center"/>
    </xf>
    <xf numFmtId="0" fontId="37" fillId="8" borderId="19" xfId="0" applyFont="1" applyFill="1" applyBorder="1" applyAlignment="1">
      <alignment horizontal="center" vertical="center"/>
    </xf>
    <xf numFmtId="0" fontId="66" fillId="8" borderId="6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/>
    </xf>
    <xf numFmtId="43" fontId="7" fillId="8" borderId="19" xfId="1" applyFont="1" applyFill="1" applyBorder="1" applyAlignment="1"/>
    <xf numFmtId="0" fontId="37" fillId="8" borderId="0" xfId="0" applyFont="1" applyFill="1" applyAlignment="1">
      <alignment vertical="center"/>
    </xf>
    <xf numFmtId="0" fontId="32" fillId="8" borderId="88" xfId="0" quotePrefix="1" applyFont="1" applyFill="1" applyBorder="1" applyAlignment="1">
      <alignment horizontal="center" vertical="center"/>
    </xf>
    <xf numFmtId="0" fontId="32" fillId="8" borderId="5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/>
    </xf>
    <xf numFmtId="43" fontId="7" fillId="8" borderId="2" xfId="1" applyFont="1" applyFill="1" applyBorder="1" applyAlignment="1"/>
    <xf numFmtId="0" fontId="32" fillId="8" borderId="0" xfId="0" applyFont="1" applyFill="1" applyAlignment="1">
      <alignment vertical="center"/>
    </xf>
    <xf numFmtId="0" fontId="32" fillId="8" borderId="2" xfId="0" quotePrefix="1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7" fillId="8" borderId="2" xfId="0" applyFont="1" applyFill="1" applyBorder="1"/>
    <xf numFmtId="0" fontId="7" fillId="8" borderId="2" xfId="0" quotePrefix="1" applyFont="1" applyFill="1" applyBorder="1" applyAlignment="1">
      <alignment horizontal="center"/>
    </xf>
    <xf numFmtId="0" fontId="32" fillId="8" borderId="2" xfId="0" applyFont="1" applyFill="1" applyBorder="1" applyAlignment="1">
      <alignment vertical="center"/>
    </xf>
    <xf numFmtId="0" fontId="32" fillId="8" borderId="67" xfId="0" quotePrefix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0" fontId="32" fillId="8" borderId="66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left"/>
    </xf>
    <xf numFmtId="43" fontId="32" fillId="0" borderId="62" xfId="1" applyFont="1" applyFill="1" applyBorder="1" applyAlignment="1" applyProtection="1">
      <alignment wrapText="1"/>
    </xf>
    <xf numFmtId="0" fontId="8" fillId="0" borderId="47" xfId="0" applyFont="1" applyBorder="1" applyAlignment="1">
      <alignment horizontal="center" vertical="center"/>
    </xf>
    <xf numFmtId="43" fontId="67" fillId="5" borderId="2" xfId="1" applyFont="1" applyFill="1" applyBorder="1" applyAlignment="1" applyProtection="1">
      <alignment wrapText="1"/>
    </xf>
    <xf numFmtId="0" fontId="37" fillId="0" borderId="47" xfId="2" applyFont="1" applyBorder="1" applyAlignment="1">
      <alignment horizontal="center" vertical="top" wrapText="1"/>
    </xf>
    <xf numFmtId="0" fontId="37" fillId="0" borderId="0" xfId="2" applyFont="1" applyAlignment="1">
      <alignment horizontal="center" vertical="top" wrapText="1"/>
    </xf>
    <xf numFmtId="0" fontId="37" fillId="0" borderId="48" xfId="2" applyFont="1" applyBorder="1" applyAlignment="1">
      <alignment horizontal="center" vertical="top" wrapText="1"/>
    </xf>
    <xf numFmtId="0" fontId="32" fillId="0" borderId="49" xfId="2" applyFont="1" applyBorder="1" applyAlignment="1">
      <alignment horizontal="left" vertical="top" wrapText="1"/>
    </xf>
    <xf numFmtId="0" fontId="32" fillId="0" borderId="50" xfId="2" applyFont="1" applyBorder="1" applyAlignment="1">
      <alignment horizontal="left" vertical="top" wrapText="1"/>
    </xf>
    <xf numFmtId="0" fontId="32" fillId="0" borderId="51" xfId="2" applyFont="1" applyBorder="1" applyAlignment="1">
      <alignment horizontal="left" vertical="top" wrapText="1"/>
    </xf>
    <xf numFmtId="0" fontId="49" fillId="0" borderId="55" xfId="2" applyFont="1" applyBorder="1" applyAlignment="1">
      <alignment horizontal="center" vertical="center" wrapText="1"/>
    </xf>
    <xf numFmtId="0" fontId="49" fillId="0" borderId="53" xfId="2" applyFont="1" applyBorder="1" applyAlignment="1">
      <alignment horizontal="center" vertical="center" wrapText="1"/>
    </xf>
    <xf numFmtId="0" fontId="49" fillId="0" borderId="69" xfId="2" applyFont="1" applyBorder="1" applyAlignment="1">
      <alignment horizontal="center" vertical="center" wrapText="1"/>
    </xf>
    <xf numFmtId="0" fontId="49" fillId="0" borderId="70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7" xfId="2" applyFont="1" applyBorder="1" applyAlignment="1">
      <alignment horizontal="center" vertical="center" wrapText="1"/>
    </xf>
    <xf numFmtId="0" fontId="48" fillId="0" borderId="52" xfId="6" applyFont="1" applyBorder="1" applyAlignment="1" applyProtection="1">
      <alignment wrapText="1"/>
    </xf>
    <xf numFmtId="0" fontId="48" fillId="0" borderId="53" xfId="2" applyFont="1" applyBorder="1" applyAlignment="1">
      <alignment wrapText="1"/>
    </xf>
    <xf numFmtId="0" fontId="48" fillId="0" borderId="54" xfId="2" applyFont="1" applyBorder="1" applyAlignment="1">
      <alignment wrapText="1"/>
    </xf>
    <xf numFmtId="0" fontId="48" fillId="0" borderId="16" xfId="2" applyFont="1" applyBorder="1" applyAlignment="1">
      <alignment wrapText="1"/>
    </xf>
    <xf numFmtId="0" fontId="48" fillId="0" borderId="1" xfId="2" applyFont="1" applyBorder="1" applyAlignment="1">
      <alignment wrapText="1"/>
    </xf>
    <xf numFmtId="0" fontId="48" fillId="0" borderId="71" xfId="2" applyFont="1" applyBorder="1" applyAlignment="1">
      <alignment wrapText="1"/>
    </xf>
    <xf numFmtId="0" fontId="49" fillId="0" borderId="56" xfId="2" applyFont="1" applyBorder="1" applyAlignment="1">
      <alignment horizontal="center" vertical="center" wrapText="1"/>
    </xf>
    <xf numFmtId="0" fontId="49" fillId="0" borderId="57" xfId="2" applyFont="1" applyBorder="1" applyAlignment="1">
      <alignment horizontal="center" vertical="center" wrapText="1"/>
    </xf>
    <xf numFmtId="0" fontId="49" fillId="0" borderId="72" xfId="2" applyFont="1" applyBorder="1" applyAlignment="1">
      <alignment horizontal="center" vertical="center" wrapText="1"/>
    </xf>
    <xf numFmtId="0" fontId="50" fillId="0" borderId="73" xfId="2" applyFont="1" applyBorder="1" applyAlignment="1">
      <alignment vertical="center" wrapText="1"/>
    </xf>
    <xf numFmtId="0" fontId="50" fillId="0" borderId="57" xfId="2" applyFont="1" applyBorder="1" applyAlignment="1">
      <alignment vertical="center" wrapText="1"/>
    </xf>
    <xf numFmtId="0" fontId="50" fillId="0" borderId="58" xfId="2" applyFont="1" applyBorder="1" applyAlignment="1">
      <alignment vertical="center" wrapText="1"/>
    </xf>
    <xf numFmtId="0" fontId="50" fillId="0" borderId="16" xfId="2" applyFont="1" applyBorder="1" applyAlignment="1">
      <alignment vertical="center" wrapText="1"/>
    </xf>
    <xf numFmtId="0" fontId="50" fillId="0" borderId="1" xfId="2" applyFont="1" applyBorder="1" applyAlignment="1">
      <alignment vertical="center" wrapText="1"/>
    </xf>
    <xf numFmtId="0" fontId="50" fillId="0" borderId="71" xfId="2" applyFont="1" applyBorder="1" applyAlignment="1">
      <alignment vertical="center" wrapText="1"/>
    </xf>
    <xf numFmtId="0" fontId="36" fillId="0" borderId="0" xfId="2" applyFont="1" applyAlignment="1">
      <alignment horizontal="right" vertical="center"/>
    </xf>
    <xf numFmtId="0" fontId="37" fillId="0" borderId="50" xfId="2" applyFont="1" applyBorder="1" applyAlignment="1">
      <alignment horizontal="center"/>
    </xf>
    <xf numFmtId="0" fontId="45" fillId="0" borderId="55" xfId="2" applyFont="1" applyBorder="1" applyAlignment="1">
      <alignment horizontal="center" vertical="center" wrapText="1"/>
    </xf>
    <xf numFmtId="0" fontId="45" fillId="0" borderId="53" xfId="2" applyFont="1" applyBorder="1" applyAlignment="1">
      <alignment horizontal="center" vertical="center" wrapText="1"/>
    </xf>
    <xf numFmtId="0" fontId="45" fillId="0" borderId="54" xfId="2" applyFont="1" applyBorder="1" applyAlignment="1">
      <alignment horizontal="center" vertical="center" wrapText="1"/>
    </xf>
    <xf numFmtId="0" fontId="32" fillId="0" borderId="55" xfId="2" applyFont="1" applyBorder="1" applyAlignment="1">
      <alignment horizontal="left" wrapText="1"/>
    </xf>
    <xf numFmtId="0" fontId="32" fillId="0" borderId="53" xfId="2" applyFont="1" applyBorder="1" applyAlignment="1">
      <alignment horizontal="left" wrapText="1"/>
    </xf>
    <xf numFmtId="0" fontId="32" fillId="0" borderId="54" xfId="2" applyFont="1" applyBorder="1" applyAlignment="1">
      <alignment horizontal="left" wrapText="1"/>
    </xf>
    <xf numFmtId="0" fontId="46" fillId="0" borderId="47" xfId="6" applyFont="1" applyBorder="1" applyAlignment="1" applyProtection="1">
      <alignment horizontal="center" wrapText="1"/>
    </xf>
    <xf numFmtId="0" fontId="47" fillId="0" borderId="0" xfId="2" applyFont="1" applyAlignment="1">
      <alignment horizontal="center" wrapText="1"/>
    </xf>
    <xf numFmtId="0" fontId="47" fillId="0" borderId="48" xfId="2" applyFont="1" applyBorder="1" applyAlignment="1">
      <alignment horizontal="center" wrapText="1"/>
    </xf>
    <xf numFmtId="0" fontId="32" fillId="0" borderId="47" xfId="2" applyFont="1" applyBorder="1" applyAlignment="1">
      <alignment horizontal="left" vertical="center" wrapText="1"/>
    </xf>
    <xf numFmtId="0" fontId="32" fillId="0" borderId="0" xfId="2" applyFont="1" applyAlignment="1">
      <alignment horizontal="left" vertical="center" wrapText="1"/>
    </xf>
    <xf numFmtId="0" fontId="32" fillId="0" borderId="48" xfId="2" applyFont="1" applyBorder="1" applyAlignment="1">
      <alignment horizontal="left" vertical="center" wrapText="1"/>
    </xf>
    <xf numFmtId="0" fontId="32" fillId="0" borderId="47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32" fillId="0" borderId="14" xfId="2" applyFont="1" applyBorder="1" applyAlignment="1">
      <alignment horizontal="center"/>
    </xf>
    <xf numFmtId="0" fontId="52" fillId="0" borderId="52" xfId="6" applyFont="1" applyBorder="1" applyAlignment="1" applyProtection="1">
      <alignment horizontal="left" vertical="center" wrapText="1"/>
    </xf>
    <xf numFmtId="0" fontId="52" fillId="0" borderId="53" xfId="6" applyFont="1" applyBorder="1" applyAlignment="1" applyProtection="1">
      <alignment horizontal="left" vertical="center" wrapText="1"/>
    </xf>
    <xf numFmtId="0" fontId="52" fillId="0" borderId="69" xfId="6" applyFont="1" applyBorder="1" applyAlignment="1" applyProtection="1">
      <alignment horizontal="left" vertical="center" wrapText="1"/>
    </xf>
    <xf numFmtId="0" fontId="52" fillId="0" borderId="13" xfId="6" applyFont="1" applyBorder="1" applyAlignment="1" applyProtection="1">
      <alignment horizontal="left" vertical="center" wrapText="1"/>
    </xf>
    <xf numFmtId="0" fontId="52" fillId="0" borderId="0" xfId="6" applyFont="1" applyBorder="1" applyAlignment="1" applyProtection="1">
      <alignment horizontal="left" vertical="center" wrapText="1"/>
    </xf>
    <xf numFmtId="0" fontId="52" fillId="0" borderId="14" xfId="6" applyFont="1" applyBorder="1" applyAlignment="1" applyProtection="1">
      <alignment horizontal="left" vertical="center" wrapText="1"/>
    </xf>
    <xf numFmtId="0" fontId="32" fillId="0" borderId="52" xfId="2" quotePrefix="1" applyFont="1" applyBorder="1" applyAlignment="1">
      <alignment horizontal="center" vertical="center" wrapText="1"/>
    </xf>
    <xf numFmtId="0" fontId="32" fillId="0" borderId="69" xfId="2" applyFont="1" applyBorder="1" applyAlignment="1">
      <alignment horizontal="center" vertical="center" wrapText="1"/>
    </xf>
    <xf numFmtId="43" fontId="53" fillId="0" borderId="52" xfId="2" applyNumberFormat="1" applyFont="1" applyBorder="1" applyAlignment="1">
      <alignment horizontal="center" vertical="center"/>
    </xf>
    <xf numFmtId="43" fontId="53" fillId="0" borderId="54" xfId="2" applyNumberFormat="1" applyFont="1" applyBorder="1" applyAlignment="1">
      <alignment horizontal="center" vertical="center"/>
    </xf>
    <xf numFmtId="43" fontId="53" fillId="0" borderId="13" xfId="2" applyNumberFormat="1" applyFont="1" applyBorder="1" applyAlignment="1">
      <alignment horizontal="center" vertical="center"/>
    </xf>
    <xf numFmtId="43" fontId="53" fillId="0" borderId="48" xfId="2" applyNumberFormat="1" applyFont="1" applyBorder="1" applyAlignment="1">
      <alignment horizontal="center" vertical="center"/>
    </xf>
    <xf numFmtId="0" fontId="32" fillId="0" borderId="13" xfId="2" applyFont="1" applyBorder="1" applyAlignment="1">
      <alignment horizontal="center"/>
    </xf>
    <xf numFmtId="0" fontId="32" fillId="0" borderId="13" xfId="2" quotePrefix="1" applyFont="1" applyBorder="1" applyAlignment="1">
      <alignment horizontal="center"/>
    </xf>
    <xf numFmtId="0" fontId="32" fillId="0" borderId="14" xfId="2" quotePrefix="1" applyFont="1" applyBorder="1" applyAlignment="1">
      <alignment horizontal="center"/>
    </xf>
    <xf numFmtId="0" fontId="49" fillId="0" borderId="49" xfId="2" applyFont="1" applyBorder="1" applyAlignment="1">
      <alignment horizontal="center" vertical="center" wrapText="1"/>
    </xf>
    <xf numFmtId="0" fontId="49" fillId="0" borderId="50" xfId="2" applyFont="1" applyBorder="1" applyAlignment="1">
      <alignment horizontal="center" vertical="center" wrapText="1"/>
    </xf>
    <xf numFmtId="0" fontId="49" fillId="0" borderId="23" xfId="2" applyFont="1" applyBorder="1" applyAlignment="1">
      <alignment horizontal="center" vertical="center" wrapText="1"/>
    </xf>
    <xf numFmtId="0" fontId="50" fillId="0" borderId="22" xfId="2" applyFont="1" applyBorder="1" applyAlignment="1">
      <alignment vertical="center" wrapText="1"/>
    </xf>
    <xf numFmtId="0" fontId="50" fillId="0" borderId="50" xfId="2" applyFont="1" applyBorder="1" applyAlignment="1">
      <alignment vertical="center" wrapText="1"/>
    </xf>
    <xf numFmtId="0" fontId="50" fillId="0" borderId="51" xfId="2" applyFont="1" applyBorder="1" applyAlignment="1">
      <alignment vertical="center" wrapText="1"/>
    </xf>
    <xf numFmtId="0" fontId="49" fillId="0" borderId="52" xfId="2" applyFont="1" applyBorder="1" applyAlignment="1">
      <alignment horizontal="center" vertical="center" wrapText="1"/>
    </xf>
    <xf numFmtId="0" fontId="49" fillId="0" borderId="53" xfId="2" applyFont="1" applyBorder="1" applyAlignment="1">
      <alignment wrapText="1"/>
    </xf>
    <xf numFmtId="0" fontId="49" fillId="0" borderId="69" xfId="2" applyFont="1" applyBorder="1" applyAlignment="1">
      <alignment wrapText="1"/>
    </xf>
    <xf numFmtId="0" fontId="49" fillId="0" borderId="22" xfId="2" applyFont="1" applyBorder="1" applyAlignment="1">
      <alignment wrapText="1"/>
    </xf>
    <xf numFmtId="0" fontId="49" fillId="0" borderId="50" xfId="2" applyFont="1" applyBorder="1" applyAlignment="1">
      <alignment wrapText="1"/>
    </xf>
    <xf numFmtId="0" fontId="49" fillId="0" borderId="23" xfId="2" applyFont="1" applyBorder="1" applyAlignment="1">
      <alignment wrapText="1"/>
    </xf>
    <xf numFmtId="0" fontId="51" fillId="0" borderId="52" xfId="2" applyFont="1" applyBorder="1" applyAlignment="1">
      <alignment horizontal="center" vertical="center" wrapText="1"/>
    </xf>
    <xf numFmtId="0" fontId="51" fillId="0" borderId="69" xfId="2" applyFont="1" applyBorder="1" applyAlignment="1">
      <alignment horizontal="center" vertical="center" wrapText="1"/>
    </xf>
    <xf numFmtId="0" fontId="51" fillId="0" borderId="22" xfId="2" applyFont="1" applyBorder="1" applyAlignment="1">
      <alignment horizontal="center" vertical="center" wrapText="1"/>
    </xf>
    <xf numFmtId="0" fontId="51" fillId="0" borderId="23" xfId="2" applyFont="1" applyBorder="1" applyAlignment="1">
      <alignment horizontal="center" vertical="center" wrapText="1"/>
    </xf>
    <xf numFmtId="0" fontId="51" fillId="0" borderId="74" xfId="2" applyFont="1" applyBorder="1" applyAlignment="1">
      <alignment horizontal="center" vertical="center" wrapText="1"/>
    </xf>
    <xf numFmtId="0" fontId="51" fillId="0" borderId="24" xfId="2" applyFont="1" applyBorder="1" applyAlignment="1">
      <alignment wrapText="1"/>
    </xf>
    <xf numFmtId="0" fontId="49" fillId="0" borderId="54" xfId="2" applyFont="1" applyBorder="1" applyAlignment="1">
      <alignment horizontal="center" vertical="center" wrapText="1"/>
    </xf>
    <xf numFmtId="0" fontId="49" fillId="0" borderId="22" xfId="2" applyFont="1" applyBorder="1" applyAlignment="1">
      <alignment horizontal="center" vertical="center" wrapText="1"/>
    </xf>
    <xf numFmtId="0" fontId="49" fillId="0" borderId="51" xfId="2" applyFont="1" applyBorder="1" applyAlignment="1">
      <alignment horizontal="center" vertical="center" wrapText="1"/>
    </xf>
    <xf numFmtId="0" fontId="27" fillId="0" borderId="13" xfId="2" applyFont="1" applyBorder="1" applyAlignment="1">
      <alignment horizontal="center"/>
    </xf>
    <xf numFmtId="0" fontId="27" fillId="0" borderId="48" xfId="2" applyFont="1" applyBorder="1" applyAlignment="1">
      <alignment horizontal="center"/>
    </xf>
    <xf numFmtId="0" fontId="31" fillId="0" borderId="13" xfId="2" applyFont="1" applyBorder="1" applyAlignment="1">
      <alignment horizontal="center"/>
    </xf>
    <xf numFmtId="0" fontId="31" fillId="0" borderId="0" xfId="2" applyFont="1" applyAlignment="1">
      <alignment horizontal="center"/>
    </xf>
    <xf numFmtId="0" fontId="31" fillId="0" borderId="14" xfId="2" applyFont="1" applyBorder="1" applyAlignment="1">
      <alignment horizontal="center"/>
    </xf>
    <xf numFmtId="0" fontId="26" fillId="0" borderId="13" xfId="2" applyFont="1" applyBorder="1" applyAlignment="1">
      <alignment horizontal="center"/>
    </xf>
    <xf numFmtId="0" fontId="26" fillId="0" borderId="48" xfId="2" applyFont="1" applyBorder="1" applyAlignment="1">
      <alignment horizontal="center"/>
    </xf>
    <xf numFmtId="0" fontId="32" fillId="0" borderId="49" xfId="2" applyFont="1" applyBorder="1" applyAlignment="1">
      <alignment horizontal="center"/>
    </xf>
    <xf numFmtId="0" fontId="32" fillId="0" borderId="50" xfId="2" applyFont="1" applyBorder="1" applyAlignment="1">
      <alignment horizontal="center"/>
    </xf>
    <xf numFmtId="0" fontId="32" fillId="0" borderId="23" xfId="2" applyFont="1" applyBorder="1" applyAlignment="1">
      <alignment horizontal="center"/>
    </xf>
    <xf numFmtId="0" fontId="32" fillId="0" borderId="22" xfId="2" applyFont="1" applyBorder="1" applyAlignment="1">
      <alignment horizontal="right" wrapText="1"/>
    </xf>
    <xf numFmtId="0" fontId="32" fillId="0" borderId="50" xfId="2" applyFont="1" applyBorder="1" applyAlignment="1">
      <alignment horizontal="right" wrapText="1"/>
    </xf>
    <xf numFmtId="0" fontId="32" fillId="0" borderId="23" xfId="2" applyFont="1" applyBorder="1" applyAlignment="1">
      <alignment horizontal="right" wrapText="1"/>
    </xf>
    <xf numFmtId="0" fontId="32" fillId="0" borderId="22" xfId="2" quotePrefix="1" applyFont="1" applyBorder="1" applyAlignment="1">
      <alignment horizontal="center"/>
    </xf>
    <xf numFmtId="0" fontId="32" fillId="0" borderId="23" xfId="2" quotePrefix="1" applyFont="1" applyBorder="1" applyAlignment="1">
      <alignment horizontal="center"/>
    </xf>
    <xf numFmtId="43" fontId="53" fillId="0" borderId="22" xfId="8" applyFont="1" applyBorder="1" applyAlignment="1">
      <alignment horizontal="center"/>
    </xf>
    <xf numFmtId="43" fontId="53" fillId="0" borderId="51" xfId="8" applyFont="1" applyBorder="1" applyAlignment="1">
      <alignment horizontal="center"/>
    </xf>
    <xf numFmtId="0" fontId="37" fillId="0" borderId="75" xfId="2" applyFont="1" applyBorder="1" applyAlignment="1">
      <alignment vertical="center" wrapText="1"/>
    </xf>
    <xf numFmtId="0" fontId="32" fillId="0" borderId="68" xfId="2" applyFont="1" applyBorder="1" applyAlignment="1">
      <alignment vertical="center" wrapText="1"/>
    </xf>
    <xf numFmtId="0" fontId="32" fillId="0" borderId="0" xfId="2" applyFont="1" applyAlignment="1">
      <alignment horizontal="left" wrapText="1"/>
    </xf>
    <xf numFmtId="0" fontId="37" fillId="0" borderId="0" xfId="2" applyFont="1" applyAlignment="1">
      <alignment horizontal="left" wrapText="1"/>
    </xf>
    <xf numFmtId="0" fontId="37" fillId="0" borderId="48" xfId="2" applyFont="1" applyBorder="1" applyAlignment="1">
      <alignment horizontal="left" wrapText="1"/>
    </xf>
    <xf numFmtId="0" fontId="37" fillId="0" borderId="47" xfId="2" applyFont="1" applyBorder="1" applyAlignment="1">
      <alignment horizontal="left" vertical="center" wrapText="1"/>
    </xf>
    <xf numFmtId="0" fontId="37" fillId="0" borderId="13" xfId="2" applyFont="1" applyBorder="1" applyAlignment="1">
      <alignment horizontal="center"/>
    </xf>
    <xf numFmtId="0" fontId="37" fillId="0" borderId="0" xfId="2" applyFont="1" applyAlignment="1">
      <alignment horizontal="center"/>
    </xf>
    <xf numFmtId="0" fontId="32" fillId="0" borderId="47" xfId="2" applyFont="1" applyBorder="1" applyAlignment="1">
      <alignment horizontal="center" vertical="center" wrapText="1"/>
    </xf>
    <xf numFmtId="0" fontId="32" fillId="0" borderId="0" xfId="2" applyFont="1" applyAlignment="1">
      <alignment horizontal="center" vertical="center" wrapText="1"/>
    </xf>
    <xf numFmtId="0" fontId="39" fillId="0" borderId="1" xfId="2" applyFont="1" applyBorder="1" applyAlignment="1">
      <alignment horizontal="left" vertical="center" wrapText="1"/>
    </xf>
    <xf numFmtId="0" fontId="39" fillId="0" borderId="71" xfId="2" applyFont="1" applyBorder="1" applyAlignment="1">
      <alignment horizontal="left" vertical="center" wrapText="1"/>
    </xf>
    <xf numFmtId="0" fontId="39" fillId="0" borderId="1" xfId="2" applyFont="1" applyBorder="1" applyAlignment="1">
      <alignment horizontal="center"/>
    </xf>
    <xf numFmtId="0" fontId="39" fillId="0" borderId="71" xfId="2" applyFont="1" applyBorder="1" applyAlignment="1">
      <alignment horizontal="center"/>
    </xf>
    <xf numFmtId="0" fontId="32" fillId="0" borderId="48" xfId="2" applyFont="1" applyBorder="1" applyAlignment="1">
      <alignment horizontal="center" vertical="center" wrapText="1"/>
    </xf>
    <xf numFmtId="0" fontId="32" fillId="0" borderId="0" xfId="2" applyFont="1" applyAlignment="1">
      <alignment horizontal="center" wrapText="1"/>
    </xf>
    <xf numFmtId="0" fontId="32" fillId="0" borderId="48" xfId="2" applyFont="1" applyBorder="1" applyAlignment="1">
      <alignment horizontal="center" wrapText="1"/>
    </xf>
    <xf numFmtId="0" fontId="32" fillId="0" borderId="48" xfId="2" applyFont="1" applyBorder="1" applyAlignment="1">
      <alignment horizontal="left" wrapText="1"/>
    </xf>
    <xf numFmtId="0" fontId="32" fillId="0" borderId="0" xfId="2" applyFont="1" applyAlignment="1">
      <alignment horizontal="left"/>
    </xf>
    <xf numFmtId="0" fontId="32" fillId="0" borderId="48" xfId="2" applyFont="1" applyBorder="1" applyAlignment="1">
      <alignment horizontal="left"/>
    </xf>
    <xf numFmtId="0" fontId="32" fillId="0" borderId="47" xfId="2" applyFont="1" applyBorder="1" applyAlignment="1">
      <alignment wrapText="1"/>
    </xf>
    <xf numFmtId="0" fontId="43" fillId="0" borderId="1" xfId="2" applyFont="1" applyBorder="1" applyAlignment="1">
      <alignment horizontal="left" vertical="top" wrapText="1"/>
    </xf>
    <xf numFmtId="0" fontId="43" fillId="0" borderId="71" xfId="2" applyFont="1" applyBorder="1" applyAlignment="1">
      <alignment horizontal="left" vertical="top" wrapText="1"/>
    </xf>
    <xf numFmtId="0" fontId="32" fillId="0" borderId="47" xfId="2" applyFont="1" applyBorder="1" applyAlignment="1">
      <alignment horizontal="left" wrapText="1"/>
    </xf>
    <xf numFmtId="0" fontId="44" fillId="0" borderId="1" xfId="2" applyFont="1" applyBorder="1" applyAlignment="1">
      <alignment horizontal="center"/>
    </xf>
    <xf numFmtId="0" fontId="44" fillId="0" borderId="71" xfId="2" applyFont="1" applyBorder="1" applyAlignment="1">
      <alignment horizontal="center"/>
    </xf>
    <xf numFmtId="0" fontId="32" fillId="0" borderId="78" xfId="2" applyFont="1" applyBorder="1" applyAlignment="1">
      <alignment horizontal="center" vertical="center"/>
    </xf>
    <xf numFmtId="0" fontId="32" fillId="0" borderId="84" xfId="2" applyFont="1" applyBorder="1" applyAlignment="1">
      <alignment horizontal="center" vertical="center"/>
    </xf>
    <xf numFmtId="0" fontId="32" fillId="0" borderId="13" xfId="2" quotePrefix="1" applyFont="1" applyBorder="1" applyAlignment="1">
      <alignment horizontal="left" wrapText="1"/>
    </xf>
    <xf numFmtId="0" fontId="32" fillId="0" borderId="0" xfId="2" quotePrefix="1" applyFont="1" applyAlignment="1">
      <alignment horizontal="left" wrapText="1"/>
    </xf>
    <xf numFmtId="0" fontId="32" fillId="0" borderId="48" xfId="2" quotePrefix="1" applyFont="1" applyBorder="1" applyAlignment="1">
      <alignment horizontal="left" wrapText="1"/>
    </xf>
    <xf numFmtId="0" fontId="37" fillId="0" borderId="78" xfId="2" applyFont="1" applyBorder="1" applyAlignment="1">
      <alignment horizontal="center"/>
    </xf>
    <xf numFmtId="0" fontId="37" fillId="0" borderId="79" xfId="2" applyFont="1" applyBorder="1" applyAlignment="1">
      <alignment horizontal="center"/>
    </xf>
    <xf numFmtId="0" fontId="37" fillId="0" borderId="80" xfId="2" applyFont="1" applyBorder="1" applyAlignment="1">
      <alignment horizontal="center"/>
    </xf>
    <xf numFmtId="0" fontId="37" fillId="0" borderId="81" xfId="2" applyFont="1" applyBorder="1" applyAlignment="1">
      <alignment horizontal="center"/>
    </xf>
    <xf numFmtId="0" fontId="32" fillId="0" borderId="75" xfId="2" applyFont="1" applyBorder="1" applyAlignment="1">
      <alignment horizontal="center" vertical="center"/>
    </xf>
    <xf numFmtId="0" fontId="32" fillId="0" borderId="83" xfId="2" applyFont="1" applyBorder="1" applyAlignment="1">
      <alignment horizontal="center" vertical="center"/>
    </xf>
    <xf numFmtId="167" fontId="32" fillId="0" borderId="13" xfId="2" applyNumberFormat="1" applyFont="1" applyBorder="1" applyAlignment="1">
      <alignment horizontal="center" vertical="center"/>
    </xf>
    <xf numFmtId="167" fontId="32" fillId="0" borderId="0" xfId="2" applyNumberFormat="1" applyFont="1" applyAlignment="1">
      <alignment horizontal="center" vertical="center"/>
    </xf>
    <xf numFmtId="167" fontId="32" fillId="0" borderId="22" xfId="2" applyNumberFormat="1" applyFont="1" applyBorder="1" applyAlignment="1">
      <alignment horizontal="center" vertical="center"/>
    </xf>
    <xf numFmtId="167" fontId="32" fillId="0" borderId="50" xfId="2" applyNumberFormat="1" applyFont="1" applyBorder="1" applyAlignment="1">
      <alignment horizontal="center" vertical="center"/>
    </xf>
    <xf numFmtId="0" fontId="32" fillId="0" borderId="13" xfId="2" applyFont="1" applyBorder="1" applyAlignment="1">
      <alignment horizontal="center" vertical="center" wrapText="1"/>
    </xf>
    <xf numFmtId="0" fontId="32" fillId="0" borderId="22" xfId="2" applyFont="1" applyBorder="1" applyAlignment="1">
      <alignment horizontal="center" vertical="center" wrapText="1"/>
    </xf>
    <xf numFmtId="0" fontId="32" fillId="0" borderId="50" xfId="2" applyFont="1" applyBorder="1" applyAlignment="1">
      <alignment horizontal="center" vertical="center" wrapText="1"/>
    </xf>
    <xf numFmtId="0" fontId="32" fillId="0" borderId="51" xfId="2" applyFont="1" applyBorder="1" applyAlignment="1">
      <alignment horizontal="center" vertical="center" wrapText="1"/>
    </xf>
    <xf numFmtId="0" fontId="32" fillId="0" borderId="13" xfId="2" applyFont="1" applyBorder="1" applyAlignment="1">
      <alignment horizontal="center" vertical="center"/>
    </xf>
    <xf numFmtId="0" fontId="32" fillId="0" borderId="14" xfId="2" applyFont="1" applyBorder="1" applyAlignment="1">
      <alignment horizontal="center" vertical="center"/>
    </xf>
    <xf numFmtId="0" fontId="32" fillId="0" borderId="15" xfId="2" applyFont="1" applyBorder="1" applyAlignment="1">
      <alignment horizontal="center" vertical="center"/>
    </xf>
    <xf numFmtId="0" fontId="32" fillId="0" borderId="16" xfId="2" applyFont="1" applyBorder="1" applyAlignment="1">
      <alignment horizontal="center"/>
    </xf>
    <xf numFmtId="0" fontId="32" fillId="0" borderId="71" xfId="2" applyFont="1" applyBorder="1" applyAlignment="1">
      <alignment horizontal="center"/>
    </xf>
    <xf numFmtId="0" fontId="32" fillId="0" borderId="70" xfId="2" applyFont="1" applyBorder="1" applyAlignment="1">
      <alignment horizontal="left" vertical="center" wrapText="1"/>
    </xf>
    <xf numFmtId="0" fontId="32" fillId="0" borderId="1" xfId="2" applyFont="1" applyBorder="1" applyAlignment="1">
      <alignment horizontal="left" vertical="center" wrapText="1"/>
    </xf>
    <xf numFmtId="0" fontId="32" fillId="0" borderId="71" xfId="2" applyFont="1" applyBorder="1" applyAlignment="1">
      <alignment horizontal="left" vertical="center" wrapText="1"/>
    </xf>
    <xf numFmtId="0" fontId="34" fillId="0" borderId="13" xfId="2" applyFont="1" applyBorder="1" applyAlignment="1">
      <alignment horizontal="center"/>
    </xf>
    <xf numFmtId="0" fontId="34" fillId="0" borderId="0" xfId="2" applyFont="1" applyAlignment="1">
      <alignment horizontal="center"/>
    </xf>
    <xf numFmtId="0" fontId="34" fillId="0" borderId="14" xfId="2" applyFont="1" applyBorder="1" applyAlignment="1">
      <alignment horizont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5" fillId="0" borderId="0" xfId="0" applyFont="1" applyAlignment="1">
      <alignment horizontal="left"/>
    </xf>
    <xf numFmtId="0" fontId="54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7" fontId="59" fillId="0" borderId="0" xfId="0" quotePrefix="1" applyNumberFormat="1" applyFont="1" applyAlignment="1">
      <alignment horizontal="center" vertical="top"/>
    </xf>
    <xf numFmtId="0" fontId="8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48" xfId="0" applyNumberFormat="1" applyFont="1" applyBorder="1" applyAlignment="1">
      <alignment horizontal="center"/>
    </xf>
    <xf numFmtId="0" fontId="8" fillId="0" borderId="51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48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17" fontId="59" fillId="0" borderId="0" xfId="0" quotePrefix="1" applyNumberFormat="1" applyFont="1" applyAlignment="1">
      <alignment horizontal="center"/>
    </xf>
    <xf numFmtId="0" fontId="37" fillId="3" borderId="2" xfId="0" quotePrefix="1" applyFont="1" applyFill="1" applyBorder="1" applyAlignment="1">
      <alignment horizontal="left"/>
    </xf>
    <xf numFmtId="0" fontId="37" fillId="3" borderId="88" xfId="0" quotePrefix="1" applyFont="1" applyFill="1" applyBorder="1" applyAlignment="1">
      <alignment horizontal="left"/>
    </xf>
    <xf numFmtId="0" fontId="37" fillId="3" borderId="59" xfId="0" quotePrefix="1" applyFont="1" applyFill="1" applyBorder="1" applyAlignment="1">
      <alignment horizontal="left"/>
    </xf>
    <xf numFmtId="0" fontId="37" fillId="3" borderId="61" xfId="0" quotePrefix="1" applyFont="1" applyFill="1" applyBorder="1" applyAlignment="1">
      <alignment horizontal="left"/>
    </xf>
    <xf numFmtId="164" fontId="16" fillId="2" borderId="19" xfId="2" applyNumberFormat="1" applyFont="1" applyFill="1" applyBorder="1" applyAlignment="1">
      <alignment horizontal="center" vertical="center" wrapText="1"/>
    </xf>
    <xf numFmtId="164" fontId="16" fillId="2" borderId="24" xfId="2" applyNumberFormat="1" applyFont="1" applyFill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0" fontId="14" fillId="2" borderId="3" xfId="2" applyFont="1" applyFill="1" applyBorder="1" applyAlignment="1">
      <alignment horizontal="center" vertical="center" wrapText="1"/>
    </xf>
    <xf numFmtId="0" fontId="14" fillId="2" borderId="12" xfId="2" applyFont="1" applyFill="1" applyBorder="1" applyAlignment="1">
      <alignment horizontal="center" vertical="center" wrapText="1"/>
    </xf>
    <xf numFmtId="0" fontId="14" fillId="2" borderId="21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center" vertical="center" wrapText="1"/>
    </xf>
    <xf numFmtId="0" fontId="14" fillId="2" borderId="5" xfId="2" applyFont="1" applyFill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22" xfId="2" applyFont="1" applyFill="1" applyBorder="1" applyAlignment="1">
      <alignment horizontal="center" vertical="center" wrapText="1"/>
    </xf>
    <xf numFmtId="0" fontId="14" fillId="2" borderId="23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 textRotation="90" wrapText="1"/>
    </xf>
    <xf numFmtId="0" fontId="14" fillId="2" borderId="15" xfId="2" applyFont="1" applyFill="1" applyBorder="1" applyAlignment="1">
      <alignment horizontal="center" vertical="center" textRotation="90" wrapText="1"/>
    </xf>
    <xf numFmtId="0" fontId="14" fillId="2" borderId="24" xfId="2" applyFont="1" applyFill="1" applyBorder="1" applyAlignment="1">
      <alignment horizontal="center" vertical="center" textRotation="90" wrapText="1"/>
    </xf>
    <xf numFmtId="164" fontId="14" fillId="2" borderId="4" xfId="2" applyNumberFormat="1" applyFont="1" applyFill="1" applyBorder="1" applyAlignment="1">
      <alignment horizontal="center" vertical="center" wrapText="1"/>
    </xf>
    <xf numFmtId="164" fontId="14" fillId="2" borderId="7" xfId="2" applyNumberFormat="1" applyFont="1" applyFill="1" applyBorder="1" applyAlignment="1">
      <alignment horizontal="center" vertical="center" wrapText="1"/>
    </xf>
    <xf numFmtId="164" fontId="14" fillId="2" borderId="5" xfId="2" applyNumberFormat="1" applyFont="1" applyFill="1" applyBorder="1" applyAlignment="1">
      <alignment horizontal="center" vertical="center" wrapText="1"/>
    </xf>
    <xf numFmtId="164" fontId="14" fillId="2" borderId="16" xfId="2" applyNumberFormat="1" applyFont="1" applyFill="1" applyBorder="1" applyAlignment="1">
      <alignment horizontal="center" vertical="center" wrapText="1"/>
    </xf>
    <xf numFmtId="164" fontId="14" fillId="2" borderId="1" xfId="2" applyNumberFormat="1" applyFont="1" applyFill="1" applyBorder="1" applyAlignment="1">
      <alignment horizontal="center" vertical="center" wrapText="1"/>
    </xf>
    <xf numFmtId="164" fontId="14" fillId="2" borderId="14" xfId="2" applyNumberFormat="1" applyFont="1" applyFill="1" applyBorder="1" applyAlignment="1">
      <alignment horizontal="center" vertical="center" wrapText="1"/>
    </xf>
    <xf numFmtId="164" fontId="14" fillId="2" borderId="4" xfId="2" applyNumberFormat="1" applyFont="1" applyFill="1" applyBorder="1" applyAlignment="1">
      <alignment horizontal="center" vertical="center"/>
    </xf>
    <xf numFmtId="164" fontId="14" fillId="2" borderId="7" xfId="2" applyNumberFormat="1" applyFont="1" applyFill="1" applyBorder="1" applyAlignment="1">
      <alignment horizontal="center" vertical="center"/>
    </xf>
    <xf numFmtId="164" fontId="14" fillId="2" borderId="5" xfId="2" applyNumberFormat="1" applyFont="1" applyFill="1" applyBorder="1" applyAlignment="1">
      <alignment horizontal="center" vertical="center"/>
    </xf>
    <xf numFmtId="164" fontId="14" fillId="2" borderId="16" xfId="2" applyNumberFormat="1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/>
    </xf>
    <xf numFmtId="164" fontId="14" fillId="2" borderId="17" xfId="2" applyNumberFormat="1" applyFont="1" applyFill="1" applyBorder="1" applyAlignment="1">
      <alignment horizontal="center" vertical="center"/>
    </xf>
    <xf numFmtId="164" fontId="14" fillId="2" borderId="6" xfId="2" applyNumberFormat="1" applyFont="1" applyFill="1" applyBorder="1" applyAlignment="1">
      <alignment horizontal="center" vertical="center" wrapText="1"/>
    </xf>
    <xf numFmtId="164" fontId="14" fillId="2" borderId="18" xfId="2" applyNumberFormat="1" applyFont="1" applyFill="1" applyBorder="1" applyAlignment="1">
      <alignment horizontal="center" vertical="center" wrapText="1"/>
    </xf>
    <xf numFmtId="164" fontId="14" fillId="2" borderId="15" xfId="2" applyNumberFormat="1" applyFont="1" applyFill="1" applyBorder="1" applyAlignment="1">
      <alignment horizontal="center" vertical="center" wrapText="1"/>
    </xf>
    <xf numFmtId="164" fontId="14" fillId="2" borderId="24" xfId="2" applyNumberFormat="1" applyFont="1" applyFill="1" applyBorder="1" applyAlignment="1">
      <alignment horizontal="center" vertical="center" wrapText="1"/>
    </xf>
    <xf numFmtId="164" fontId="14" fillId="2" borderId="8" xfId="2" applyNumberFormat="1" applyFont="1" applyFill="1" applyBorder="1" applyAlignment="1">
      <alignment horizontal="center" vertical="center"/>
    </xf>
    <xf numFmtId="164" fontId="14" fillId="2" borderId="9" xfId="2" applyNumberFormat="1" applyFont="1" applyFill="1" applyBorder="1" applyAlignment="1">
      <alignment horizontal="center" vertical="center"/>
    </xf>
    <xf numFmtId="164" fontId="14" fillId="2" borderId="10" xfId="2" applyNumberFormat="1" applyFont="1" applyFill="1" applyBorder="1" applyAlignment="1">
      <alignment horizontal="center" vertical="center"/>
    </xf>
    <xf numFmtId="165" fontId="14" fillId="2" borderId="6" xfId="5" applyFont="1" applyFill="1" applyBorder="1" applyAlignment="1">
      <alignment horizontal="center" vertical="center" wrapText="1"/>
    </xf>
    <xf numFmtId="165" fontId="14" fillId="2" borderId="15" xfId="5" applyFont="1" applyFill="1" applyBorder="1" applyAlignment="1">
      <alignment horizontal="center" vertical="center" wrapText="1"/>
    </xf>
    <xf numFmtId="165" fontId="14" fillId="2" borderId="24" xfId="5" applyFont="1" applyFill="1" applyBorder="1" applyAlignment="1">
      <alignment horizontal="center" vertical="center" wrapText="1"/>
    </xf>
    <xf numFmtId="165" fontId="14" fillId="2" borderId="11" xfId="5" applyFont="1" applyFill="1" applyBorder="1" applyAlignment="1">
      <alignment horizontal="center" vertical="center" wrapText="1"/>
    </xf>
    <xf numFmtId="165" fontId="14" fillId="2" borderId="20" xfId="5" applyFont="1" applyFill="1" applyBorder="1" applyAlignment="1">
      <alignment horizontal="center" vertical="center" wrapText="1"/>
    </xf>
    <xf numFmtId="165" fontId="14" fillId="2" borderId="28" xfId="5" applyFont="1" applyFill="1" applyBorder="1" applyAlignment="1">
      <alignment horizontal="center" vertical="center" wrapText="1"/>
    </xf>
    <xf numFmtId="164" fontId="15" fillId="2" borderId="19" xfId="2" applyNumberFormat="1" applyFont="1" applyFill="1" applyBorder="1" applyAlignment="1">
      <alignment horizontal="center" vertical="center" textRotation="90" wrapText="1"/>
    </xf>
    <xf numFmtId="164" fontId="15" fillId="2" borderId="24" xfId="2" applyNumberFormat="1" applyFont="1" applyFill="1" applyBorder="1" applyAlignment="1">
      <alignment horizontal="center" vertical="center" textRotation="90" wrapText="1"/>
    </xf>
    <xf numFmtId="164" fontId="15" fillId="2" borderId="19" xfId="2" applyNumberFormat="1" applyFont="1" applyFill="1" applyBorder="1" applyAlignment="1">
      <alignment horizontal="center" vertical="center" textRotation="90"/>
    </xf>
    <xf numFmtId="164" fontId="15" fillId="2" borderId="24" xfId="2" applyNumberFormat="1" applyFont="1" applyFill="1" applyBorder="1" applyAlignment="1">
      <alignment horizontal="center" vertical="center" textRotation="90"/>
    </xf>
    <xf numFmtId="0" fontId="60" fillId="0" borderId="2" xfId="0" applyFont="1" applyFill="1" applyBorder="1" applyAlignment="1">
      <alignment horizontal="left" vertical="center"/>
    </xf>
    <xf numFmtId="43" fontId="7" fillId="8" borderId="61" xfId="1" applyFont="1" applyFill="1" applyBorder="1" applyAlignment="1"/>
    <xf numFmtId="0" fontId="30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43" fontId="7" fillId="8" borderId="62" xfId="1" applyFont="1" applyFill="1" applyBorder="1" applyAlignment="1"/>
    <xf numFmtId="0" fontId="37" fillId="3" borderId="66" xfId="0" quotePrefix="1" applyFont="1" applyFill="1" applyBorder="1" applyAlignment="1">
      <alignment horizontal="left"/>
    </xf>
  </cellXfs>
  <cellStyles count="21">
    <cellStyle name="Comma" xfId="1" builtinId="3"/>
    <cellStyle name="Comma 2" xfId="5"/>
    <cellStyle name="Comma 2 2" xfId="16"/>
    <cellStyle name="Comma 2 3" xfId="18"/>
    <cellStyle name="Comma 2 4" xfId="20"/>
    <cellStyle name="Comma 3" xfId="8"/>
    <cellStyle name="Comma 4" xfId="3"/>
    <cellStyle name="Comma 5" xfId="10"/>
    <cellStyle name="Hyperlink" xfId="6" builtinId="8"/>
    <cellStyle name="Hyperlink 2" xfId="14"/>
    <cellStyle name="Hyperlink 3" xfId="12"/>
    <cellStyle name="Normal" xfId="0" builtinId="0"/>
    <cellStyle name="Normal 2" xfId="2"/>
    <cellStyle name="Normal 2 2" xfId="13"/>
    <cellStyle name="Normal 2 3" xfId="15"/>
    <cellStyle name="Normal 2 4" xfId="17"/>
    <cellStyle name="Normal 2 5" xfId="19"/>
    <cellStyle name="Normal 3" xfId="7"/>
    <cellStyle name="Normal 3 2" xfId="11"/>
    <cellStyle name="Normal 4" xfId="9"/>
    <cellStyle name="Percent 2" xfId="4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429250" y="754380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867275" y="79248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285875" y="906780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4943475" y="79724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381500" y="835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47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285875" y="94964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4943475" y="79724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381500" y="835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47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285875" y="94964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</xdr:colOff>
      <xdr:row>161</xdr:row>
      <xdr:rowOff>11206</xdr:rowOff>
    </xdr:from>
    <xdr:to>
      <xdr:col>0</xdr:col>
      <xdr:colOff>374196</xdr:colOff>
      <xdr:row>162</xdr:row>
      <xdr:rowOff>11339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4018" y="72854777"/>
          <a:ext cx="340178" cy="3289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168</xdr:row>
      <xdr:rowOff>22411</xdr:rowOff>
    </xdr:from>
    <xdr:to>
      <xdr:col>0</xdr:col>
      <xdr:colOff>362857</xdr:colOff>
      <xdr:row>169</xdr:row>
      <xdr:rowOff>136071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1206" y="74374107"/>
          <a:ext cx="351651" cy="3177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161</xdr:row>
      <xdr:rowOff>11205</xdr:rowOff>
    </xdr:from>
    <xdr:to>
      <xdr:col>9</xdr:col>
      <xdr:colOff>340179</xdr:colOff>
      <xdr:row>162</xdr:row>
      <xdr:rowOff>11339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5703527" y="72854776"/>
          <a:ext cx="328973" cy="3289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168</xdr:row>
      <xdr:rowOff>11205</xdr:rowOff>
    </xdr:from>
    <xdr:to>
      <xdr:col>9</xdr:col>
      <xdr:colOff>351518</xdr:colOff>
      <xdr:row>169</xdr:row>
      <xdr:rowOff>136070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5714734" y="74362901"/>
          <a:ext cx="329105" cy="3289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11206</xdr:rowOff>
    </xdr:from>
    <xdr:to>
      <xdr:col>1</xdr:col>
      <xdr:colOff>11074</xdr:colOff>
      <xdr:row>36</xdr:row>
      <xdr:rowOff>11075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12803503"/>
          <a:ext cx="387644" cy="3653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42</xdr:row>
      <xdr:rowOff>22411</xdr:rowOff>
    </xdr:from>
    <xdr:to>
      <xdr:col>2</xdr:col>
      <xdr:colOff>11206</xdr:colOff>
      <xdr:row>43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1206" y="692803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22282</xdr:colOff>
      <xdr:row>35</xdr:row>
      <xdr:rowOff>22281</xdr:rowOff>
    </xdr:from>
    <xdr:to>
      <xdr:col>9</xdr:col>
      <xdr:colOff>420872</xdr:colOff>
      <xdr:row>35</xdr:row>
      <xdr:rowOff>354419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4762631" y="12814578"/>
          <a:ext cx="398590" cy="33213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42</xdr:row>
      <xdr:rowOff>11205</xdr:rowOff>
    </xdr:from>
    <xdr:to>
      <xdr:col>9</xdr:col>
      <xdr:colOff>392207</xdr:colOff>
      <xdr:row>43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5223063" y="6916830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  <xdr:twoCellAnchor>
    <xdr:from>
      <xdr:col>0</xdr:col>
      <xdr:colOff>11205</xdr:colOff>
      <xdr:row>42</xdr:row>
      <xdr:rowOff>22410</xdr:rowOff>
    </xdr:from>
    <xdr:to>
      <xdr:col>2</xdr:col>
      <xdr:colOff>33226</xdr:colOff>
      <xdr:row>43</xdr:row>
      <xdr:rowOff>177208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11205" y="14509270"/>
          <a:ext cx="398591" cy="3541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22412</xdr:colOff>
      <xdr:row>42</xdr:row>
      <xdr:rowOff>11205</xdr:rowOff>
    </xdr:from>
    <xdr:to>
      <xdr:col>9</xdr:col>
      <xdr:colOff>420871</xdr:colOff>
      <xdr:row>43</xdr:row>
      <xdr:rowOff>166134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762761" y="14498065"/>
          <a:ext cx="398459" cy="3542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11205</xdr:rowOff>
    </xdr:from>
    <xdr:to>
      <xdr:col>2</xdr:col>
      <xdr:colOff>10026</xdr:colOff>
      <xdr:row>25</xdr:row>
      <xdr:rowOff>340894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8673942"/>
          <a:ext cx="381000" cy="3296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41285</xdr:colOff>
      <xdr:row>32</xdr:row>
      <xdr:rowOff>32437</xdr:rowOff>
    </xdr:from>
    <xdr:to>
      <xdr:col>2</xdr:col>
      <xdr:colOff>40105</xdr:colOff>
      <xdr:row>33</xdr:row>
      <xdr:rowOff>150393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41285" y="10389621"/>
          <a:ext cx="369794" cy="3184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25</xdr:row>
      <xdr:rowOff>11205</xdr:rowOff>
    </xdr:from>
    <xdr:to>
      <xdr:col>9</xdr:col>
      <xdr:colOff>370973</xdr:colOff>
      <xdr:row>25</xdr:row>
      <xdr:rowOff>340894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5174759" y="8673942"/>
          <a:ext cx="359767" cy="3296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32</xdr:row>
      <xdr:rowOff>21231</xdr:rowOff>
    </xdr:from>
    <xdr:to>
      <xdr:col>9</xdr:col>
      <xdr:colOff>330868</xdr:colOff>
      <xdr:row>33</xdr:row>
      <xdr:rowOff>100262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5185966" y="10378415"/>
          <a:ext cx="308455" cy="2795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11206</xdr:rowOff>
    </xdr:from>
    <xdr:to>
      <xdr:col>1</xdr:col>
      <xdr:colOff>0</xdr:colOff>
      <xdr:row>14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12755656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20</xdr:row>
      <xdr:rowOff>22411</xdr:rowOff>
    </xdr:from>
    <xdr:to>
      <xdr:col>2</xdr:col>
      <xdr:colOff>11206</xdr:colOff>
      <xdr:row>21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1206" y="1426228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13</xdr:row>
      <xdr:rowOff>11205</xdr:rowOff>
    </xdr:from>
    <xdr:to>
      <xdr:col>9</xdr:col>
      <xdr:colOff>381000</xdr:colOff>
      <xdr:row>14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4964206" y="12755655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20</xdr:row>
      <xdr:rowOff>11205</xdr:rowOff>
    </xdr:from>
    <xdr:to>
      <xdr:col>9</xdr:col>
      <xdr:colOff>392207</xdr:colOff>
      <xdr:row>21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4975413" y="14251080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11206</xdr:rowOff>
    </xdr:from>
    <xdr:to>
      <xdr:col>1</xdr:col>
      <xdr:colOff>0</xdr:colOff>
      <xdr:row>29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79363981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35</xdr:row>
      <xdr:rowOff>22411</xdr:rowOff>
    </xdr:from>
    <xdr:to>
      <xdr:col>2</xdr:col>
      <xdr:colOff>11206</xdr:colOff>
      <xdr:row>36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1206" y="80870611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28</xdr:row>
      <xdr:rowOff>11205</xdr:rowOff>
    </xdr:from>
    <xdr:to>
      <xdr:col>9</xdr:col>
      <xdr:colOff>381000</xdr:colOff>
      <xdr:row>29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8421781" y="79363980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35</xdr:row>
      <xdr:rowOff>11205</xdr:rowOff>
    </xdr:from>
    <xdr:to>
      <xdr:col>9</xdr:col>
      <xdr:colOff>392207</xdr:colOff>
      <xdr:row>36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8432988" y="80859405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LA%20UNION%202021\Users\eLviN\ndpdropoff\HRH\TARLAC%20CITY\CITY-Masterlist-of-HR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LA%20UNION%202021\Users\Personnel\Google%20Drive\BENIFITS\HP2019\Users\veriton\Desktop\FILES%20FR.%20DESKTOP\Benifits%202016\Hazard%20Pay\Jan.-July%202016%20Dif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Jun2017"/>
      <sheetName val="ETD"/>
    </sheetNames>
    <sheetDataSet>
      <sheetData sheetId="0" refreshError="1"/>
      <sheetData sheetId="1" refreshError="1">
        <row r="200">
          <cell r="E200" t="str">
            <v>Angelito</v>
          </cell>
          <cell r="F200" t="str">
            <v>Punsalan</v>
          </cell>
          <cell r="G200" t="str">
            <v>Jan. 2015</v>
          </cell>
        </row>
        <row r="201">
          <cell r="E201" t="str">
            <v>Hazen</v>
          </cell>
          <cell r="F201" t="str">
            <v>Salmos</v>
          </cell>
          <cell r="G201" t="str">
            <v>Jan. 2015</v>
          </cell>
        </row>
        <row r="202">
          <cell r="E202" t="str">
            <v>Sarah Jane</v>
          </cell>
          <cell r="F202" t="str">
            <v>Magat</v>
          </cell>
          <cell r="G202" t="str">
            <v>Jan. 2015</v>
          </cell>
        </row>
        <row r="203">
          <cell r="E203" t="str">
            <v>Maryan Gay</v>
          </cell>
          <cell r="F203" t="str">
            <v>Balaba</v>
          </cell>
          <cell r="G203" t="str">
            <v>Jan. 2015</v>
          </cell>
        </row>
        <row r="204">
          <cell r="E204" t="str">
            <v>Jennifer</v>
          </cell>
          <cell r="F204" t="str">
            <v>Borlongan</v>
          </cell>
          <cell r="G204" t="str">
            <v>oct.2015</v>
          </cell>
        </row>
        <row r="205">
          <cell r="E205" t="str">
            <v>Sir Bernar Louie</v>
          </cell>
          <cell r="F205" t="str">
            <v>Narciso</v>
          </cell>
          <cell r="G205" t="str">
            <v>Jan. 2015</v>
          </cell>
        </row>
        <row r="206">
          <cell r="E206" t="str">
            <v>Johanna Ray</v>
          </cell>
          <cell r="F206" t="str">
            <v>Lopez</v>
          </cell>
          <cell r="G206" t="str">
            <v>oct.2015</v>
          </cell>
        </row>
        <row r="207">
          <cell r="E207" t="str">
            <v>Melody</v>
          </cell>
          <cell r="F207" t="str">
            <v>Cunanan</v>
          </cell>
          <cell r="G207" t="str">
            <v>Jan. 2015</v>
          </cell>
        </row>
        <row r="208">
          <cell r="E208" t="str">
            <v>Manuel Jr.</v>
          </cell>
          <cell r="F208" t="str">
            <v>Pangan</v>
          </cell>
          <cell r="G208">
            <v>42248</v>
          </cell>
        </row>
        <row r="209">
          <cell r="E209" t="str">
            <v>Monica Kay</v>
          </cell>
          <cell r="F209" t="str">
            <v>Tolentino</v>
          </cell>
          <cell r="G209" t="str">
            <v>Jan. 2015</v>
          </cell>
        </row>
        <row r="210">
          <cell r="E210" t="str">
            <v>Jeffrey</v>
          </cell>
          <cell r="F210" t="str">
            <v>Vargas</v>
          </cell>
          <cell r="G210" t="str">
            <v>Jul. 2015</v>
          </cell>
        </row>
        <row r="211">
          <cell r="E211" t="str">
            <v>Cherry</v>
          </cell>
          <cell r="F211" t="str">
            <v>Nisco</v>
          </cell>
          <cell r="G211" t="str">
            <v>Jan. 2015</v>
          </cell>
        </row>
        <row r="212">
          <cell r="E212" t="str">
            <v>Angelica</v>
          </cell>
          <cell r="F212" t="str">
            <v>Tacadino</v>
          </cell>
          <cell r="G212" t="str">
            <v>Jan. 2015</v>
          </cell>
        </row>
        <row r="213">
          <cell r="E213" t="str">
            <v>Jennifer</v>
          </cell>
          <cell r="F213" t="str">
            <v>Samaniego</v>
          </cell>
          <cell r="G213" t="str">
            <v>Jan. 2015</v>
          </cell>
        </row>
        <row r="214">
          <cell r="E214" t="str">
            <v>Pamela Jane</v>
          </cell>
          <cell r="F214" t="str">
            <v>Zamora</v>
          </cell>
          <cell r="G214" t="str">
            <v>Jan. 2015</v>
          </cell>
        </row>
        <row r="215">
          <cell r="E215" t="str">
            <v>Reeza</v>
          </cell>
          <cell r="F215" t="str">
            <v>Sarmiento</v>
          </cell>
          <cell r="G215" t="str">
            <v>Jan. 2015</v>
          </cell>
        </row>
        <row r="216">
          <cell r="E216" t="str">
            <v>Elvin Ryan</v>
          </cell>
          <cell r="F216" t="str">
            <v>Batacan</v>
          </cell>
          <cell r="G216" t="str">
            <v>Jan. 2015</v>
          </cell>
        </row>
        <row r="217">
          <cell r="E217" t="str">
            <v>Jenny</v>
          </cell>
          <cell r="F217" t="str">
            <v>Susa</v>
          </cell>
          <cell r="G217" t="str">
            <v>Jan. 2015</v>
          </cell>
        </row>
        <row r="218">
          <cell r="E218" t="str">
            <v>Raisa</v>
          </cell>
          <cell r="F218" t="str">
            <v>Syreeta</v>
          </cell>
          <cell r="G218" t="str">
            <v>Jan. 2015</v>
          </cell>
        </row>
        <row r="219">
          <cell r="E219" t="str">
            <v>Rochelle Maelan</v>
          </cell>
          <cell r="F219" t="str">
            <v>Rivera</v>
          </cell>
          <cell r="G219">
            <v>42576</v>
          </cell>
        </row>
        <row r="220">
          <cell r="E220" t="str">
            <v>Gemma</v>
          </cell>
          <cell r="F220" t="str">
            <v>Bernabe</v>
          </cell>
          <cell r="G220">
            <v>42576</v>
          </cell>
        </row>
        <row r="221">
          <cell r="E221" t="str">
            <v>Raymund</v>
          </cell>
          <cell r="F221" t="str">
            <v>Capinding</v>
          </cell>
          <cell r="G221">
            <v>42576</v>
          </cell>
        </row>
        <row r="222">
          <cell r="E222" t="str">
            <v>Andrea Thea</v>
          </cell>
          <cell r="F222" t="str">
            <v>Orilla</v>
          </cell>
          <cell r="G222">
            <v>42576</v>
          </cell>
        </row>
        <row r="223">
          <cell r="E223" t="str">
            <v>Charles Kevin</v>
          </cell>
          <cell r="F223" t="str">
            <v>Comia</v>
          </cell>
          <cell r="G223">
            <v>42591</v>
          </cell>
        </row>
        <row r="224">
          <cell r="E224" t="str">
            <v>Joanna Zilpah</v>
          </cell>
          <cell r="F224" t="str">
            <v>Nicasio</v>
          </cell>
          <cell r="G224">
            <v>42576</v>
          </cell>
        </row>
        <row r="225">
          <cell r="E225" t="str">
            <v>Geralden</v>
          </cell>
          <cell r="F225" t="str">
            <v>Vinluan</v>
          </cell>
          <cell r="G225">
            <v>42576</v>
          </cell>
        </row>
        <row r="226">
          <cell r="E226" t="str">
            <v>Nicollete</v>
          </cell>
          <cell r="F226" t="str">
            <v>Santos</v>
          </cell>
          <cell r="G226">
            <v>42576</v>
          </cell>
        </row>
        <row r="227">
          <cell r="E227" t="str">
            <v>Aiza</v>
          </cell>
          <cell r="F227" t="str">
            <v>Sebastian</v>
          </cell>
          <cell r="G227">
            <v>42628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(2)"/>
      <sheetName val="ORS (3)"/>
      <sheetName val="ORS (2)"/>
      <sheetName val="ORS"/>
      <sheetName val="ALL"/>
    </sheetNames>
    <sheetDataSet>
      <sheetData sheetId="0" refreshError="1"/>
      <sheetData sheetId="1" refreshError="1"/>
      <sheetData sheetId="2" refreshError="1">
        <row r="14">
          <cell r="L14">
            <v>67643.95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workbookViewId="0">
      <selection activeCell="L14" sqref="L14:M18"/>
    </sheetView>
  </sheetViews>
  <sheetFormatPr defaultRowHeight="12.75" x14ac:dyDescent="0.2"/>
  <cols>
    <col min="3" max="3" width="6.28515625" customWidth="1"/>
    <col min="8" max="8" width="11.85546875" customWidth="1"/>
    <col min="11" max="11" width="17.85546875" customWidth="1"/>
    <col min="12" max="12" width="9.7109375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397" t="s">
        <v>134</v>
      </c>
      <c r="M1" s="397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398"/>
      <c r="M2" s="398"/>
    </row>
    <row r="3" spans="1:16" s="137" customFormat="1" ht="18.75" customHeight="1" x14ac:dyDescent="0.25">
      <c r="A3" s="399" t="s">
        <v>135</v>
      </c>
      <c r="B3" s="400"/>
      <c r="C3" s="400"/>
      <c r="D3" s="400"/>
      <c r="E3" s="400"/>
      <c r="F3" s="400"/>
      <c r="G3" s="400"/>
      <c r="H3" s="400"/>
      <c r="I3" s="400"/>
      <c r="J3" s="401"/>
      <c r="K3" s="402" t="s">
        <v>136</v>
      </c>
      <c r="L3" s="403"/>
      <c r="M3" s="404"/>
    </row>
    <row r="4" spans="1:16" s="137" customFormat="1" ht="16.5" x14ac:dyDescent="0.25">
      <c r="A4" s="405" t="s">
        <v>106</v>
      </c>
      <c r="B4" s="406"/>
      <c r="C4" s="406"/>
      <c r="D4" s="406"/>
      <c r="E4" s="406"/>
      <c r="F4" s="406"/>
      <c r="G4" s="406"/>
      <c r="H4" s="406"/>
      <c r="I4" s="406"/>
      <c r="J4" s="407"/>
      <c r="K4" s="408" t="s">
        <v>137</v>
      </c>
      <c r="L4" s="409"/>
      <c r="M4" s="410"/>
    </row>
    <row r="5" spans="1:16" s="137" customFormat="1" ht="15.75" thickBot="1" x14ac:dyDescent="0.25">
      <c r="A5" s="370" t="s">
        <v>138</v>
      </c>
      <c r="B5" s="371"/>
      <c r="C5" s="371"/>
      <c r="D5" s="371"/>
      <c r="E5" s="371"/>
      <c r="F5" s="371"/>
      <c r="G5" s="371"/>
      <c r="H5" s="371"/>
      <c r="I5" s="371"/>
      <c r="J5" s="372"/>
      <c r="K5" s="373" t="s">
        <v>139</v>
      </c>
      <c r="L5" s="374"/>
      <c r="M5" s="375"/>
    </row>
    <row r="6" spans="1:16" s="137" customFormat="1" x14ac:dyDescent="0.2">
      <c r="A6" s="376" t="s">
        <v>140</v>
      </c>
      <c r="B6" s="377"/>
      <c r="C6" s="378"/>
      <c r="D6" s="382" t="s">
        <v>462</v>
      </c>
      <c r="E6" s="383"/>
      <c r="F6" s="383"/>
      <c r="G6" s="383"/>
      <c r="H6" s="383"/>
      <c r="I6" s="383"/>
      <c r="J6" s="383"/>
      <c r="K6" s="383"/>
      <c r="L6" s="383"/>
      <c r="M6" s="384"/>
    </row>
    <row r="7" spans="1:16" s="137" customFormat="1" x14ac:dyDescent="0.2">
      <c r="A7" s="379"/>
      <c r="B7" s="380"/>
      <c r="C7" s="381"/>
      <c r="D7" s="385"/>
      <c r="E7" s="386"/>
      <c r="F7" s="386"/>
      <c r="G7" s="386"/>
      <c r="H7" s="386"/>
      <c r="I7" s="386"/>
      <c r="J7" s="386"/>
      <c r="K7" s="386"/>
      <c r="L7" s="386"/>
      <c r="M7" s="387"/>
    </row>
    <row r="8" spans="1:16" s="137" customFormat="1" x14ac:dyDescent="0.2">
      <c r="A8" s="388" t="s">
        <v>141</v>
      </c>
      <c r="B8" s="389"/>
      <c r="C8" s="390"/>
      <c r="D8" s="391" t="s">
        <v>236</v>
      </c>
      <c r="E8" s="392"/>
      <c r="F8" s="392"/>
      <c r="G8" s="392"/>
      <c r="H8" s="392"/>
      <c r="I8" s="392"/>
      <c r="J8" s="392"/>
      <c r="K8" s="392"/>
      <c r="L8" s="392"/>
      <c r="M8" s="393"/>
    </row>
    <row r="9" spans="1:16" s="137" customFormat="1" x14ac:dyDescent="0.2">
      <c r="A9" s="379"/>
      <c r="B9" s="380"/>
      <c r="C9" s="381"/>
      <c r="D9" s="394"/>
      <c r="E9" s="395"/>
      <c r="F9" s="395"/>
      <c r="G9" s="395"/>
      <c r="H9" s="395"/>
      <c r="I9" s="395"/>
      <c r="J9" s="395"/>
      <c r="K9" s="395"/>
      <c r="L9" s="395"/>
      <c r="M9" s="396"/>
    </row>
    <row r="10" spans="1:16" s="137" customFormat="1" x14ac:dyDescent="0.2">
      <c r="A10" s="388" t="s">
        <v>142</v>
      </c>
      <c r="B10" s="389"/>
      <c r="C10" s="390"/>
      <c r="D10" s="391" t="s">
        <v>217</v>
      </c>
      <c r="E10" s="392"/>
      <c r="F10" s="392"/>
      <c r="G10" s="392"/>
      <c r="H10" s="392"/>
      <c r="I10" s="392"/>
      <c r="J10" s="392"/>
      <c r="K10" s="392"/>
      <c r="L10" s="392"/>
      <c r="M10" s="393"/>
    </row>
    <row r="11" spans="1:16" s="137" customFormat="1" ht="13.5" thickBot="1" x14ac:dyDescent="0.25">
      <c r="A11" s="429"/>
      <c r="B11" s="430"/>
      <c r="C11" s="431"/>
      <c r="D11" s="432"/>
      <c r="E11" s="433"/>
      <c r="F11" s="433"/>
      <c r="G11" s="433"/>
      <c r="H11" s="433"/>
      <c r="I11" s="433"/>
      <c r="J11" s="433"/>
      <c r="K11" s="433"/>
      <c r="L11" s="433"/>
      <c r="M11" s="434"/>
    </row>
    <row r="12" spans="1:16" s="137" customFormat="1" x14ac:dyDescent="0.2">
      <c r="A12" s="376" t="s">
        <v>143</v>
      </c>
      <c r="B12" s="377"/>
      <c r="C12" s="378"/>
      <c r="D12" s="435" t="s">
        <v>144</v>
      </c>
      <c r="E12" s="436"/>
      <c r="F12" s="436"/>
      <c r="G12" s="436"/>
      <c r="H12" s="437"/>
      <c r="I12" s="441" t="s">
        <v>145</v>
      </c>
      <c r="J12" s="442"/>
      <c r="K12" s="445" t="s">
        <v>146</v>
      </c>
      <c r="L12" s="435" t="s">
        <v>147</v>
      </c>
      <c r="M12" s="447"/>
    </row>
    <row r="13" spans="1:16" s="137" customFormat="1" ht="27" customHeight="1" thickBot="1" x14ac:dyDescent="0.25">
      <c r="A13" s="429"/>
      <c r="B13" s="430"/>
      <c r="C13" s="431"/>
      <c r="D13" s="438"/>
      <c r="E13" s="439"/>
      <c r="F13" s="439"/>
      <c r="G13" s="439"/>
      <c r="H13" s="440"/>
      <c r="I13" s="443"/>
      <c r="J13" s="444"/>
      <c r="K13" s="446"/>
      <c r="L13" s="448"/>
      <c r="M13" s="449"/>
      <c r="P13" s="138" t="s">
        <v>148</v>
      </c>
    </row>
    <row r="14" spans="1:16" s="137" customFormat="1" ht="16.5" customHeight="1" x14ac:dyDescent="0.25">
      <c r="A14" s="411"/>
      <c r="B14" s="412"/>
      <c r="C14" s="413"/>
      <c r="D14" s="414" t="s">
        <v>471</v>
      </c>
      <c r="E14" s="415"/>
      <c r="F14" s="415"/>
      <c r="G14" s="415"/>
      <c r="H14" s="416"/>
      <c r="I14" s="420"/>
      <c r="J14" s="421"/>
      <c r="K14" s="139"/>
      <c r="L14" s="422">
        <v>7479844</v>
      </c>
      <c r="M14" s="423"/>
      <c r="O14" s="426" t="s">
        <v>149</v>
      </c>
      <c r="P14" s="413"/>
    </row>
    <row r="15" spans="1:16" s="137" customFormat="1" ht="16.5" customHeight="1" x14ac:dyDescent="0.3">
      <c r="A15" s="411"/>
      <c r="B15" s="412"/>
      <c r="C15" s="413"/>
      <c r="D15" s="417"/>
      <c r="E15" s="418"/>
      <c r="F15" s="418"/>
      <c r="G15" s="418"/>
      <c r="H15" s="419"/>
      <c r="I15" s="427"/>
      <c r="J15" s="428"/>
      <c r="K15" s="140"/>
      <c r="L15" s="424"/>
      <c r="M15" s="425"/>
    </row>
    <row r="16" spans="1:16" s="137" customFormat="1" ht="16.5" customHeight="1" x14ac:dyDescent="0.3">
      <c r="A16" s="225"/>
      <c r="B16" s="226"/>
      <c r="C16" s="227"/>
      <c r="D16" s="417"/>
      <c r="E16" s="418"/>
      <c r="F16" s="418"/>
      <c r="G16" s="418"/>
      <c r="H16" s="419"/>
      <c r="I16" s="228"/>
      <c r="J16" s="229"/>
      <c r="K16" s="141"/>
      <c r="L16" s="424"/>
      <c r="M16" s="425"/>
    </row>
    <row r="17" spans="1:16" s="137" customFormat="1" ht="16.5" customHeight="1" x14ac:dyDescent="0.3">
      <c r="A17" s="225"/>
      <c r="B17" s="226"/>
      <c r="C17" s="227"/>
      <c r="D17" s="417"/>
      <c r="E17" s="418"/>
      <c r="F17" s="418"/>
      <c r="G17" s="418"/>
      <c r="H17" s="419"/>
      <c r="I17" s="228"/>
      <c r="J17" s="229"/>
      <c r="K17" s="141"/>
      <c r="L17" s="424"/>
      <c r="M17" s="425"/>
    </row>
    <row r="18" spans="1:16" s="137" customFormat="1" ht="16.5" customHeight="1" x14ac:dyDescent="0.3">
      <c r="A18" s="225"/>
      <c r="B18" s="226"/>
      <c r="C18" s="227"/>
      <c r="D18" s="417"/>
      <c r="E18" s="418"/>
      <c r="F18" s="418"/>
      <c r="G18" s="418"/>
      <c r="H18" s="419"/>
      <c r="I18" s="228"/>
      <c r="J18" s="229"/>
      <c r="K18" s="141"/>
      <c r="L18" s="424"/>
      <c r="M18" s="425"/>
    </row>
    <row r="19" spans="1:16" s="137" customFormat="1" ht="16.5" x14ac:dyDescent="0.3">
      <c r="A19" s="411"/>
      <c r="B19" s="412"/>
      <c r="C19" s="413"/>
      <c r="D19" s="426"/>
      <c r="E19" s="412"/>
      <c r="F19" s="412"/>
      <c r="G19" s="412"/>
      <c r="H19" s="413"/>
      <c r="I19" s="427"/>
      <c r="J19" s="428"/>
      <c r="K19" s="141"/>
      <c r="L19" s="450"/>
      <c r="M19" s="451"/>
      <c r="P19" s="142">
        <f>SUM(L14)</f>
        <v>7479844</v>
      </c>
    </row>
    <row r="20" spans="1:16" s="137" customFormat="1" ht="16.5" x14ac:dyDescent="0.3">
      <c r="A20" s="411"/>
      <c r="B20" s="412"/>
      <c r="C20" s="413"/>
      <c r="D20" s="452" t="s">
        <v>442</v>
      </c>
      <c r="E20" s="453"/>
      <c r="F20" s="453"/>
      <c r="G20" s="453"/>
      <c r="H20" s="454"/>
      <c r="I20" s="427"/>
      <c r="J20" s="428"/>
      <c r="K20" s="141"/>
      <c r="L20" s="455"/>
      <c r="M20" s="456"/>
      <c r="P20" s="142" t="e">
        <f>SUM('[2]ORS (2)'!L14:M14)</f>
        <v>#REF!</v>
      </c>
    </row>
    <row r="21" spans="1:16" s="137" customFormat="1" ht="16.5" x14ac:dyDescent="0.3">
      <c r="A21" s="411"/>
      <c r="B21" s="412"/>
      <c r="C21" s="413"/>
      <c r="D21" s="426"/>
      <c r="E21" s="412"/>
      <c r="F21" s="412"/>
      <c r="G21" s="412"/>
      <c r="H21" s="413"/>
      <c r="I21" s="427"/>
      <c r="J21" s="428"/>
      <c r="K21" s="141"/>
      <c r="L21" s="450"/>
      <c r="M21" s="451"/>
      <c r="P21" s="142" t="e">
        <f>SUM(#REF!)</f>
        <v>#REF!</v>
      </c>
    </row>
    <row r="22" spans="1:16" s="137" customFormat="1" ht="16.5" x14ac:dyDescent="0.3">
      <c r="A22" s="411"/>
      <c r="B22" s="412"/>
      <c r="C22" s="413"/>
      <c r="D22" s="426"/>
      <c r="E22" s="412"/>
      <c r="F22" s="412"/>
      <c r="G22" s="412"/>
      <c r="H22" s="413"/>
      <c r="I22" s="427"/>
      <c r="J22" s="428"/>
      <c r="K22" s="141"/>
      <c r="L22" s="450"/>
      <c r="M22" s="451"/>
      <c r="P22" s="143" t="e">
        <f>SUM(P19:P21)</f>
        <v>#REF!</v>
      </c>
    </row>
    <row r="23" spans="1:16" s="137" customFormat="1" ht="16.5" x14ac:dyDescent="0.3">
      <c r="A23" s="411"/>
      <c r="B23" s="412"/>
      <c r="C23" s="413"/>
      <c r="D23" s="426"/>
      <c r="E23" s="412"/>
      <c r="F23" s="412"/>
      <c r="G23" s="412"/>
      <c r="H23" s="413"/>
      <c r="I23" s="427"/>
      <c r="J23" s="428"/>
      <c r="K23" s="141"/>
      <c r="L23" s="450"/>
      <c r="M23" s="451"/>
    </row>
    <row r="24" spans="1:16" s="137" customFormat="1" ht="16.5" x14ac:dyDescent="0.3">
      <c r="A24" s="411"/>
      <c r="B24" s="412"/>
      <c r="C24" s="413"/>
      <c r="D24" s="426"/>
      <c r="E24" s="412"/>
      <c r="F24" s="412"/>
      <c r="G24" s="412"/>
      <c r="H24" s="413"/>
      <c r="I24" s="427"/>
      <c r="J24" s="428"/>
      <c r="K24" s="141"/>
      <c r="L24" s="450"/>
      <c r="M24" s="451"/>
    </row>
    <row r="25" spans="1:16" s="137" customFormat="1" ht="16.5" x14ac:dyDescent="0.3">
      <c r="A25" s="411"/>
      <c r="B25" s="412"/>
      <c r="C25" s="413"/>
      <c r="D25" s="426"/>
      <c r="E25" s="412"/>
      <c r="F25" s="412"/>
      <c r="G25" s="412"/>
      <c r="H25" s="413"/>
      <c r="I25" s="427"/>
      <c r="J25" s="428"/>
      <c r="K25" s="141"/>
      <c r="L25" s="450"/>
      <c r="M25" s="451"/>
    </row>
    <row r="26" spans="1:16" s="137" customFormat="1" ht="16.5" x14ac:dyDescent="0.3">
      <c r="A26" s="411"/>
      <c r="B26" s="412"/>
      <c r="C26" s="413"/>
      <c r="D26" s="426"/>
      <c r="E26" s="412"/>
      <c r="F26" s="412"/>
      <c r="G26" s="412"/>
      <c r="H26" s="413"/>
      <c r="I26" s="426" t="s">
        <v>197</v>
      </c>
      <c r="J26" s="428"/>
      <c r="K26" s="141"/>
      <c r="L26" s="450"/>
      <c r="M26" s="451"/>
    </row>
    <row r="27" spans="1:16" s="137" customFormat="1" ht="16.5" x14ac:dyDescent="0.3">
      <c r="A27" s="411"/>
      <c r="B27" s="412"/>
      <c r="C27" s="413"/>
      <c r="D27" s="426"/>
      <c r="E27" s="412"/>
      <c r="F27" s="412"/>
      <c r="G27" s="412"/>
      <c r="H27" s="413"/>
      <c r="I27" s="427"/>
      <c r="J27" s="428"/>
      <c r="K27" s="141"/>
      <c r="L27" s="450"/>
      <c r="M27" s="451"/>
    </row>
    <row r="28" spans="1:16" s="137" customFormat="1" ht="16.5" x14ac:dyDescent="0.3">
      <c r="A28" s="411"/>
      <c r="B28" s="412"/>
      <c r="C28" s="413"/>
      <c r="D28" s="426"/>
      <c r="E28" s="412"/>
      <c r="F28" s="412"/>
      <c r="G28" s="412"/>
      <c r="H28" s="413"/>
      <c r="I28" s="427"/>
      <c r="J28" s="428"/>
      <c r="K28" s="141"/>
      <c r="L28" s="450"/>
      <c r="M28" s="451"/>
    </row>
    <row r="29" spans="1:16" s="137" customFormat="1" ht="16.5" x14ac:dyDescent="0.3">
      <c r="A29" s="411"/>
      <c r="B29" s="412"/>
      <c r="C29" s="413"/>
      <c r="D29" s="426"/>
      <c r="E29" s="412"/>
      <c r="F29" s="412"/>
      <c r="G29" s="412"/>
      <c r="H29" s="413"/>
      <c r="I29" s="427"/>
      <c r="J29" s="428"/>
      <c r="K29" s="141"/>
      <c r="L29" s="450"/>
      <c r="M29" s="451"/>
    </row>
    <row r="30" spans="1:16" s="137" customFormat="1" ht="16.5" x14ac:dyDescent="0.3">
      <c r="A30" s="411"/>
      <c r="B30" s="412"/>
      <c r="C30" s="413"/>
      <c r="D30" s="426"/>
      <c r="E30" s="412"/>
      <c r="F30" s="412"/>
      <c r="G30" s="412"/>
      <c r="H30" s="413"/>
      <c r="I30" s="427"/>
      <c r="J30" s="428"/>
      <c r="K30" s="141"/>
      <c r="L30" s="450"/>
      <c r="M30" s="451"/>
    </row>
    <row r="31" spans="1:16" s="137" customFormat="1" ht="16.5" x14ac:dyDescent="0.3">
      <c r="A31" s="411"/>
      <c r="B31" s="412"/>
      <c r="C31" s="413"/>
      <c r="D31" s="426"/>
      <c r="E31" s="412"/>
      <c r="F31" s="412"/>
      <c r="G31" s="412"/>
      <c r="H31" s="413"/>
      <c r="I31" s="427"/>
      <c r="J31" s="428"/>
      <c r="K31" s="140"/>
      <c r="L31" s="450"/>
      <c r="M31" s="451"/>
    </row>
    <row r="32" spans="1:16" s="137" customFormat="1" ht="16.5" x14ac:dyDescent="0.3">
      <c r="A32" s="411"/>
      <c r="B32" s="412"/>
      <c r="C32" s="413"/>
      <c r="D32" s="426"/>
      <c r="E32" s="412"/>
      <c r="F32" s="412"/>
      <c r="G32" s="412"/>
      <c r="H32" s="413"/>
      <c r="I32" s="427"/>
      <c r="J32" s="428"/>
      <c r="K32" s="140"/>
      <c r="L32" s="450"/>
      <c r="M32" s="451"/>
    </row>
    <row r="33" spans="1:13" s="137" customFormat="1" ht="16.5" x14ac:dyDescent="0.3">
      <c r="A33" s="411"/>
      <c r="B33" s="412"/>
      <c r="C33" s="413"/>
      <c r="D33" s="426"/>
      <c r="E33" s="412"/>
      <c r="F33" s="412"/>
      <c r="G33" s="412"/>
      <c r="H33" s="413"/>
      <c r="I33" s="427"/>
      <c r="J33" s="428"/>
      <c r="K33" s="140"/>
      <c r="L33" s="450"/>
      <c r="M33" s="451"/>
    </row>
    <row r="34" spans="1:13" s="137" customFormat="1" ht="16.5" x14ac:dyDescent="0.3">
      <c r="A34" s="411"/>
      <c r="B34" s="412"/>
      <c r="C34" s="413"/>
      <c r="D34" s="426"/>
      <c r="E34" s="412"/>
      <c r="F34" s="412"/>
      <c r="G34" s="412"/>
      <c r="H34" s="413"/>
      <c r="I34" s="427"/>
      <c r="J34" s="428"/>
      <c r="K34" s="140"/>
      <c r="L34" s="450"/>
      <c r="M34" s="451"/>
    </row>
    <row r="35" spans="1:13" s="137" customFormat="1" ht="16.5" x14ac:dyDescent="0.3">
      <c r="A35" s="411"/>
      <c r="B35" s="412"/>
      <c r="C35" s="413"/>
      <c r="D35" s="426"/>
      <c r="E35" s="412"/>
      <c r="F35" s="412"/>
      <c r="G35" s="412"/>
      <c r="H35" s="413"/>
      <c r="I35" s="427"/>
      <c r="J35" s="428"/>
      <c r="K35" s="140"/>
      <c r="L35" s="450"/>
      <c r="M35" s="451"/>
    </row>
    <row r="36" spans="1:13" s="137" customFormat="1" ht="16.5" x14ac:dyDescent="0.3">
      <c r="A36" s="411"/>
      <c r="B36" s="412"/>
      <c r="C36" s="413"/>
      <c r="D36" s="426"/>
      <c r="E36" s="412"/>
      <c r="F36" s="412"/>
      <c r="G36" s="412"/>
      <c r="H36" s="413"/>
      <c r="I36" s="427"/>
      <c r="J36" s="428"/>
      <c r="K36" s="140"/>
      <c r="L36" s="450"/>
      <c r="M36" s="451"/>
    </row>
    <row r="37" spans="1:13" s="137" customFormat="1" ht="19.5" thickBot="1" x14ac:dyDescent="0.35">
      <c r="A37" s="457"/>
      <c r="B37" s="458"/>
      <c r="C37" s="459"/>
      <c r="D37" s="460" t="s">
        <v>150</v>
      </c>
      <c r="E37" s="461"/>
      <c r="F37" s="461"/>
      <c r="G37" s="461"/>
      <c r="H37" s="462"/>
      <c r="I37" s="463"/>
      <c r="J37" s="464"/>
      <c r="K37" s="144"/>
      <c r="L37" s="465">
        <f>L14</f>
        <v>7479844</v>
      </c>
      <c r="M37" s="466"/>
    </row>
    <row r="38" spans="1:13" s="137" customFormat="1" ht="15" x14ac:dyDescent="0.25">
      <c r="A38" s="467" t="s">
        <v>151</v>
      </c>
      <c r="B38" s="145"/>
      <c r="C38" s="136"/>
      <c r="D38" s="469" t="s">
        <v>152</v>
      </c>
      <c r="E38" s="470"/>
      <c r="F38" s="470"/>
      <c r="G38" s="470"/>
      <c r="H38" s="471"/>
      <c r="I38" s="472" t="s">
        <v>153</v>
      </c>
      <c r="J38" s="146"/>
      <c r="K38" s="136"/>
      <c r="L38" s="136"/>
      <c r="M38" s="147"/>
    </row>
    <row r="39" spans="1:13" s="137" customFormat="1" ht="15" x14ac:dyDescent="0.25">
      <c r="A39" s="468"/>
      <c r="B39" s="473" t="s">
        <v>154</v>
      </c>
      <c r="C39" s="474"/>
      <c r="D39" s="470"/>
      <c r="E39" s="470"/>
      <c r="F39" s="470"/>
      <c r="G39" s="470"/>
      <c r="H39" s="471"/>
      <c r="I39" s="472"/>
      <c r="J39" s="148" t="s">
        <v>155</v>
      </c>
      <c r="K39" s="136"/>
      <c r="L39" s="136"/>
      <c r="M39" s="147"/>
    </row>
    <row r="40" spans="1:13" s="137" customFormat="1" ht="15" x14ac:dyDescent="0.25">
      <c r="A40" s="149"/>
      <c r="B40" s="485" t="s">
        <v>156</v>
      </c>
      <c r="C40" s="485"/>
      <c r="D40" s="485"/>
      <c r="E40" s="485"/>
      <c r="F40" s="485"/>
      <c r="G40" s="485"/>
      <c r="H40" s="486"/>
      <c r="I40" s="150"/>
      <c r="J40" s="136" t="s">
        <v>157</v>
      </c>
      <c r="K40" s="136"/>
      <c r="L40" s="136"/>
      <c r="M40" s="147"/>
    </row>
    <row r="41" spans="1:13" s="137" customFormat="1" ht="15" x14ac:dyDescent="0.25">
      <c r="A41" s="487"/>
      <c r="B41" s="136" t="s">
        <v>158</v>
      </c>
      <c r="C41" s="136"/>
      <c r="D41" s="136"/>
      <c r="E41" s="136"/>
      <c r="F41" s="136"/>
      <c r="G41" s="136"/>
      <c r="H41" s="147"/>
      <c r="I41" s="136"/>
      <c r="J41" s="136" t="s">
        <v>159</v>
      </c>
      <c r="K41" s="136"/>
      <c r="L41" s="136"/>
      <c r="M41" s="147"/>
    </row>
    <row r="42" spans="1:13" s="137" customFormat="1" ht="15" x14ac:dyDescent="0.25">
      <c r="A42" s="487"/>
      <c r="B42" s="136"/>
      <c r="C42" s="136"/>
      <c r="D42" s="136"/>
      <c r="E42" s="136"/>
      <c r="F42" s="136"/>
      <c r="G42" s="136"/>
      <c r="H42" s="147"/>
      <c r="I42" s="136"/>
      <c r="J42" s="136"/>
      <c r="K42" s="136"/>
      <c r="L42" s="136"/>
      <c r="M42" s="147"/>
    </row>
    <row r="43" spans="1:13" s="137" customFormat="1" ht="15" x14ac:dyDescent="0.25">
      <c r="A43" s="224"/>
      <c r="B43" s="151"/>
      <c r="C43" s="151"/>
      <c r="D43" s="151"/>
      <c r="E43" s="151"/>
      <c r="F43" s="151"/>
      <c r="G43" s="136"/>
      <c r="H43" s="147"/>
      <c r="I43" s="136"/>
      <c r="J43" s="136"/>
      <c r="K43" s="136"/>
      <c r="L43" s="136"/>
      <c r="M43" s="147"/>
    </row>
    <row r="44" spans="1:13" s="137" customFormat="1" ht="15" x14ac:dyDescent="0.25">
      <c r="A44" s="224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475" t="s">
        <v>160</v>
      </c>
      <c r="B45" s="476"/>
      <c r="C45" s="488" t="s">
        <v>161</v>
      </c>
      <c r="D45" s="488"/>
      <c r="E45" s="488"/>
      <c r="F45" s="488"/>
      <c r="G45" s="488"/>
      <c r="H45" s="489"/>
      <c r="I45" s="136" t="s">
        <v>162</v>
      </c>
      <c r="J45" s="136"/>
      <c r="K45" s="152"/>
      <c r="L45" s="153"/>
      <c r="M45" s="154"/>
    </row>
    <row r="46" spans="1:13" s="137" customFormat="1" ht="19.5" customHeight="1" x14ac:dyDescent="0.25">
      <c r="A46" s="490" t="s">
        <v>163</v>
      </c>
      <c r="B46" s="469"/>
      <c r="C46" s="469"/>
      <c r="D46" s="469"/>
      <c r="E46" s="469"/>
      <c r="F46" s="469"/>
      <c r="G46" s="469"/>
      <c r="H46" s="484"/>
      <c r="I46" s="136" t="s">
        <v>164</v>
      </c>
      <c r="J46" s="136"/>
      <c r="K46" s="491" t="s">
        <v>165</v>
      </c>
      <c r="L46" s="491"/>
      <c r="M46" s="492"/>
    </row>
    <row r="47" spans="1:13" s="137" customFormat="1" ht="15" x14ac:dyDescent="0.25">
      <c r="A47" s="475" t="s">
        <v>166</v>
      </c>
      <c r="B47" s="476"/>
      <c r="C47" s="477" t="s">
        <v>192</v>
      </c>
      <c r="D47" s="477"/>
      <c r="E47" s="477"/>
      <c r="F47" s="477"/>
      <c r="G47" s="477"/>
      <c r="H47" s="478"/>
      <c r="I47" s="136" t="s">
        <v>166</v>
      </c>
      <c r="J47" s="136"/>
      <c r="K47" s="479" t="s">
        <v>130</v>
      </c>
      <c r="L47" s="479"/>
      <c r="M47" s="480"/>
    </row>
    <row r="48" spans="1:13" s="137" customFormat="1" ht="15" x14ac:dyDescent="0.25">
      <c r="A48" s="155"/>
      <c r="B48" s="156"/>
      <c r="C48" s="476" t="s">
        <v>167</v>
      </c>
      <c r="D48" s="476"/>
      <c r="E48" s="476"/>
      <c r="F48" s="476"/>
      <c r="G48" s="476"/>
      <c r="H48" s="481"/>
      <c r="I48" s="136"/>
      <c r="J48" s="136"/>
      <c r="K48" s="482" t="s">
        <v>168</v>
      </c>
      <c r="L48" s="482"/>
      <c r="M48" s="483"/>
    </row>
    <row r="49" spans="1:13" s="137" customFormat="1" ht="15" x14ac:dyDescent="0.25">
      <c r="A49" s="408" t="s">
        <v>169</v>
      </c>
      <c r="B49" s="409"/>
      <c r="C49" s="469" t="s">
        <v>161</v>
      </c>
      <c r="D49" s="469"/>
      <c r="E49" s="469"/>
      <c r="F49" s="469"/>
      <c r="G49" s="469"/>
      <c r="H49" s="484"/>
      <c r="I49" s="136" t="s">
        <v>170</v>
      </c>
      <c r="J49" s="136"/>
      <c r="K49" s="136" t="s">
        <v>171</v>
      </c>
      <c r="L49" s="136"/>
      <c r="M49" s="147"/>
    </row>
    <row r="50" spans="1:13" s="137" customFormat="1" ht="15.75" thickBot="1" x14ac:dyDescent="0.3">
      <c r="A50" s="157"/>
      <c r="B50" s="158"/>
      <c r="C50" s="158"/>
      <c r="D50" s="158"/>
      <c r="E50" s="158"/>
      <c r="F50" s="158"/>
      <c r="G50" s="158"/>
      <c r="H50" s="159"/>
      <c r="I50" s="160"/>
      <c r="J50" s="160"/>
      <c r="K50" s="160"/>
      <c r="L50" s="160"/>
      <c r="M50" s="161"/>
    </row>
    <row r="51" spans="1:13" s="137" customFormat="1" ht="15.75" thickBot="1" x14ac:dyDescent="0.3">
      <c r="A51" s="162"/>
      <c r="B51" s="16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5"/>
    </row>
    <row r="52" spans="1:13" s="137" customFormat="1" ht="15" thickBot="1" x14ac:dyDescent="0.25">
      <c r="A52" s="166" t="s">
        <v>172</v>
      </c>
      <c r="B52" s="498" t="s">
        <v>173</v>
      </c>
      <c r="C52" s="499"/>
      <c r="D52" s="499"/>
      <c r="E52" s="499"/>
      <c r="F52" s="499"/>
      <c r="G52" s="499"/>
      <c r="H52" s="499"/>
      <c r="I52" s="499"/>
      <c r="J52" s="499"/>
      <c r="K52" s="499"/>
      <c r="L52" s="499"/>
      <c r="M52" s="500"/>
    </row>
    <row r="53" spans="1:13" s="137" customFormat="1" ht="15" thickBot="1" x14ac:dyDescent="0.25">
      <c r="A53" s="501" t="s">
        <v>174</v>
      </c>
      <c r="B53" s="499"/>
      <c r="C53" s="499"/>
      <c r="D53" s="499"/>
      <c r="E53" s="499"/>
      <c r="F53" s="499"/>
      <c r="G53" s="500"/>
      <c r="H53" s="501" t="s">
        <v>147</v>
      </c>
      <c r="I53" s="499"/>
      <c r="J53" s="499"/>
      <c r="K53" s="499"/>
      <c r="L53" s="499"/>
      <c r="M53" s="500"/>
    </row>
    <row r="54" spans="1:13" s="137" customFormat="1" ht="15" x14ac:dyDescent="0.25">
      <c r="A54" s="502" t="s">
        <v>129</v>
      </c>
      <c r="B54" s="504" t="s">
        <v>144</v>
      </c>
      <c r="C54" s="505"/>
      <c r="D54" s="505"/>
      <c r="E54" s="508" t="s">
        <v>175</v>
      </c>
      <c r="F54" s="476"/>
      <c r="G54" s="481"/>
      <c r="H54" s="502" t="s">
        <v>176</v>
      </c>
      <c r="I54" s="512" t="s">
        <v>177</v>
      </c>
      <c r="J54" s="513"/>
      <c r="K54" s="514" t="s">
        <v>178</v>
      </c>
      <c r="L54" s="515" t="s">
        <v>179</v>
      </c>
      <c r="M54" s="516"/>
    </row>
    <row r="55" spans="1:13" s="137" customFormat="1" ht="30.75" thickBot="1" x14ac:dyDescent="0.25">
      <c r="A55" s="502"/>
      <c r="B55" s="504"/>
      <c r="C55" s="505"/>
      <c r="D55" s="505"/>
      <c r="E55" s="508"/>
      <c r="F55" s="476"/>
      <c r="G55" s="481"/>
      <c r="H55" s="502"/>
      <c r="I55" s="512"/>
      <c r="J55" s="513"/>
      <c r="K55" s="514"/>
      <c r="L55" s="335" t="s">
        <v>180</v>
      </c>
      <c r="M55" s="167" t="s">
        <v>181</v>
      </c>
    </row>
    <row r="56" spans="1:13" s="137" customFormat="1" ht="15.75" thickBot="1" x14ac:dyDescent="0.3">
      <c r="A56" s="503"/>
      <c r="B56" s="506"/>
      <c r="C56" s="507"/>
      <c r="D56" s="507"/>
      <c r="E56" s="509"/>
      <c r="F56" s="510"/>
      <c r="G56" s="511"/>
      <c r="H56" s="168" t="s">
        <v>182</v>
      </c>
      <c r="I56" s="493" t="s">
        <v>183</v>
      </c>
      <c r="J56" s="494"/>
      <c r="K56" s="169" t="s">
        <v>184</v>
      </c>
      <c r="L56" s="170" t="s">
        <v>185</v>
      </c>
      <c r="M56" s="171" t="s">
        <v>186</v>
      </c>
    </row>
    <row r="57" spans="1:13" s="137" customFormat="1" ht="15" x14ac:dyDescent="0.25">
      <c r="A57" s="172"/>
      <c r="B57" s="173"/>
      <c r="C57" s="136"/>
      <c r="D57" s="174"/>
      <c r="E57" s="175"/>
      <c r="F57" s="136"/>
      <c r="G57" s="147"/>
      <c r="H57" s="176"/>
      <c r="I57" s="177"/>
      <c r="J57" s="174"/>
      <c r="K57" s="178"/>
      <c r="L57" s="179"/>
      <c r="M57" s="180"/>
    </row>
    <row r="58" spans="1:13" s="137" customFormat="1" ht="15" x14ac:dyDescent="0.25">
      <c r="A58" s="172"/>
      <c r="B58" s="181"/>
      <c r="C58" s="136"/>
      <c r="D58" s="174"/>
      <c r="E58" s="175"/>
      <c r="F58" s="136"/>
      <c r="G58" s="147"/>
      <c r="H58" s="182"/>
      <c r="I58" s="183"/>
      <c r="J58" s="184"/>
      <c r="K58" s="179"/>
      <c r="L58" s="179"/>
      <c r="M58" s="185"/>
    </row>
    <row r="59" spans="1:13" s="137" customFormat="1" ht="15" x14ac:dyDescent="0.25">
      <c r="A59" s="172"/>
      <c r="B59" s="181"/>
      <c r="C59" s="136"/>
      <c r="D59" s="174"/>
      <c r="E59" s="495"/>
      <c r="F59" s="496"/>
      <c r="G59" s="497"/>
      <c r="H59" s="182"/>
      <c r="I59" s="183"/>
      <c r="J59" s="184"/>
      <c r="K59" s="179"/>
      <c r="L59" s="179"/>
      <c r="M59" s="185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86"/>
      <c r="M60" s="185"/>
    </row>
    <row r="61" spans="1:13" s="137" customFormat="1" ht="15" x14ac:dyDescent="0.25">
      <c r="A61" s="187"/>
      <c r="B61" s="181"/>
      <c r="C61" s="136"/>
      <c r="D61" s="174"/>
      <c r="E61" s="177"/>
      <c r="F61" s="136"/>
      <c r="G61" s="147"/>
      <c r="H61" s="182"/>
      <c r="I61" s="177"/>
      <c r="J61" s="174"/>
      <c r="K61" s="178"/>
      <c r="L61" s="178"/>
      <c r="M61" s="147"/>
    </row>
    <row r="62" spans="1:13" s="137" customFormat="1" ht="15" x14ac:dyDescent="0.25">
      <c r="A62" s="187"/>
      <c r="B62" s="181"/>
      <c r="C62" s="136"/>
      <c r="D62" s="174"/>
      <c r="E62" s="177"/>
      <c r="F62" s="136"/>
      <c r="G62" s="147"/>
      <c r="H62" s="182"/>
      <c r="I62" s="177"/>
      <c r="J62" s="174"/>
      <c r="K62" s="178"/>
      <c r="L62" s="178"/>
      <c r="M62" s="147"/>
    </row>
    <row r="63" spans="1:13" s="137" customFormat="1" ht="13.5" thickBot="1" x14ac:dyDescent="0.25">
      <c r="A63" s="188"/>
      <c r="B63" s="189"/>
      <c r="C63" s="190"/>
      <c r="D63" s="191"/>
      <c r="E63" s="192"/>
      <c r="F63" s="190"/>
      <c r="G63" s="193"/>
      <c r="H63" s="194"/>
      <c r="I63" s="192"/>
      <c r="J63" s="191"/>
      <c r="K63" s="195"/>
      <c r="L63" s="195"/>
      <c r="M63" s="193"/>
    </row>
  </sheetData>
  <mergeCells count="131"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25" right="0.2" top="0.75" bottom="0.75" header="0.3" footer="0.3"/>
  <pageSetup paperSize="9" scale="75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5"/>
  <sheetViews>
    <sheetView topLeftCell="A16" workbookViewId="0">
      <selection activeCell="L14" sqref="L14:M18"/>
    </sheetView>
  </sheetViews>
  <sheetFormatPr defaultRowHeight="12.75" x14ac:dyDescent="0.2"/>
  <cols>
    <col min="3" max="3" width="4.5703125" customWidth="1"/>
    <col min="8" max="8" width="6.28515625" customWidth="1"/>
    <col min="10" max="10" width="7.7109375" customWidth="1"/>
    <col min="11" max="11" width="13.5703125" customWidth="1"/>
    <col min="12" max="12" width="9.7109375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397" t="s">
        <v>134</v>
      </c>
      <c r="M1" s="397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398"/>
      <c r="M2" s="398"/>
    </row>
    <row r="3" spans="1:16" s="137" customFormat="1" ht="18.75" customHeight="1" x14ac:dyDescent="0.25">
      <c r="A3" s="399" t="s">
        <v>135</v>
      </c>
      <c r="B3" s="400"/>
      <c r="C3" s="400"/>
      <c r="D3" s="400"/>
      <c r="E3" s="400"/>
      <c r="F3" s="400"/>
      <c r="G3" s="400"/>
      <c r="H3" s="400"/>
      <c r="I3" s="400"/>
      <c r="J3" s="401"/>
      <c r="K3" s="402" t="s">
        <v>136</v>
      </c>
      <c r="L3" s="403"/>
      <c r="M3" s="404"/>
    </row>
    <row r="4" spans="1:16" s="137" customFormat="1" ht="26.25" customHeight="1" x14ac:dyDescent="0.25">
      <c r="A4" s="405" t="s">
        <v>106</v>
      </c>
      <c r="B4" s="406"/>
      <c r="C4" s="406"/>
      <c r="D4" s="406"/>
      <c r="E4" s="406"/>
      <c r="F4" s="406"/>
      <c r="G4" s="406"/>
      <c r="H4" s="406"/>
      <c r="I4" s="406"/>
      <c r="J4" s="407"/>
      <c r="K4" s="517" t="s">
        <v>137</v>
      </c>
      <c r="L4" s="518"/>
      <c r="M4" s="519"/>
    </row>
    <row r="5" spans="1:16" s="137" customFormat="1" ht="15.75" thickBot="1" x14ac:dyDescent="0.25">
      <c r="A5" s="370" t="s">
        <v>138</v>
      </c>
      <c r="B5" s="371"/>
      <c r="C5" s="371"/>
      <c r="D5" s="371"/>
      <c r="E5" s="371"/>
      <c r="F5" s="371"/>
      <c r="G5" s="371"/>
      <c r="H5" s="371"/>
      <c r="I5" s="371"/>
      <c r="J5" s="372"/>
      <c r="K5" s="373" t="s">
        <v>139</v>
      </c>
      <c r="L5" s="374"/>
      <c r="M5" s="375"/>
    </row>
    <row r="6" spans="1:16" s="137" customFormat="1" x14ac:dyDescent="0.2">
      <c r="A6" s="376" t="s">
        <v>140</v>
      </c>
      <c r="B6" s="377"/>
      <c r="C6" s="378"/>
      <c r="D6" s="382" t="s">
        <v>437</v>
      </c>
      <c r="E6" s="383"/>
      <c r="F6" s="383"/>
      <c r="G6" s="383"/>
      <c r="H6" s="383"/>
      <c r="I6" s="383"/>
      <c r="J6" s="383"/>
      <c r="K6" s="383"/>
      <c r="L6" s="383"/>
      <c r="M6" s="384"/>
    </row>
    <row r="7" spans="1:16" s="137" customFormat="1" x14ac:dyDescent="0.2">
      <c r="A7" s="379"/>
      <c r="B7" s="380"/>
      <c r="C7" s="381"/>
      <c r="D7" s="385"/>
      <c r="E7" s="386"/>
      <c r="F7" s="386"/>
      <c r="G7" s="386"/>
      <c r="H7" s="386"/>
      <c r="I7" s="386"/>
      <c r="J7" s="386"/>
      <c r="K7" s="386"/>
      <c r="L7" s="386"/>
      <c r="M7" s="387"/>
    </row>
    <row r="8" spans="1:16" s="137" customFormat="1" x14ac:dyDescent="0.2">
      <c r="A8" s="388" t="s">
        <v>141</v>
      </c>
      <c r="B8" s="389"/>
      <c r="C8" s="390"/>
      <c r="D8" s="391" t="s">
        <v>236</v>
      </c>
      <c r="E8" s="392"/>
      <c r="F8" s="392"/>
      <c r="G8" s="392"/>
      <c r="H8" s="392"/>
      <c r="I8" s="392"/>
      <c r="J8" s="392"/>
      <c r="K8" s="392"/>
      <c r="L8" s="392"/>
      <c r="M8" s="393"/>
    </row>
    <row r="9" spans="1:16" s="137" customFormat="1" x14ac:dyDescent="0.2">
      <c r="A9" s="379"/>
      <c r="B9" s="380"/>
      <c r="C9" s="381"/>
      <c r="D9" s="394"/>
      <c r="E9" s="395"/>
      <c r="F9" s="395"/>
      <c r="G9" s="395"/>
      <c r="H9" s="395"/>
      <c r="I9" s="395"/>
      <c r="J9" s="395"/>
      <c r="K9" s="395"/>
      <c r="L9" s="395"/>
      <c r="M9" s="396"/>
    </row>
    <row r="10" spans="1:16" s="137" customFormat="1" x14ac:dyDescent="0.2">
      <c r="A10" s="388" t="s">
        <v>142</v>
      </c>
      <c r="B10" s="389"/>
      <c r="C10" s="390"/>
      <c r="D10" s="391" t="s">
        <v>217</v>
      </c>
      <c r="E10" s="392"/>
      <c r="F10" s="392"/>
      <c r="G10" s="392"/>
      <c r="H10" s="392"/>
      <c r="I10" s="392"/>
      <c r="J10" s="392"/>
      <c r="K10" s="392"/>
      <c r="L10" s="392"/>
      <c r="M10" s="393"/>
    </row>
    <row r="11" spans="1:16" s="137" customFormat="1" ht="13.5" thickBot="1" x14ac:dyDescent="0.25">
      <c r="A11" s="429"/>
      <c r="B11" s="430"/>
      <c r="C11" s="431"/>
      <c r="D11" s="432"/>
      <c r="E11" s="433"/>
      <c r="F11" s="433"/>
      <c r="G11" s="433"/>
      <c r="H11" s="433"/>
      <c r="I11" s="433"/>
      <c r="J11" s="433"/>
      <c r="K11" s="433"/>
      <c r="L11" s="433"/>
      <c r="M11" s="434"/>
    </row>
    <row r="12" spans="1:16" s="137" customFormat="1" x14ac:dyDescent="0.2">
      <c r="A12" s="376" t="s">
        <v>143</v>
      </c>
      <c r="B12" s="377"/>
      <c r="C12" s="378"/>
      <c r="D12" s="435" t="s">
        <v>144</v>
      </c>
      <c r="E12" s="436"/>
      <c r="F12" s="436"/>
      <c r="G12" s="436"/>
      <c r="H12" s="437"/>
      <c r="I12" s="441" t="s">
        <v>145</v>
      </c>
      <c r="J12" s="442"/>
      <c r="K12" s="445" t="s">
        <v>146</v>
      </c>
      <c r="L12" s="435" t="s">
        <v>147</v>
      </c>
      <c r="M12" s="447"/>
    </row>
    <row r="13" spans="1:16" s="137" customFormat="1" ht="27.75" customHeight="1" thickBot="1" x14ac:dyDescent="0.25">
      <c r="A13" s="429"/>
      <c r="B13" s="430"/>
      <c r="C13" s="431"/>
      <c r="D13" s="438"/>
      <c r="E13" s="439"/>
      <c r="F13" s="439"/>
      <c r="G13" s="439"/>
      <c r="H13" s="440"/>
      <c r="I13" s="443"/>
      <c r="J13" s="444"/>
      <c r="K13" s="446"/>
      <c r="L13" s="448"/>
      <c r="M13" s="449"/>
      <c r="P13" s="138" t="s">
        <v>148</v>
      </c>
    </row>
    <row r="14" spans="1:16" s="137" customFormat="1" ht="16.5" customHeight="1" x14ac:dyDescent="0.25">
      <c r="A14" s="411"/>
      <c r="B14" s="412"/>
      <c r="C14" s="413"/>
      <c r="D14" s="414" t="s">
        <v>471</v>
      </c>
      <c r="E14" s="415"/>
      <c r="F14" s="415"/>
      <c r="G14" s="415"/>
      <c r="H14" s="416"/>
      <c r="I14" s="420"/>
      <c r="J14" s="421"/>
      <c r="K14" s="139"/>
      <c r="L14" s="422">
        <v>888000</v>
      </c>
      <c r="M14" s="423"/>
      <c r="O14" s="426" t="s">
        <v>149</v>
      </c>
      <c r="P14" s="413"/>
    </row>
    <row r="15" spans="1:16" s="137" customFormat="1" ht="16.5" customHeight="1" x14ac:dyDescent="0.3">
      <c r="A15" s="411"/>
      <c r="B15" s="412"/>
      <c r="C15" s="413"/>
      <c r="D15" s="417"/>
      <c r="E15" s="418"/>
      <c r="F15" s="418"/>
      <c r="G15" s="418"/>
      <c r="H15" s="419"/>
      <c r="I15" s="427"/>
      <c r="J15" s="428"/>
      <c r="K15" s="140"/>
      <c r="L15" s="424"/>
      <c r="M15" s="425"/>
    </row>
    <row r="16" spans="1:16" s="137" customFormat="1" ht="16.5" customHeight="1" x14ac:dyDescent="0.3">
      <c r="A16" s="225"/>
      <c r="B16" s="226"/>
      <c r="C16" s="227"/>
      <c r="D16" s="417"/>
      <c r="E16" s="418"/>
      <c r="F16" s="418"/>
      <c r="G16" s="418"/>
      <c r="H16" s="419"/>
      <c r="I16" s="228"/>
      <c r="J16" s="229"/>
      <c r="K16" s="141"/>
      <c r="L16" s="424"/>
      <c r="M16" s="425"/>
    </row>
    <row r="17" spans="1:16" s="137" customFormat="1" ht="16.5" customHeight="1" x14ac:dyDescent="0.3">
      <c r="A17" s="225"/>
      <c r="B17" s="226"/>
      <c r="C17" s="227"/>
      <c r="D17" s="417"/>
      <c r="E17" s="418"/>
      <c r="F17" s="418"/>
      <c r="G17" s="418"/>
      <c r="H17" s="419"/>
      <c r="I17" s="228"/>
      <c r="J17" s="229"/>
      <c r="K17" s="141"/>
      <c r="L17" s="424"/>
      <c r="M17" s="425"/>
    </row>
    <row r="18" spans="1:16" s="137" customFormat="1" ht="16.5" customHeight="1" x14ac:dyDescent="0.3">
      <c r="A18" s="225"/>
      <c r="B18" s="226"/>
      <c r="C18" s="227"/>
      <c r="D18" s="417"/>
      <c r="E18" s="418"/>
      <c r="F18" s="418"/>
      <c r="G18" s="418"/>
      <c r="H18" s="419"/>
      <c r="I18" s="228"/>
      <c r="J18" s="229"/>
      <c r="K18" s="141"/>
      <c r="L18" s="424"/>
      <c r="M18" s="425"/>
    </row>
    <row r="19" spans="1:16" s="137" customFormat="1" ht="16.5" x14ac:dyDescent="0.3">
      <c r="A19" s="411"/>
      <c r="B19" s="412"/>
      <c r="C19" s="413"/>
      <c r="D19" s="426"/>
      <c r="E19" s="412"/>
      <c r="F19" s="412"/>
      <c r="G19" s="412"/>
      <c r="H19" s="413"/>
      <c r="I19" s="427"/>
      <c r="J19" s="428"/>
      <c r="K19" s="141"/>
      <c r="L19" s="450"/>
      <c r="M19" s="451"/>
      <c r="P19" s="142">
        <f>SUM(L14)</f>
        <v>888000</v>
      </c>
    </row>
    <row r="20" spans="1:16" s="137" customFormat="1" ht="16.5" x14ac:dyDescent="0.3">
      <c r="A20" s="411"/>
      <c r="B20" s="412"/>
      <c r="C20" s="413"/>
      <c r="D20" s="452" t="s">
        <v>441</v>
      </c>
      <c r="E20" s="453"/>
      <c r="F20" s="453"/>
      <c r="G20" s="453"/>
      <c r="H20" s="454"/>
      <c r="I20" s="427"/>
      <c r="J20" s="428"/>
      <c r="K20" s="141"/>
      <c r="L20" s="455"/>
      <c r="M20" s="456"/>
      <c r="P20" s="142" t="e">
        <f>SUM('[2]ORS (2)'!L14:M14)</f>
        <v>#REF!</v>
      </c>
    </row>
    <row r="21" spans="1:16" s="137" customFormat="1" ht="16.5" x14ac:dyDescent="0.3">
      <c r="A21" s="411"/>
      <c r="B21" s="412"/>
      <c r="C21" s="413"/>
      <c r="D21" s="426"/>
      <c r="E21" s="412"/>
      <c r="F21" s="412"/>
      <c r="G21" s="412"/>
      <c r="H21" s="413"/>
      <c r="I21" s="427"/>
      <c r="J21" s="428"/>
      <c r="K21" s="141"/>
      <c r="L21" s="450"/>
      <c r="M21" s="451"/>
      <c r="P21" s="142" t="e">
        <f>SUM(#REF!)</f>
        <v>#REF!</v>
      </c>
    </row>
    <row r="22" spans="1:16" s="137" customFormat="1" ht="16.5" x14ac:dyDescent="0.3">
      <c r="A22" s="411"/>
      <c r="B22" s="412"/>
      <c r="C22" s="413"/>
      <c r="D22" s="426"/>
      <c r="E22" s="412"/>
      <c r="F22" s="412"/>
      <c r="G22" s="412"/>
      <c r="H22" s="413"/>
      <c r="I22" s="427"/>
      <c r="J22" s="428"/>
      <c r="K22" s="141"/>
      <c r="L22" s="450"/>
      <c r="M22" s="451"/>
      <c r="P22" s="143" t="e">
        <f>SUM(P19:P21)</f>
        <v>#REF!</v>
      </c>
    </row>
    <row r="23" spans="1:16" s="137" customFormat="1" ht="16.5" x14ac:dyDescent="0.3">
      <c r="A23" s="411"/>
      <c r="B23" s="412"/>
      <c r="C23" s="413"/>
      <c r="D23" s="426"/>
      <c r="E23" s="412"/>
      <c r="F23" s="412"/>
      <c r="G23" s="412"/>
      <c r="H23" s="413"/>
      <c r="I23" s="427"/>
      <c r="J23" s="428"/>
      <c r="K23" s="141"/>
      <c r="L23" s="450"/>
      <c r="M23" s="451"/>
    </row>
    <row r="24" spans="1:16" s="137" customFormat="1" ht="16.5" x14ac:dyDescent="0.3">
      <c r="A24" s="411"/>
      <c r="B24" s="412"/>
      <c r="C24" s="413"/>
      <c r="D24" s="426"/>
      <c r="E24" s="412"/>
      <c r="F24" s="412"/>
      <c r="G24" s="412"/>
      <c r="H24" s="413"/>
      <c r="I24" s="427"/>
      <c r="J24" s="428"/>
      <c r="K24" s="141"/>
      <c r="L24" s="450"/>
      <c r="M24" s="451"/>
    </row>
    <row r="25" spans="1:16" s="137" customFormat="1" ht="16.5" x14ac:dyDescent="0.3">
      <c r="A25" s="411"/>
      <c r="B25" s="412"/>
      <c r="C25" s="413"/>
      <c r="D25" s="426"/>
      <c r="E25" s="412"/>
      <c r="F25" s="412"/>
      <c r="G25" s="412"/>
      <c r="H25" s="413"/>
      <c r="I25" s="427"/>
      <c r="J25" s="428"/>
      <c r="K25" s="141"/>
      <c r="L25" s="450"/>
      <c r="M25" s="451"/>
    </row>
    <row r="26" spans="1:16" s="137" customFormat="1" ht="15.75" customHeight="1" x14ac:dyDescent="0.3">
      <c r="A26" s="411"/>
      <c r="B26" s="412"/>
      <c r="C26" s="413"/>
      <c r="D26" s="426"/>
      <c r="E26" s="412"/>
      <c r="F26" s="412"/>
      <c r="G26" s="412"/>
      <c r="H26" s="413"/>
      <c r="I26" s="427"/>
      <c r="J26" s="428"/>
      <c r="K26" s="141"/>
      <c r="L26" s="450"/>
      <c r="M26" s="451"/>
    </row>
    <row r="27" spans="1:16" s="137" customFormat="1" ht="15.75" customHeight="1" x14ac:dyDescent="0.3">
      <c r="A27" s="225"/>
      <c r="B27" s="226"/>
      <c r="C27" s="227"/>
      <c r="D27" s="239"/>
      <c r="E27" s="226"/>
      <c r="F27" s="226"/>
      <c r="G27" s="226"/>
      <c r="H27" s="227"/>
      <c r="I27" s="228"/>
      <c r="J27" s="229"/>
      <c r="K27" s="141"/>
      <c r="L27" s="240"/>
      <c r="M27" s="241"/>
    </row>
    <row r="28" spans="1:16" s="137" customFormat="1" ht="15.75" customHeight="1" x14ac:dyDescent="0.3">
      <c r="A28" s="225"/>
      <c r="B28" s="226"/>
      <c r="C28" s="227"/>
      <c r="D28" s="239"/>
      <c r="E28" s="226"/>
      <c r="F28" s="226"/>
      <c r="G28" s="226"/>
      <c r="H28" s="227"/>
      <c r="I28" s="228"/>
      <c r="J28" s="229"/>
      <c r="K28" s="141"/>
      <c r="L28" s="240"/>
      <c r="M28" s="241"/>
    </row>
    <row r="29" spans="1:16" s="137" customFormat="1" ht="16.5" x14ac:dyDescent="0.3">
      <c r="A29" s="411"/>
      <c r="B29" s="412"/>
      <c r="C29" s="413"/>
      <c r="D29" s="426"/>
      <c r="E29" s="412"/>
      <c r="F29" s="412"/>
      <c r="G29" s="412"/>
      <c r="H29" s="413"/>
      <c r="I29" s="427"/>
      <c r="J29" s="428"/>
      <c r="K29" s="141"/>
      <c r="L29" s="450"/>
      <c r="M29" s="451"/>
    </row>
    <row r="30" spans="1:16" s="137" customFormat="1" ht="16.5" x14ac:dyDescent="0.3">
      <c r="A30" s="411"/>
      <c r="B30" s="412"/>
      <c r="C30" s="413"/>
      <c r="D30" s="426"/>
      <c r="E30" s="412"/>
      <c r="F30" s="412"/>
      <c r="G30" s="412"/>
      <c r="H30" s="413"/>
      <c r="I30" s="427"/>
      <c r="J30" s="428"/>
      <c r="K30" s="141"/>
      <c r="L30" s="450"/>
      <c r="M30" s="451"/>
    </row>
    <row r="31" spans="1:16" s="137" customFormat="1" ht="16.5" x14ac:dyDescent="0.3">
      <c r="A31" s="411"/>
      <c r="B31" s="412"/>
      <c r="C31" s="413"/>
      <c r="D31" s="426"/>
      <c r="E31" s="412"/>
      <c r="F31" s="412"/>
      <c r="G31" s="412"/>
      <c r="H31" s="413"/>
      <c r="I31" s="427"/>
      <c r="J31" s="428"/>
      <c r="K31" s="141"/>
      <c r="L31" s="450"/>
      <c r="M31" s="451"/>
    </row>
    <row r="32" spans="1:16" s="137" customFormat="1" ht="9" customHeight="1" x14ac:dyDescent="0.3">
      <c r="A32" s="411"/>
      <c r="B32" s="412"/>
      <c r="C32" s="413"/>
      <c r="D32" s="426"/>
      <c r="E32" s="412"/>
      <c r="F32" s="412"/>
      <c r="G32" s="412"/>
      <c r="H32" s="413"/>
      <c r="I32" s="427"/>
      <c r="J32" s="428"/>
      <c r="K32" s="141"/>
      <c r="L32" s="450"/>
      <c r="M32" s="451"/>
    </row>
    <row r="33" spans="1:13" s="137" customFormat="1" ht="16.5" x14ac:dyDescent="0.3">
      <c r="A33" s="411"/>
      <c r="B33" s="412"/>
      <c r="C33" s="413"/>
      <c r="D33" s="426"/>
      <c r="E33" s="412"/>
      <c r="F33" s="412"/>
      <c r="G33" s="412"/>
      <c r="H33" s="413"/>
      <c r="I33" s="427"/>
      <c r="J33" s="428"/>
      <c r="K33" s="140"/>
      <c r="L33" s="450"/>
      <c r="M33" s="451"/>
    </row>
    <row r="34" spans="1:13" s="137" customFormat="1" ht="16.5" x14ac:dyDescent="0.3">
      <c r="A34" s="411"/>
      <c r="B34" s="412"/>
      <c r="C34" s="413"/>
      <c r="D34" s="426"/>
      <c r="E34" s="412"/>
      <c r="F34" s="412"/>
      <c r="G34" s="412"/>
      <c r="H34" s="413"/>
      <c r="I34" s="427"/>
      <c r="J34" s="428"/>
      <c r="K34" s="140"/>
      <c r="L34" s="450"/>
      <c r="M34" s="451"/>
    </row>
    <row r="35" spans="1:13" s="137" customFormat="1" ht="16.5" x14ac:dyDescent="0.3">
      <c r="A35" s="411"/>
      <c r="B35" s="412"/>
      <c r="C35" s="413"/>
      <c r="D35" s="426"/>
      <c r="E35" s="412"/>
      <c r="F35" s="412"/>
      <c r="G35" s="412"/>
      <c r="H35" s="413"/>
      <c r="I35" s="427"/>
      <c r="J35" s="428"/>
      <c r="K35" s="140"/>
      <c r="L35" s="450"/>
      <c r="M35" s="451"/>
    </row>
    <row r="36" spans="1:13" s="137" customFormat="1" ht="16.5" x14ac:dyDescent="0.3">
      <c r="A36" s="411"/>
      <c r="B36" s="412"/>
      <c r="C36" s="413"/>
      <c r="D36" s="426"/>
      <c r="E36" s="412"/>
      <c r="F36" s="412"/>
      <c r="G36" s="412"/>
      <c r="H36" s="413"/>
      <c r="I36" s="427"/>
      <c r="J36" s="428"/>
      <c r="K36" s="140"/>
      <c r="L36" s="450"/>
      <c r="M36" s="451"/>
    </row>
    <row r="37" spans="1:13" s="137" customFormat="1" ht="16.5" x14ac:dyDescent="0.3">
      <c r="A37" s="411"/>
      <c r="B37" s="412"/>
      <c r="C37" s="413"/>
      <c r="D37" s="426"/>
      <c r="E37" s="412"/>
      <c r="F37" s="412"/>
      <c r="G37" s="412"/>
      <c r="H37" s="413"/>
      <c r="I37" s="427"/>
      <c r="J37" s="428"/>
      <c r="K37" s="140"/>
      <c r="L37" s="450"/>
      <c r="M37" s="451"/>
    </row>
    <row r="38" spans="1:13" s="137" customFormat="1" ht="16.5" x14ac:dyDescent="0.3">
      <c r="A38" s="411"/>
      <c r="B38" s="412"/>
      <c r="C38" s="413"/>
      <c r="D38" s="426"/>
      <c r="E38" s="412"/>
      <c r="F38" s="412"/>
      <c r="G38" s="412"/>
      <c r="H38" s="413"/>
      <c r="I38" s="427"/>
      <c r="J38" s="428"/>
      <c r="K38" s="140"/>
      <c r="L38" s="450"/>
      <c r="M38" s="451"/>
    </row>
    <row r="39" spans="1:13" s="137" customFormat="1" ht="19.5" thickBot="1" x14ac:dyDescent="0.35">
      <c r="A39" s="457"/>
      <c r="B39" s="458"/>
      <c r="C39" s="459"/>
      <c r="D39" s="460" t="s">
        <v>150</v>
      </c>
      <c r="E39" s="461"/>
      <c r="F39" s="461"/>
      <c r="G39" s="461"/>
      <c r="H39" s="462"/>
      <c r="I39" s="463"/>
      <c r="J39" s="464"/>
      <c r="K39" s="144"/>
      <c r="L39" s="465">
        <f>L14</f>
        <v>888000</v>
      </c>
      <c r="M39" s="466"/>
    </row>
    <row r="40" spans="1:13" s="137" customFormat="1" ht="15" x14ac:dyDescent="0.25">
      <c r="A40" s="467" t="s">
        <v>151</v>
      </c>
      <c r="B40" s="145"/>
      <c r="C40" s="136"/>
      <c r="D40" s="469" t="s">
        <v>152</v>
      </c>
      <c r="E40" s="470"/>
      <c r="F40" s="470"/>
      <c r="G40" s="470"/>
      <c r="H40" s="471"/>
      <c r="I40" s="472" t="s">
        <v>153</v>
      </c>
      <c r="J40" s="146"/>
      <c r="K40" s="136"/>
      <c r="L40" s="136"/>
      <c r="M40" s="147"/>
    </row>
    <row r="41" spans="1:13" s="137" customFormat="1" ht="15" x14ac:dyDescent="0.25">
      <c r="A41" s="468"/>
      <c r="B41" s="473" t="s">
        <v>154</v>
      </c>
      <c r="C41" s="474"/>
      <c r="D41" s="470"/>
      <c r="E41" s="470"/>
      <c r="F41" s="470"/>
      <c r="G41" s="470"/>
      <c r="H41" s="471"/>
      <c r="I41" s="472"/>
      <c r="J41" s="148" t="s">
        <v>155</v>
      </c>
      <c r="K41" s="136"/>
      <c r="L41" s="136"/>
      <c r="M41" s="147"/>
    </row>
    <row r="42" spans="1:13" s="137" customFormat="1" ht="15" x14ac:dyDescent="0.25">
      <c r="A42" s="149"/>
      <c r="B42" s="485" t="s">
        <v>156</v>
      </c>
      <c r="C42" s="485"/>
      <c r="D42" s="485"/>
      <c r="E42" s="485"/>
      <c r="F42" s="485"/>
      <c r="G42" s="485"/>
      <c r="H42" s="486"/>
      <c r="I42" s="150"/>
      <c r="J42" s="136" t="s">
        <v>157</v>
      </c>
      <c r="K42" s="136"/>
      <c r="L42" s="136"/>
      <c r="M42" s="147"/>
    </row>
    <row r="43" spans="1:13" s="137" customFormat="1" ht="15" x14ac:dyDescent="0.25">
      <c r="A43" s="487"/>
      <c r="B43" s="136" t="s">
        <v>158</v>
      </c>
      <c r="C43" s="136"/>
      <c r="D43" s="136"/>
      <c r="E43" s="136"/>
      <c r="F43" s="136"/>
      <c r="G43" s="136"/>
      <c r="H43" s="147"/>
      <c r="I43" s="136"/>
      <c r="J43" s="136" t="s">
        <v>159</v>
      </c>
      <c r="K43" s="136"/>
      <c r="L43" s="136"/>
      <c r="M43" s="147"/>
    </row>
    <row r="44" spans="1:13" s="137" customFormat="1" ht="15" x14ac:dyDescent="0.25">
      <c r="A44" s="487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224"/>
      <c r="B45" s="151"/>
      <c r="C45" s="151"/>
      <c r="D45" s="151"/>
      <c r="E45" s="151"/>
      <c r="F45" s="151"/>
      <c r="G45" s="136"/>
      <c r="H45" s="147"/>
      <c r="I45" s="136"/>
      <c r="J45" s="136"/>
      <c r="K45" s="136"/>
      <c r="L45" s="136"/>
      <c r="M45" s="147"/>
    </row>
    <row r="46" spans="1:13" s="137" customFormat="1" ht="15" x14ac:dyDescent="0.25">
      <c r="A46" s="224"/>
      <c r="B46" s="136"/>
      <c r="C46" s="136"/>
      <c r="D46" s="136"/>
      <c r="E46" s="136"/>
      <c r="F46" s="136"/>
      <c r="G46" s="136"/>
      <c r="H46" s="147"/>
      <c r="I46" s="136"/>
      <c r="J46" s="136"/>
      <c r="K46" s="136"/>
      <c r="L46" s="136"/>
      <c r="M46" s="147"/>
    </row>
    <row r="47" spans="1:13" s="137" customFormat="1" ht="15" x14ac:dyDescent="0.25">
      <c r="A47" s="475" t="s">
        <v>160</v>
      </c>
      <c r="B47" s="476"/>
      <c r="C47" s="488" t="s">
        <v>161</v>
      </c>
      <c r="D47" s="488"/>
      <c r="E47" s="488"/>
      <c r="F47" s="488"/>
      <c r="G47" s="488"/>
      <c r="H47" s="489"/>
      <c r="I47" s="136" t="s">
        <v>162</v>
      </c>
      <c r="J47" s="136"/>
      <c r="K47" s="152"/>
      <c r="L47" s="153"/>
      <c r="M47" s="154"/>
    </row>
    <row r="48" spans="1:13" s="137" customFormat="1" ht="19.5" customHeight="1" x14ac:dyDescent="0.25">
      <c r="A48" s="490" t="s">
        <v>163</v>
      </c>
      <c r="B48" s="469"/>
      <c r="C48" s="469"/>
      <c r="D48" s="469"/>
      <c r="E48" s="469"/>
      <c r="F48" s="469"/>
      <c r="G48" s="469"/>
      <c r="H48" s="484"/>
      <c r="I48" s="136" t="s">
        <v>164</v>
      </c>
      <c r="J48" s="136"/>
      <c r="K48" s="491" t="s">
        <v>165</v>
      </c>
      <c r="L48" s="491"/>
      <c r="M48" s="492"/>
    </row>
    <row r="49" spans="1:13" s="137" customFormat="1" ht="15" x14ac:dyDescent="0.25">
      <c r="A49" s="475" t="s">
        <v>166</v>
      </c>
      <c r="B49" s="476"/>
      <c r="C49" s="477" t="s">
        <v>191</v>
      </c>
      <c r="D49" s="477"/>
      <c r="E49" s="477"/>
      <c r="F49" s="477"/>
      <c r="G49" s="477"/>
      <c r="H49" s="478"/>
      <c r="I49" s="136" t="s">
        <v>166</v>
      </c>
      <c r="J49" s="136"/>
      <c r="K49" s="479" t="s">
        <v>130</v>
      </c>
      <c r="L49" s="479"/>
      <c r="M49" s="480"/>
    </row>
    <row r="50" spans="1:13" s="137" customFormat="1" ht="15" x14ac:dyDescent="0.25">
      <c r="A50" s="155"/>
      <c r="B50" s="156"/>
      <c r="C50" s="476" t="s">
        <v>167</v>
      </c>
      <c r="D50" s="476"/>
      <c r="E50" s="476"/>
      <c r="F50" s="476"/>
      <c r="G50" s="476"/>
      <c r="H50" s="481"/>
      <c r="I50" s="136"/>
      <c r="J50" s="136"/>
      <c r="K50" s="482" t="s">
        <v>168</v>
      </c>
      <c r="L50" s="482"/>
      <c r="M50" s="483"/>
    </row>
    <row r="51" spans="1:13" s="137" customFormat="1" ht="15" x14ac:dyDescent="0.25">
      <c r="A51" s="408" t="s">
        <v>169</v>
      </c>
      <c r="B51" s="409"/>
      <c r="C51" s="469" t="s">
        <v>161</v>
      </c>
      <c r="D51" s="469"/>
      <c r="E51" s="469"/>
      <c r="F51" s="469"/>
      <c r="G51" s="469"/>
      <c r="H51" s="484"/>
      <c r="I51" s="136" t="s">
        <v>170</v>
      </c>
      <c r="J51" s="136"/>
      <c r="K51" s="136" t="s">
        <v>171</v>
      </c>
      <c r="L51" s="136"/>
      <c r="M51" s="147"/>
    </row>
    <row r="52" spans="1:13" s="137" customFormat="1" ht="15.75" thickBot="1" x14ac:dyDescent="0.3">
      <c r="A52" s="157"/>
      <c r="B52" s="158"/>
      <c r="C52" s="158"/>
      <c r="D52" s="158"/>
      <c r="E52" s="158"/>
      <c r="F52" s="158"/>
      <c r="G52" s="158"/>
      <c r="H52" s="159"/>
      <c r="I52" s="160"/>
      <c r="J52" s="160"/>
      <c r="K52" s="160"/>
      <c r="L52" s="160"/>
      <c r="M52" s="161"/>
    </row>
    <row r="53" spans="1:13" s="137" customFormat="1" ht="15.75" thickBot="1" x14ac:dyDescent="0.3">
      <c r="A53" s="162"/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s="137" customFormat="1" ht="15" thickBot="1" x14ac:dyDescent="0.25">
      <c r="A54" s="166" t="s">
        <v>172</v>
      </c>
      <c r="B54" s="498" t="s">
        <v>173</v>
      </c>
      <c r="C54" s="499"/>
      <c r="D54" s="499"/>
      <c r="E54" s="499"/>
      <c r="F54" s="499"/>
      <c r="G54" s="499"/>
      <c r="H54" s="499"/>
      <c r="I54" s="499"/>
      <c r="J54" s="499"/>
      <c r="K54" s="499"/>
      <c r="L54" s="499"/>
      <c r="M54" s="500"/>
    </row>
    <row r="55" spans="1:13" s="137" customFormat="1" ht="15" thickBot="1" x14ac:dyDescent="0.25">
      <c r="A55" s="501" t="s">
        <v>174</v>
      </c>
      <c r="B55" s="499"/>
      <c r="C55" s="499"/>
      <c r="D55" s="499"/>
      <c r="E55" s="499"/>
      <c r="F55" s="499"/>
      <c r="G55" s="500"/>
      <c r="H55" s="501" t="s">
        <v>147</v>
      </c>
      <c r="I55" s="499"/>
      <c r="J55" s="499"/>
      <c r="K55" s="499"/>
      <c r="L55" s="499"/>
      <c r="M55" s="500"/>
    </row>
    <row r="56" spans="1:13" s="137" customFormat="1" ht="15" x14ac:dyDescent="0.25">
      <c r="A56" s="502" t="s">
        <v>129</v>
      </c>
      <c r="B56" s="504" t="s">
        <v>144</v>
      </c>
      <c r="C56" s="505"/>
      <c r="D56" s="505"/>
      <c r="E56" s="508" t="s">
        <v>175</v>
      </c>
      <c r="F56" s="476"/>
      <c r="G56" s="481"/>
      <c r="H56" s="502" t="s">
        <v>176</v>
      </c>
      <c r="I56" s="512" t="s">
        <v>177</v>
      </c>
      <c r="J56" s="513"/>
      <c r="K56" s="514" t="s">
        <v>178</v>
      </c>
      <c r="L56" s="515" t="s">
        <v>179</v>
      </c>
      <c r="M56" s="516"/>
    </row>
    <row r="57" spans="1:13" s="137" customFormat="1" ht="30.75" thickBot="1" x14ac:dyDescent="0.25">
      <c r="A57" s="502"/>
      <c r="B57" s="504"/>
      <c r="C57" s="505"/>
      <c r="D57" s="505"/>
      <c r="E57" s="508"/>
      <c r="F57" s="476"/>
      <c r="G57" s="481"/>
      <c r="H57" s="502"/>
      <c r="I57" s="512"/>
      <c r="J57" s="513"/>
      <c r="K57" s="514"/>
      <c r="L57" s="223" t="s">
        <v>180</v>
      </c>
      <c r="M57" s="167" t="s">
        <v>181</v>
      </c>
    </row>
    <row r="58" spans="1:13" s="137" customFormat="1" ht="15.75" thickBot="1" x14ac:dyDescent="0.3">
      <c r="A58" s="503"/>
      <c r="B58" s="506"/>
      <c r="C58" s="507"/>
      <c r="D58" s="507"/>
      <c r="E58" s="509"/>
      <c r="F58" s="510"/>
      <c r="G58" s="511"/>
      <c r="H58" s="168" t="s">
        <v>182</v>
      </c>
      <c r="I58" s="493" t="s">
        <v>183</v>
      </c>
      <c r="J58" s="494"/>
      <c r="K58" s="169" t="s">
        <v>184</v>
      </c>
      <c r="L58" s="170" t="s">
        <v>185</v>
      </c>
      <c r="M58" s="171" t="s">
        <v>186</v>
      </c>
    </row>
    <row r="59" spans="1:13" s="137" customFormat="1" ht="15" x14ac:dyDescent="0.25">
      <c r="A59" s="172"/>
      <c r="B59" s="173"/>
      <c r="C59" s="136"/>
      <c r="D59" s="174"/>
      <c r="E59" s="175"/>
      <c r="F59" s="136"/>
      <c r="G59" s="147"/>
      <c r="H59" s="176"/>
      <c r="I59" s="177"/>
      <c r="J59" s="174"/>
      <c r="K59" s="178"/>
      <c r="L59" s="179"/>
      <c r="M59" s="180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79"/>
      <c r="M60" s="185"/>
    </row>
    <row r="61" spans="1:13" s="137" customFormat="1" ht="15" x14ac:dyDescent="0.25">
      <c r="A61" s="172"/>
      <c r="B61" s="181"/>
      <c r="C61" s="136"/>
      <c r="D61" s="174"/>
      <c r="E61" s="495"/>
      <c r="F61" s="496"/>
      <c r="G61" s="497"/>
      <c r="H61" s="182"/>
      <c r="I61" s="183"/>
      <c r="J61" s="184"/>
      <c r="K61" s="179"/>
      <c r="L61" s="179"/>
      <c r="M61" s="185"/>
    </row>
    <row r="62" spans="1:13" s="137" customFormat="1" ht="15" x14ac:dyDescent="0.25">
      <c r="A62" s="172"/>
      <c r="B62" s="181"/>
      <c r="C62" s="136"/>
      <c r="D62" s="174"/>
      <c r="E62" s="175"/>
      <c r="F62" s="136"/>
      <c r="G62" s="147"/>
      <c r="H62" s="182"/>
      <c r="I62" s="183"/>
      <c r="J62" s="184"/>
      <c r="K62" s="179"/>
      <c r="L62" s="186"/>
      <c r="M62" s="185"/>
    </row>
    <row r="63" spans="1:13" s="137" customFormat="1" ht="15" x14ac:dyDescent="0.25">
      <c r="A63" s="187"/>
      <c r="B63" s="181"/>
      <c r="C63" s="136"/>
      <c r="D63" s="174"/>
      <c r="E63" s="177"/>
      <c r="F63" s="136"/>
      <c r="G63" s="147"/>
      <c r="H63" s="182"/>
      <c r="I63" s="177"/>
      <c r="J63" s="174"/>
      <c r="K63" s="178"/>
      <c r="L63" s="178"/>
      <c r="M63" s="147"/>
    </row>
    <row r="64" spans="1:13" s="137" customFormat="1" ht="15" x14ac:dyDescent="0.25">
      <c r="A64" s="187"/>
      <c r="B64" s="181"/>
      <c r="C64" s="136"/>
      <c r="D64" s="174"/>
      <c r="E64" s="177"/>
      <c r="F64" s="136"/>
      <c r="G64" s="147"/>
      <c r="H64" s="182"/>
      <c r="I64" s="177"/>
      <c r="J64" s="174"/>
      <c r="K64" s="178"/>
      <c r="L64" s="178"/>
      <c r="M64" s="147"/>
    </row>
    <row r="65" spans="1:13" s="137" customFormat="1" ht="13.5" thickBot="1" x14ac:dyDescent="0.25">
      <c r="A65" s="188"/>
      <c r="B65" s="189"/>
      <c r="C65" s="190"/>
      <c r="D65" s="191"/>
      <c r="E65" s="192"/>
      <c r="F65" s="190"/>
      <c r="G65" s="193"/>
      <c r="H65" s="194"/>
      <c r="I65" s="192"/>
      <c r="J65" s="191"/>
      <c r="K65" s="195"/>
      <c r="L65" s="195"/>
      <c r="M65" s="193"/>
    </row>
  </sheetData>
  <mergeCells count="131">
    <mergeCell ref="I58:J58"/>
    <mergeCell ref="E61:G61"/>
    <mergeCell ref="B54:M54"/>
    <mergeCell ref="A55:G55"/>
    <mergeCell ref="H55:M55"/>
    <mergeCell ref="A56:A58"/>
    <mergeCell ref="B56:D58"/>
    <mergeCell ref="E56:G58"/>
    <mergeCell ref="H56:H57"/>
    <mergeCell ref="I56:J57"/>
    <mergeCell ref="K56:K57"/>
    <mergeCell ref="L56:M56"/>
    <mergeCell ref="A49:B49"/>
    <mergeCell ref="C49:H49"/>
    <mergeCell ref="K49:M49"/>
    <mergeCell ref="C50:H50"/>
    <mergeCell ref="K50:M50"/>
    <mergeCell ref="A51:B51"/>
    <mergeCell ref="C51:H51"/>
    <mergeCell ref="B42:H42"/>
    <mergeCell ref="A43:A44"/>
    <mergeCell ref="A47:B47"/>
    <mergeCell ref="C47:H47"/>
    <mergeCell ref="A48:H48"/>
    <mergeCell ref="K48:M48"/>
    <mergeCell ref="A39:C39"/>
    <mergeCell ref="D39:H39"/>
    <mergeCell ref="I39:J39"/>
    <mergeCell ref="L39:M39"/>
    <mergeCell ref="A40:A41"/>
    <mergeCell ref="D40:H41"/>
    <mergeCell ref="I40:I41"/>
    <mergeCell ref="B41:C41"/>
    <mergeCell ref="A37:C37"/>
    <mergeCell ref="D37:H37"/>
    <mergeCell ref="I37:J37"/>
    <mergeCell ref="L37:M37"/>
    <mergeCell ref="A38:C38"/>
    <mergeCell ref="D38:H38"/>
    <mergeCell ref="I38:J38"/>
    <mergeCell ref="L38:M38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5" right="0.25" top="0.25" bottom="0.25" header="0.3" footer="0.3"/>
  <pageSetup paperSize="9" scale="80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65"/>
  <sheetViews>
    <sheetView tabSelected="1" topLeftCell="A22" workbookViewId="0">
      <selection activeCell="L14" sqref="L14:M18"/>
    </sheetView>
  </sheetViews>
  <sheetFormatPr defaultRowHeight="12.75" x14ac:dyDescent="0.2"/>
  <cols>
    <col min="3" max="3" width="4.5703125" customWidth="1"/>
    <col min="8" max="8" width="6.28515625" customWidth="1"/>
    <col min="10" max="10" width="7.7109375" customWidth="1"/>
    <col min="11" max="11" width="13.5703125" customWidth="1"/>
    <col min="12" max="12" width="11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397" t="s">
        <v>134</v>
      </c>
      <c r="M1" s="397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398"/>
      <c r="M2" s="398"/>
    </row>
    <row r="3" spans="1:16" s="137" customFormat="1" ht="18.75" customHeight="1" x14ac:dyDescent="0.25">
      <c r="A3" s="399" t="s">
        <v>135</v>
      </c>
      <c r="B3" s="400"/>
      <c r="C3" s="400"/>
      <c r="D3" s="400"/>
      <c r="E3" s="400"/>
      <c r="F3" s="400"/>
      <c r="G3" s="400"/>
      <c r="H3" s="400"/>
      <c r="I3" s="400"/>
      <c r="J3" s="401"/>
      <c r="K3" s="402" t="s">
        <v>136</v>
      </c>
      <c r="L3" s="403"/>
      <c r="M3" s="404"/>
    </row>
    <row r="4" spans="1:16" s="137" customFormat="1" ht="26.25" customHeight="1" x14ac:dyDescent="0.25">
      <c r="A4" s="405" t="s">
        <v>106</v>
      </c>
      <c r="B4" s="406"/>
      <c r="C4" s="406"/>
      <c r="D4" s="406"/>
      <c r="E4" s="406"/>
      <c r="F4" s="406"/>
      <c r="G4" s="406"/>
      <c r="H4" s="406"/>
      <c r="I4" s="406"/>
      <c r="J4" s="407"/>
      <c r="K4" s="517" t="s">
        <v>137</v>
      </c>
      <c r="L4" s="518"/>
      <c r="M4" s="519"/>
    </row>
    <row r="5" spans="1:16" s="137" customFormat="1" ht="15.75" thickBot="1" x14ac:dyDescent="0.25">
      <c r="A5" s="370" t="s">
        <v>138</v>
      </c>
      <c r="B5" s="371"/>
      <c r="C5" s="371"/>
      <c r="D5" s="371"/>
      <c r="E5" s="371"/>
      <c r="F5" s="371"/>
      <c r="G5" s="371"/>
      <c r="H5" s="371"/>
      <c r="I5" s="371"/>
      <c r="J5" s="372"/>
      <c r="K5" s="373" t="s">
        <v>139</v>
      </c>
      <c r="L5" s="374"/>
      <c r="M5" s="375"/>
    </row>
    <row r="6" spans="1:16" s="137" customFormat="1" ht="12.75" customHeight="1" x14ac:dyDescent="0.2">
      <c r="A6" s="376" t="s">
        <v>140</v>
      </c>
      <c r="B6" s="377"/>
      <c r="C6" s="378"/>
      <c r="D6" s="382" t="s">
        <v>463</v>
      </c>
      <c r="E6" s="383"/>
      <c r="F6" s="383"/>
      <c r="G6" s="383"/>
      <c r="H6" s="383"/>
      <c r="I6" s="383"/>
      <c r="J6" s="383"/>
      <c r="K6" s="383"/>
      <c r="L6" s="383"/>
      <c r="M6" s="384"/>
    </row>
    <row r="7" spans="1:16" s="137" customFormat="1" ht="12.75" customHeight="1" x14ac:dyDescent="0.2">
      <c r="A7" s="379"/>
      <c r="B7" s="380"/>
      <c r="C7" s="381"/>
      <c r="D7" s="385"/>
      <c r="E7" s="386"/>
      <c r="F7" s="386"/>
      <c r="G7" s="386"/>
      <c r="H7" s="386"/>
      <c r="I7" s="386"/>
      <c r="J7" s="386"/>
      <c r="K7" s="386"/>
      <c r="L7" s="386"/>
      <c r="M7" s="387"/>
    </row>
    <row r="8" spans="1:16" s="137" customFormat="1" x14ac:dyDescent="0.2">
      <c r="A8" s="388" t="s">
        <v>141</v>
      </c>
      <c r="B8" s="389"/>
      <c r="C8" s="390"/>
      <c r="D8" s="391" t="s">
        <v>236</v>
      </c>
      <c r="E8" s="392"/>
      <c r="F8" s="392"/>
      <c r="G8" s="392"/>
      <c r="H8" s="392"/>
      <c r="I8" s="392"/>
      <c r="J8" s="392"/>
      <c r="K8" s="392"/>
      <c r="L8" s="392"/>
      <c r="M8" s="393"/>
    </row>
    <row r="9" spans="1:16" s="137" customFormat="1" x14ac:dyDescent="0.2">
      <c r="A9" s="379"/>
      <c r="B9" s="380"/>
      <c r="C9" s="381"/>
      <c r="D9" s="394"/>
      <c r="E9" s="395"/>
      <c r="F9" s="395"/>
      <c r="G9" s="395"/>
      <c r="H9" s="395"/>
      <c r="I9" s="395"/>
      <c r="J9" s="395"/>
      <c r="K9" s="395"/>
      <c r="L9" s="395"/>
      <c r="M9" s="396"/>
    </row>
    <row r="10" spans="1:16" s="137" customFormat="1" x14ac:dyDescent="0.2">
      <c r="A10" s="388" t="s">
        <v>142</v>
      </c>
      <c r="B10" s="389"/>
      <c r="C10" s="390"/>
      <c r="D10" s="391" t="s">
        <v>217</v>
      </c>
      <c r="E10" s="392"/>
      <c r="F10" s="392"/>
      <c r="G10" s="392"/>
      <c r="H10" s="392"/>
      <c r="I10" s="392"/>
      <c r="J10" s="392"/>
      <c r="K10" s="392"/>
      <c r="L10" s="392"/>
      <c r="M10" s="393"/>
    </row>
    <row r="11" spans="1:16" s="137" customFormat="1" ht="13.5" thickBot="1" x14ac:dyDescent="0.25">
      <c r="A11" s="429"/>
      <c r="B11" s="430"/>
      <c r="C11" s="431"/>
      <c r="D11" s="432"/>
      <c r="E11" s="433"/>
      <c r="F11" s="433"/>
      <c r="G11" s="433"/>
      <c r="H11" s="433"/>
      <c r="I11" s="433"/>
      <c r="J11" s="433"/>
      <c r="K11" s="433"/>
      <c r="L11" s="433"/>
      <c r="M11" s="434"/>
    </row>
    <row r="12" spans="1:16" s="137" customFormat="1" x14ac:dyDescent="0.2">
      <c r="A12" s="376" t="s">
        <v>143</v>
      </c>
      <c r="B12" s="377"/>
      <c r="C12" s="378"/>
      <c r="D12" s="435" t="s">
        <v>144</v>
      </c>
      <c r="E12" s="436"/>
      <c r="F12" s="436"/>
      <c r="G12" s="436"/>
      <c r="H12" s="437"/>
      <c r="I12" s="441" t="s">
        <v>145</v>
      </c>
      <c r="J12" s="442"/>
      <c r="K12" s="445" t="s">
        <v>146</v>
      </c>
      <c r="L12" s="435" t="s">
        <v>147</v>
      </c>
      <c r="M12" s="447"/>
    </row>
    <row r="13" spans="1:16" s="137" customFormat="1" ht="27.75" customHeight="1" thickBot="1" x14ac:dyDescent="0.25">
      <c r="A13" s="429"/>
      <c r="B13" s="430"/>
      <c r="C13" s="431"/>
      <c r="D13" s="438"/>
      <c r="E13" s="439"/>
      <c r="F13" s="439"/>
      <c r="G13" s="439"/>
      <c r="H13" s="440"/>
      <c r="I13" s="443"/>
      <c r="J13" s="444"/>
      <c r="K13" s="446"/>
      <c r="L13" s="448"/>
      <c r="M13" s="449"/>
      <c r="P13" s="138" t="s">
        <v>148</v>
      </c>
    </row>
    <row r="14" spans="1:16" s="137" customFormat="1" ht="16.5" customHeight="1" x14ac:dyDescent="0.25">
      <c r="A14" s="411"/>
      <c r="B14" s="412"/>
      <c r="C14" s="413"/>
      <c r="D14" s="414" t="s">
        <v>471</v>
      </c>
      <c r="E14" s="415"/>
      <c r="F14" s="415"/>
      <c r="G14" s="415"/>
      <c r="H14" s="416"/>
      <c r="I14" s="420"/>
      <c r="J14" s="421"/>
      <c r="K14" s="139"/>
      <c r="L14" s="422">
        <v>457041.25</v>
      </c>
      <c r="M14" s="423"/>
      <c r="O14" s="426" t="s">
        <v>149</v>
      </c>
      <c r="P14" s="413"/>
    </row>
    <row r="15" spans="1:16" s="137" customFormat="1" ht="16.5" x14ac:dyDescent="0.3">
      <c r="A15" s="411"/>
      <c r="B15" s="412"/>
      <c r="C15" s="413"/>
      <c r="D15" s="417"/>
      <c r="E15" s="418"/>
      <c r="F15" s="418"/>
      <c r="G15" s="418"/>
      <c r="H15" s="419"/>
      <c r="I15" s="427"/>
      <c r="J15" s="428"/>
      <c r="K15" s="140"/>
      <c r="L15" s="424"/>
      <c r="M15" s="425"/>
    </row>
    <row r="16" spans="1:16" s="137" customFormat="1" ht="16.5" x14ac:dyDescent="0.3">
      <c r="A16" s="225"/>
      <c r="B16" s="226"/>
      <c r="C16" s="227"/>
      <c r="D16" s="417"/>
      <c r="E16" s="418"/>
      <c r="F16" s="418"/>
      <c r="G16" s="418"/>
      <c r="H16" s="419"/>
      <c r="I16" s="228"/>
      <c r="J16" s="229"/>
      <c r="K16" s="141"/>
      <c r="L16" s="424"/>
      <c r="M16" s="425"/>
    </row>
    <row r="17" spans="1:16" s="137" customFormat="1" ht="16.5" x14ac:dyDescent="0.3">
      <c r="A17" s="225"/>
      <c r="B17" s="226"/>
      <c r="C17" s="227"/>
      <c r="D17" s="417"/>
      <c r="E17" s="418"/>
      <c r="F17" s="418"/>
      <c r="G17" s="418"/>
      <c r="H17" s="419"/>
      <c r="I17" s="228"/>
      <c r="J17" s="229"/>
      <c r="K17" s="141"/>
      <c r="L17" s="424"/>
      <c r="M17" s="425"/>
    </row>
    <row r="18" spans="1:16" s="137" customFormat="1" ht="16.5" x14ac:dyDescent="0.3">
      <c r="A18" s="225"/>
      <c r="B18" s="226"/>
      <c r="C18" s="227"/>
      <c r="D18" s="417"/>
      <c r="E18" s="418"/>
      <c r="F18" s="418"/>
      <c r="G18" s="418"/>
      <c r="H18" s="419"/>
      <c r="I18" s="228"/>
      <c r="J18" s="229"/>
      <c r="K18" s="141"/>
      <c r="L18" s="424"/>
      <c r="M18" s="425"/>
    </row>
    <row r="19" spans="1:16" s="137" customFormat="1" ht="16.5" x14ac:dyDescent="0.3">
      <c r="A19" s="411"/>
      <c r="B19" s="412"/>
      <c r="C19" s="413"/>
      <c r="D19" s="426"/>
      <c r="E19" s="412"/>
      <c r="F19" s="412"/>
      <c r="G19" s="412"/>
      <c r="H19" s="413"/>
      <c r="I19" s="427"/>
      <c r="J19" s="428"/>
      <c r="K19" s="141"/>
      <c r="L19" s="450"/>
      <c r="M19" s="451"/>
      <c r="P19" s="142">
        <f>SUM(L14)</f>
        <v>457041.25</v>
      </c>
    </row>
    <row r="20" spans="1:16" s="137" customFormat="1" ht="16.5" x14ac:dyDescent="0.3">
      <c r="A20" s="411"/>
      <c r="B20" s="412"/>
      <c r="C20" s="413"/>
      <c r="D20" s="520" t="s">
        <v>423</v>
      </c>
      <c r="E20" s="521"/>
      <c r="F20" s="521"/>
      <c r="G20" s="521"/>
      <c r="H20" s="522"/>
      <c r="I20" s="427"/>
      <c r="J20" s="428"/>
      <c r="K20" s="141"/>
      <c r="L20" s="455"/>
      <c r="M20" s="456"/>
      <c r="P20" s="142" t="e">
        <f>SUM('[2]ORS (2)'!L14:M14)</f>
        <v>#REF!</v>
      </c>
    </row>
    <row r="21" spans="1:16" s="137" customFormat="1" ht="16.5" x14ac:dyDescent="0.3">
      <c r="A21" s="411"/>
      <c r="B21" s="412"/>
      <c r="C21" s="413"/>
      <c r="D21" s="520" t="s">
        <v>195</v>
      </c>
      <c r="E21" s="521"/>
      <c r="F21" s="521"/>
      <c r="G21" s="521"/>
      <c r="H21" s="522"/>
      <c r="I21" s="427"/>
      <c r="J21" s="428"/>
      <c r="K21" s="141"/>
      <c r="L21" s="450"/>
      <c r="M21" s="451"/>
      <c r="P21" s="142" t="e">
        <f>SUM(#REF!)</f>
        <v>#REF!</v>
      </c>
    </row>
    <row r="22" spans="1:16" s="137" customFormat="1" ht="16.5" x14ac:dyDescent="0.3">
      <c r="A22" s="411"/>
      <c r="B22" s="412"/>
      <c r="C22" s="413"/>
      <c r="D22" s="426"/>
      <c r="E22" s="412"/>
      <c r="F22" s="412"/>
      <c r="G22" s="412"/>
      <c r="H22" s="413"/>
      <c r="I22" s="427"/>
      <c r="J22" s="428"/>
      <c r="K22" s="141"/>
      <c r="L22" s="450"/>
      <c r="M22" s="451"/>
      <c r="P22" s="143" t="e">
        <f>SUM(P19:P21)</f>
        <v>#REF!</v>
      </c>
    </row>
    <row r="23" spans="1:16" s="137" customFormat="1" ht="16.5" x14ac:dyDescent="0.3">
      <c r="A23" s="411"/>
      <c r="B23" s="412"/>
      <c r="C23" s="413"/>
      <c r="D23" s="426"/>
      <c r="E23" s="412"/>
      <c r="F23" s="412"/>
      <c r="G23" s="412"/>
      <c r="H23" s="413"/>
      <c r="I23" s="427"/>
      <c r="J23" s="428"/>
      <c r="K23" s="141"/>
      <c r="L23" s="450"/>
      <c r="M23" s="451"/>
    </row>
    <row r="24" spans="1:16" s="137" customFormat="1" ht="16.5" x14ac:dyDescent="0.3">
      <c r="A24" s="411"/>
      <c r="B24" s="412"/>
      <c r="C24" s="413"/>
      <c r="D24" s="426"/>
      <c r="E24" s="412"/>
      <c r="F24" s="412"/>
      <c r="G24" s="412"/>
      <c r="H24" s="413"/>
      <c r="I24" s="427"/>
      <c r="J24" s="428"/>
      <c r="K24" s="141"/>
      <c r="L24" s="450"/>
      <c r="M24" s="451"/>
    </row>
    <row r="25" spans="1:16" s="137" customFormat="1" ht="16.5" x14ac:dyDescent="0.3">
      <c r="A25" s="411"/>
      <c r="B25" s="412"/>
      <c r="C25" s="413"/>
      <c r="D25" s="426"/>
      <c r="E25" s="412"/>
      <c r="F25" s="412"/>
      <c r="G25" s="412"/>
      <c r="H25" s="413"/>
      <c r="I25" s="427"/>
      <c r="J25" s="428"/>
      <c r="K25" s="141"/>
      <c r="L25" s="450"/>
      <c r="M25" s="451"/>
    </row>
    <row r="26" spans="1:16" s="137" customFormat="1" ht="15.75" customHeight="1" x14ac:dyDescent="0.3">
      <c r="A26" s="411"/>
      <c r="B26" s="412"/>
      <c r="C26" s="413"/>
      <c r="D26" s="426"/>
      <c r="E26" s="412"/>
      <c r="F26" s="412"/>
      <c r="G26" s="412"/>
      <c r="H26" s="413"/>
      <c r="I26" s="427"/>
      <c r="J26" s="428"/>
      <c r="K26" s="141"/>
      <c r="L26" s="450"/>
      <c r="M26" s="451"/>
    </row>
    <row r="27" spans="1:16" s="137" customFormat="1" ht="15.75" customHeight="1" x14ac:dyDescent="0.3">
      <c r="A27" s="225"/>
      <c r="B27" s="226"/>
      <c r="C27" s="227"/>
      <c r="D27" s="239"/>
      <c r="E27" s="226"/>
      <c r="F27" s="226"/>
      <c r="G27" s="226"/>
      <c r="H27" s="227"/>
      <c r="I27" s="228"/>
      <c r="J27" s="229"/>
      <c r="K27" s="141"/>
      <c r="L27" s="240"/>
      <c r="M27" s="241"/>
    </row>
    <row r="28" spans="1:16" s="137" customFormat="1" ht="15.75" customHeight="1" x14ac:dyDescent="0.3">
      <c r="A28" s="225"/>
      <c r="B28" s="226"/>
      <c r="C28" s="227"/>
      <c r="D28" s="239"/>
      <c r="E28" s="226"/>
      <c r="F28" s="226"/>
      <c r="G28" s="226"/>
      <c r="H28" s="227"/>
      <c r="I28" s="228"/>
      <c r="J28" s="229"/>
      <c r="K28" s="141"/>
      <c r="L28" s="240"/>
      <c r="M28" s="241"/>
    </row>
    <row r="29" spans="1:16" s="137" customFormat="1" ht="16.5" x14ac:dyDescent="0.3">
      <c r="A29" s="411"/>
      <c r="B29" s="412"/>
      <c r="C29" s="413"/>
      <c r="D29" s="426"/>
      <c r="E29" s="412"/>
      <c r="F29" s="412"/>
      <c r="G29" s="412"/>
      <c r="H29" s="413"/>
      <c r="I29" s="427"/>
      <c r="J29" s="428"/>
      <c r="K29" s="141"/>
      <c r="L29" s="450"/>
      <c r="M29" s="451"/>
    </row>
    <row r="30" spans="1:16" s="137" customFormat="1" ht="16.5" x14ac:dyDescent="0.3">
      <c r="A30" s="411"/>
      <c r="B30" s="412"/>
      <c r="C30" s="413"/>
      <c r="D30" s="426"/>
      <c r="E30" s="412"/>
      <c r="F30" s="412"/>
      <c r="G30" s="412"/>
      <c r="H30" s="413"/>
      <c r="I30" s="427"/>
      <c r="J30" s="428"/>
      <c r="K30" s="141"/>
      <c r="L30" s="450"/>
      <c r="M30" s="451"/>
    </row>
    <row r="31" spans="1:16" s="137" customFormat="1" ht="16.5" x14ac:dyDescent="0.3">
      <c r="A31" s="411"/>
      <c r="B31" s="412"/>
      <c r="C31" s="413"/>
      <c r="D31" s="426"/>
      <c r="E31" s="412"/>
      <c r="F31" s="412"/>
      <c r="G31" s="412"/>
      <c r="H31" s="413"/>
      <c r="I31" s="427"/>
      <c r="J31" s="428"/>
      <c r="K31" s="141"/>
      <c r="L31" s="450"/>
      <c r="M31" s="451"/>
    </row>
    <row r="32" spans="1:16" s="137" customFormat="1" ht="9" customHeight="1" x14ac:dyDescent="0.3">
      <c r="A32" s="411"/>
      <c r="B32" s="412"/>
      <c r="C32" s="413"/>
      <c r="D32" s="426"/>
      <c r="E32" s="412"/>
      <c r="F32" s="412"/>
      <c r="G32" s="412"/>
      <c r="H32" s="413"/>
      <c r="I32" s="427"/>
      <c r="J32" s="428"/>
      <c r="K32" s="141"/>
      <c r="L32" s="450"/>
      <c r="M32" s="451"/>
    </row>
    <row r="33" spans="1:13" s="137" customFormat="1" ht="16.5" x14ac:dyDescent="0.3">
      <c r="A33" s="411"/>
      <c r="B33" s="412"/>
      <c r="C33" s="413"/>
      <c r="D33" s="426"/>
      <c r="E33" s="412"/>
      <c r="F33" s="412"/>
      <c r="G33" s="412"/>
      <c r="H33" s="413"/>
      <c r="I33" s="427"/>
      <c r="J33" s="428"/>
      <c r="K33" s="140"/>
      <c r="L33" s="450"/>
      <c r="M33" s="451"/>
    </row>
    <row r="34" spans="1:13" s="137" customFormat="1" ht="16.5" x14ac:dyDescent="0.3">
      <c r="A34" s="411"/>
      <c r="B34" s="412"/>
      <c r="C34" s="413"/>
      <c r="D34" s="426"/>
      <c r="E34" s="412"/>
      <c r="F34" s="412"/>
      <c r="G34" s="412"/>
      <c r="H34" s="413"/>
      <c r="I34" s="427"/>
      <c r="J34" s="428"/>
      <c r="K34" s="140"/>
      <c r="L34" s="450"/>
      <c r="M34" s="451"/>
    </row>
    <row r="35" spans="1:13" s="137" customFormat="1" ht="16.5" x14ac:dyDescent="0.3">
      <c r="A35" s="411"/>
      <c r="B35" s="412"/>
      <c r="C35" s="413"/>
      <c r="D35" s="426"/>
      <c r="E35" s="412"/>
      <c r="F35" s="412"/>
      <c r="G35" s="412"/>
      <c r="H35" s="413"/>
      <c r="I35" s="427"/>
      <c r="J35" s="428"/>
      <c r="K35" s="140"/>
      <c r="L35" s="450"/>
      <c r="M35" s="451"/>
    </row>
    <row r="36" spans="1:13" s="137" customFormat="1" ht="16.5" x14ac:dyDescent="0.3">
      <c r="A36" s="411"/>
      <c r="B36" s="412"/>
      <c r="C36" s="413"/>
      <c r="D36" s="426"/>
      <c r="E36" s="412"/>
      <c r="F36" s="412"/>
      <c r="G36" s="412"/>
      <c r="H36" s="413"/>
      <c r="I36" s="427"/>
      <c r="J36" s="428"/>
      <c r="K36" s="140"/>
      <c r="L36" s="450"/>
      <c r="M36" s="451"/>
    </row>
    <row r="37" spans="1:13" s="137" customFormat="1" ht="16.5" x14ac:dyDescent="0.3">
      <c r="A37" s="411"/>
      <c r="B37" s="412"/>
      <c r="C37" s="413"/>
      <c r="D37" s="426"/>
      <c r="E37" s="412"/>
      <c r="F37" s="412"/>
      <c r="G37" s="412"/>
      <c r="H37" s="413"/>
      <c r="I37" s="427"/>
      <c r="J37" s="428"/>
      <c r="K37" s="140"/>
      <c r="L37" s="450"/>
      <c r="M37" s="451"/>
    </row>
    <row r="38" spans="1:13" s="137" customFormat="1" ht="16.5" x14ac:dyDescent="0.3">
      <c r="A38" s="411"/>
      <c r="B38" s="412"/>
      <c r="C38" s="413"/>
      <c r="D38" s="426"/>
      <c r="E38" s="412"/>
      <c r="F38" s="412"/>
      <c r="G38" s="412"/>
      <c r="H38" s="413"/>
      <c r="I38" s="427"/>
      <c r="J38" s="428"/>
      <c r="K38" s="140"/>
      <c r="L38" s="450"/>
      <c r="M38" s="451"/>
    </row>
    <row r="39" spans="1:13" s="137" customFormat="1" ht="19.5" thickBot="1" x14ac:dyDescent="0.35">
      <c r="A39" s="457"/>
      <c r="B39" s="458"/>
      <c r="C39" s="459"/>
      <c r="D39" s="460" t="s">
        <v>150</v>
      </c>
      <c r="E39" s="461"/>
      <c r="F39" s="461"/>
      <c r="G39" s="461"/>
      <c r="H39" s="462"/>
      <c r="I39" s="463"/>
      <c r="J39" s="464"/>
      <c r="K39" s="144"/>
      <c r="L39" s="465">
        <f>L14</f>
        <v>457041.25</v>
      </c>
      <c r="M39" s="466"/>
    </row>
    <row r="40" spans="1:13" s="137" customFormat="1" ht="15" x14ac:dyDescent="0.25">
      <c r="A40" s="467" t="s">
        <v>151</v>
      </c>
      <c r="B40" s="145"/>
      <c r="C40" s="136"/>
      <c r="D40" s="469" t="s">
        <v>152</v>
      </c>
      <c r="E40" s="470"/>
      <c r="F40" s="470"/>
      <c r="G40" s="470"/>
      <c r="H40" s="471"/>
      <c r="I40" s="472" t="s">
        <v>153</v>
      </c>
      <c r="J40" s="146"/>
      <c r="K40" s="136"/>
      <c r="L40" s="136"/>
      <c r="M40" s="147"/>
    </row>
    <row r="41" spans="1:13" s="137" customFormat="1" ht="15" x14ac:dyDescent="0.25">
      <c r="A41" s="468"/>
      <c r="B41" s="473" t="s">
        <v>154</v>
      </c>
      <c r="C41" s="474"/>
      <c r="D41" s="470"/>
      <c r="E41" s="470"/>
      <c r="F41" s="470"/>
      <c r="G41" s="470"/>
      <c r="H41" s="471"/>
      <c r="I41" s="472"/>
      <c r="J41" s="148" t="s">
        <v>155</v>
      </c>
      <c r="K41" s="136"/>
      <c r="L41" s="136"/>
      <c r="M41" s="147"/>
    </row>
    <row r="42" spans="1:13" s="137" customFormat="1" ht="15" x14ac:dyDescent="0.25">
      <c r="A42" s="149"/>
      <c r="B42" s="485" t="s">
        <v>156</v>
      </c>
      <c r="C42" s="485"/>
      <c r="D42" s="485"/>
      <c r="E42" s="485"/>
      <c r="F42" s="485"/>
      <c r="G42" s="485"/>
      <c r="H42" s="486"/>
      <c r="I42" s="150"/>
      <c r="J42" s="136" t="s">
        <v>157</v>
      </c>
      <c r="K42" s="136"/>
      <c r="L42" s="136"/>
      <c r="M42" s="147"/>
    </row>
    <row r="43" spans="1:13" s="137" customFormat="1" ht="15" x14ac:dyDescent="0.25">
      <c r="A43" s="487"/>
      <c r="B43" s="136" t="s">
        <v>158</v>
      </c>
      <c r="C43" s="136"/>
      <c r="D43" s="136"/>
      <c r="E43" s="136"/>
      <c r="F43" s="136"/>
      <c r="G43" s="136"/>
      <c r="H43" s="147"/>
      <c r="I43" s="136"/>
      <c r="J43" s="136" t="s">
        <v>159</v>
      </c>
      <c r="K43" s="136"/>
      <c r="L43" s="136"/>
      <c r="M43" s="147"/>
    </row>
    <row r="44" spans="1:13" s="137" customFormat="1" ht="15" x14ac:dyDescent="0.25">
      <c r="A44" s="487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224"/>
      <c r="B45" s="151"/>
      <c r="C45" s="151"/>
      <c r="D45" s="151"/>
      <c r="E45" s="151"/>
      <c r="F45" s="151"/>
      <c r="G45" s="136"/>
      <c r="H45" s="147"/>
      <c r="I45" s="136"/>
      <c r="J45" s="136"/>
      <c r="K45" s="136"/>
      <c r="L45" s="136"/>
      <c r="M45" s="147"/>
    </row>
    <row r="46" spans="1:13" s="137" customFormat="1" ht="15" x14ac:dyDescent="0.25">
      <c r="A46" s="224"/>
      <c r="B46" s="136"/>
      <c r="C46" s="136"/>
      <c r="D46" s="136"/>
      <c r="E46" s="136"/>
      <c r="F46" s="136"/>
      <c r="G46" s="136"/>
      <c r="H46" s="147"/>
      <c r="I46" s="136"/>
      <c r="J46" s="136"/>
      <c r="K46" s="136"/>
      <c r="L46" s="136"/>
      <c r="M46" s="147"/>
    </row>
    <row r="47" spans="1:13" s="137" customFormat="1" ht="15" x14ac:dyDescent="0.25">
      <c r="A47" s="475" t="s">
        <v>160</v>
      </c>
      <c r="B47" s="476"/>
      <c r="C47" s="488" t="s">
        <v>161</v>
      </c>
      <c r="D47" s="488"/>
      <c r="E47" s="488"/>
      <c r="F47" s="488"/>
      <c r="G47" s="488"/>
      <c r="H47" s="489"/>
      <c r="I47" s="136" t="s">
        <v>162</v>
      </c>
      <c r="J47" s="136"/>
      <c r="K47" s="152"/>
      <c r="L47" s="153"/>
      <c r="M47" s="154"/>
    </row>
    <row r="48" spans="1:13" s="137" customFormat="1" ht="19.5" customHeight="1" x14ac:dyDescent="0.25">
      <c r="A48" s="490" t="s">
        <v>163</v>
      </c>
      <c r="B48" s="469"/>
      <c r="C48" s="469"/>
      <c r="D48" s="469"/>
      <c r="E48" s="469"/>
      <c r="F48" s="469"/>
      <c r="G48" s="469"/>
      <c r="H48" s="484"/>
      <c r="I48" s="136" t="s">
        <v>164</v>
      </c>
      <c r="J48" s="136"/>
      <c r="K48" s="491" t="s">
        <v>165</v>
      </c>
      <c r="L48" s="491"/>
      <c r="M48" s="492"/>
    </row>
    <row r="49" spans="1:13" s="137" customFormat="1" ht="15" x14ac:dyDescent="0.25">
      <c r="A49" s="475" t="s">
        <v>166</v>
      </c>
      <c r="B49" s="476"/>
      <c r="C49" s="477" t="s">
        <v>191</v>
      </c>
      <c r="D49" s="477"/>
      <c r="E49" s="477"/>
      <c r="F49" s="477"/>
      <c r="G49" s="477"/>
      <c r="H49" s="478"/>
      <c r="I49" s="136" t="s">
        <v>166</v>
      </c>
      <c r="J49" s="136"/>
      <c r="K49" s="479" t="s">
        <v>130</v>
      </c>
      <c r="L49" s="479"/>
      <c r="M49" s="480"/>
    </row>
    <row r="50" spans="1:13" s="137" customFormat="1" ht="15" x14ac:dyDescent="0.25">
      <c r="A50" s="155"/>
      <c r="B50" s="156"/>
      <c r="C50" s="476" t="s">
        <v>167</v>
      </c>
      <c r="D50" s="476"/>
      <c r="E50" s="476"/>
      <c r="F50" s="476"/>
      <c r="G50" s="476"/>
      <c r="H50" s="481"/>
      <c r="I50" s="136"/>
      <c r="J50" s="136"/>
      <c r="K50" s="482" t="s">
        <v>168</v>
      </c>
      <c r="L50" s="482"/>
      <c r="M50" s="483"/>
    </row>
    <row r="51" spans="1:13" s="137" customFormat="1" ht="15" x14ac:dyDescent="0.25">
      <c r="A51" s="408" t="s">
        <v>169</v>
      </c>
      <c r="B51" s="409"/>
      <c r="C51" s="469" t="s">
        <v>161</v>
      </c>
      <c r="D51" s="469"/>
      <c r="E51" s="469"/>
      <c r="F51" s="469"/>
      <c r="G51" s="469"/>
      <c r="H51" s="484"/>
      <c r="I51" s="136" t="s">
        <v>170</v>
      </c>
      <c r="J51" s="136"/>
      <c r="K51" s="136" t="s">
        <v>171</v>
      </c>
      <c r="L51" s="136"/>
      <c r="M51" s="147"/>
    </row>
    <row r="52" spans="1:13" s="137" customFormat="1" ht="15.75" thickBot="1" x14ac:dyDescent="0.3">
      <c r="A52" s="157"/>
      <c r="B52" s="158"/>
      <c r="C52" s="158"/>
      <c r="D52" s="158"/>
      <c r="E52" s="158"/>
      <c r="F52" s="158"/>
      <c r="G52" s="158"/>
      <c r="H52" s="159"/>
      <c r="I52" s="160"/>
      <c r="J52" s="160"/>
      <c r="K52" s="160"/>
      <c r="L52" s="160"/>
      <c r="M52" s="161"/>
    </row>
    <row r="53" spans="1:13" s="137" customFormat="1" ht="15.75" thickBot="1" x14ac:dyDescent="0.3">
      <c r="A53" s="162"/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s="137" customFormat="1" ht="15" thickBot="1" x14ac:dyDescent="0.25">
      <c r="A54" s="166" t="s">
        <v>172</v>
      </c>
      <c r="B54" s="498" t="s">
        <v>173</v>
      </c>
      <c r="C54" s="499"/>
      <c r="D54" s="499"/>
      <c r="E54" s="499"/>
      <c r="F54" s="499"/>
      <c r="G54" s="499"/>
      <c r="H54" s="499"/>
      <c r="I54" s="499"/>
      <c r="J54" s="499"/>
      <c r="K54" s="499"/>
      <c r="L54" s="499"/>
      <c r="M54" s="500"/>
    </row>
    <row r="55" spans="1:13" s="137" customFormat="1" ht="15" thickBot="1" x14ac:dyDescent="0.25">
      <c r="A55" s="501" t="s">
        <v>174</v>
      </c>
      <c r="B55" s="499"/>
      <c r="C55" s="499"/>
      <c r="D55" s="499"/>
      <c r="E55" s="499"/>
      <c r="F55" s="499"/>
      <c r="G55" s="500"/>
      <c r="H55" s="501" t="s">
        <v>147</v>
      </c>
      <c r="I55" s="499"/>
      <c r="J55" s="499"/>
      <c r="K55" s="499"/>
      <c r="L55" s="499"/>
      <c r="M55" s="500"/>
    </row>
    <row r="56" spans="1:13" s="137" customFormat="1" ht="15" x14ac:dyDescent="0.25">
      <c r="A56" s="502" t="s">
        <v>129</v>
      </c>
      <c r="B56" s="504" t="s">
        <v>144</v>
      </c>
      <c r="C56" s="505"/>
      <c r="D56" s="505"/>
      <c r="E56" s="508" t="s">
        <v>175</v>
      </c>
      <c r="F56" s="476"/>
      <c r="G56" s="481"/>
      <c r="H56" s="502" t="s">
        <v>176</v>
      </c>
      <c r="I56" s="512" t="s">
        <v>177</v>
      </c>
      <c r="J56" s="513"/>
      <c r="K56" s="514" t="s">
        <v>178</v>
      </c>
      <c r="L56" s="515" t="s">
        <v>179</v>
      </c>
      <c r="M56" s="516"/>
    </row>
    <row r="57" spans="1:13" s="137" customFormat="1" ht="30.75" thickBot="1" x14ac:dyDescent="0.25">
      <c r="A57" s="502"/>
      <c r="B57" s="504"/>
      <c r="C57" s="505"/>
      <c r="D57" s="505"/>
      <c r="E57" s="508"/>
      <c r="F57" s="476"/>
      <c r="G57" s="481"/>
      <c r="H57" s="502"/>
      <c r="I57" s="512"/>
      <c r="J57" s="513"/>
      <c r="K57" s="514"/>
      <c r="L57" s="223" t="s">
        <v>180</v>
      </c>
      <c r="M57" s="167" t="s">
        <v>181</v>
      </c>
    </row>
    <row r="58" spans="1:13" s="137" customFormat="1" ht="15.75" thickBot="1" x14ac:dyDescent="0.3">
      <c r="A58" s="503"/>
      <c r="B58" s="506"/>
      <c r="C58" s="507"/>
      <c r="D58" s="507"/>
      <c r="E58" s="509"/>
      <c r="F58" s="510"/>
      <c r="G58" s="511"/>
      <c r="H58" s="168" t="s">
        <v>182</v>
      </c>
      <c r="I58" s="493" t="s">
        <v>183</v>
      </c>
      <c r="J58" s="494"/>
      <c r="K58" s="169" t="s">
        <v>184</v>
      </c>
      <c r="L58" s="170" t="s">
        <v>185</v>
      </c>
      <c r="M58" s="171" t="s">
        <v>186</v>
      </c>
    </row>
    <row r="59" spans="1:13" s="137" customFormat="1" ht="15" x14ac:dyDescent="0.25">
      <c r="A59" s="172"/>
      <c r="B59" s="173"/>
      <c r="C59" s="136"/>
      <c r="D59" s="174"/>
      <c r="E59" s="175"/>
      <c r="F59" s="136"/>
      <c r="G59" s="147"/>
      <c r="H59" s="176"/>
      <c r="I59" s="177"/>
      <c r="J59" s="174"/>
      <c r="K59" s="178"/>
      <c r="L59" s="179"/>
      <c r="M59" s="180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79"/>
      <c r="M60" s="185"/>
    </row>
    <row r="61" spans="1:13" s="137" customFormat="1" ht="15" x14ac:dyDescent="0.25">
      <c r="A61" s="172"/>
      <c r="B61" s="181"/>
      <c r="C61" s="136"/>
      <c r="D61" s="174"/>
      <c r="E61" s="495"/>
      <c r="F61" s="496"/>
      <c r="G61" s="497"/>
      <c r="H61" s="182"/>
      <c r="I61" s="183"/>
      <c r="J61" s="184"/>
      <c r="K61" s="179"/>
      <c r="L61" s="179"/>
      <c r="M61" s="185"/>
    </row>
    <row r="62" spans="1:13" s="137" customFormat="1" ht="15" x14ac:dyDescent="0.25">
      <c r="A62" s="172"/>
      <c r="B62" s="181"/>
      <c r="C62" s="136"/>
      <c r="D62" s="174"/>
      <c r="E62" s="175"/>
      <c r="F62" s="136"/>
      <c r="G62" s="147"/>
      <c r="H62" s="182"/>
      <c r="I62" s="183"/>
      <c r="J62" s="184"/>
      <c r="K62" s="179"/>
      <c r="L62" s="186"/>
      <c r="M62" s="185"/>
    </row>
    <row r="63" spans="1:13" s="137" customFormat="1" ht="15" x14ac:dyDescent="0.25">
      <c r="A63" s="187"/>
      <c r="B63" s="181"/>
      <c r="C63" s="136"/>
      <c r="D63" s="174"/>
      <c r="E63" s="177"/>
      <c r="F63" s="136"/>
      <c r="G63" s="147"/>
      <c r="H63" s="182"/>
      <c r="I63" s="177"/>
      <c r="J63" s="174"/>
      <c r="K63" s="178"/>
      <c r="L63" s="178"/>
      <c r="M63" s="147"/>
    </row>
    <row r="64" spans="1:13" s="137" customFormat="1" ht="15" x14ac:dyDescent="0.25">
      <c r="A64" s="187"/>
      <c r="B64" s="181"/>
      <c r="C64" s="136"/>
      <c r="D64" s="174"/>
      <c r="E64" s="177"/>
      <c r="F64" s="136"/>
      <c r="G64" s="147"/>
      <c r="H64" s="182"/>
      <c r="I64" s="177"/>
      <c r="J64" s="174"/>
      <c r="K64" s="178"/>
      <c r="L64" s="178"/>
      <c r="M64" s="147"/>
    </row>
    <row r="65" spans="1:13" s="137" customFormat="1" ht="13.5" thickBot="1" x14ac:dyDescent="0.25">
      <c r="A65" s="188"/>
      <c r="B65" s="189"/>
      <c r="C65" s="190"/>
      <c r="D65" s="191"/>
      <c r="E65" s="192"/>
      <c r="F65" s="190"/>
      <c r="G65" s="193"/>
      <c r="H65" s="194"/>
      <c r="I65" s="192"/>
      <c r="J65" s="191"/>
      <c r="K65" s="195"/>
      <c r="L65" s="195"/>
      <c r="M65" s="193"/>
    </row>
  </sheetData>
  <mergeCells count="131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9:C39"/>
    <mergeCell ref="D39:H39"/>
    <mergeCell ref="I39:J39"/>
    <mergeCell ref="L39:M39"/>
    <mergeCell ref="A40:A41"/>
    <mergeCell ref="D40:H41"/>
    <mergeCell ref="I40:I41"/>
    <mergeCell ref="B41:C41"/>
    <mergeCell ref="A37:C37"/>
    <mergeCell ref="D37:H37"/>
    <mergeCell ref="I37:J37"/>
    <mergeCell ref="L37:M37"/>
    <mergeCell ref="A38:C38"/>
    <mergeCell ref="D38:H38"/>
    <mergeCell ref="I38:J38"/>
    <mergeCell ref="L38:M38"/>
    <mergeCell ref="A49:B49"/>
    <mergeCell ref="C49:H49"/>
    <mergeCell ref="K49:M49"/>
    <mergeCell ref="C50:H50"/>
    <mergeCell ref="K50:M50"/>
    <mergeCell ref="A51:B51"/>
    <mergeCell ref="C51:H51"/>
    <mergeCell ref="B42:H42"/>
    <mergeCell ref="A43:A44"/>
    <mergeCell ref="A47:B47"/>
    <mergeCell ref="C47:H47"/>
    <mergeCell ref="A48:H48"/>
    <mergeCell ref="K48:M48"/>
    <mergeCell ref="I58:J58"/>
    <mergeCell ref="E61:G61"/>
    <mergeCell ref="B54:M54"/>
    <mergeCell ref="A55:G55"/>
    <mergeCell ref="H55:M55"/>
    <mergeCell ref="A56:A58"/>
    <mergeCell ref="B56:D58"/>
    <mergeCell ref="E56:G58"/>
    <mergeCell ref="H56:H57"/>
    <mergeCell ref="I56:J57"/>
    <mergeCell ref="K56:K57"/>
    <mergeCell ref="L56:M56"/>
  </mergeCells>
  <pageMargins left="0.5" right="0.25" top="0.25" bottom="0.25" header="0.3" footer="0.3"/>
  <pageSetup paperSize="9" scale="80" orientation="portrait" r:id="rId1"/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70C0"/>
  </sheetPr>
  <dimension ref="A1:BH175"/>
  <sheetViews>
    <sheetView view="pageBreakPreview" zoomScale="90" zoomScaleNormal="80" zoomScaleSheetLayoutView="90" workbookViewId="0">
      <pane xSplit="3" ySplit="8" topLeftCell="D156" activePane="bottomRight" state="frozen"/>
      <selection activeCell="H2" sqref="H2"/>
      <selection pane="topRight" activeCell="H2" sqref="H2"/>
      <selection pane="bottomLeft" activeCell="H2" sqref="H2"/>
      <selection pane="bottomRight" activeCell="M161" sqref="M161"/>
    </sheetView>
  </sheetViews>
  <sheetFormatPr defaultRowHeight="15.75" outlineLevelCol="1" x14ac:dyDescent="0.2"/>
  <cols>
    <col min="1" max="1" width="7.7109375" style="4" customWidth="1"/>
    <col min="2" max="2" width="14.42578125" style="4" hidden="1" customWidth="1"/>
    <col min="3" max="3" width="34.140625" style="221" customWidth="1"/>
    <col min="4" max="4" width="6.140625" style="4" customWidth="1"/>
    <col min="5" max="5" width="16.85546875" style="1" hidden="1" customWidth="1"/>
    <col min="6" max="6" width="12.140625" style="1" hidden="1" customWidth="1"/>
    <col min="7" max="7" width="15.5703125" style="1" hidden="1" customWidth="1"/>
    <col min="8" max="8" width="16" style="1" customWidth="1"/>
    <col min="9" max="9" width="14" style="1" customWidth="1"/>
    <col min="10" max="10" width="13.5703125" style="1" customWidth="1"/>
    <col min="11" max="11" width="13" style="1" customWidth="1"/>
    <col min="12" max="12" width="15" style="1" customWidth="1"/>
    <col min="13" max="13" width="14.7109375" style="1" customWidth="1"/>
    <col min="14" max="14" width="14.28515625" style="1" customWidth="1"/>
    <col min="15" max="15" width="14" style="1" customWidth="1"/>
    <col min="16" max="16" width="14.1406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3.140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5.42578125" style="2" customWidth="1" collapsed="1"/>
    <col min="39" max="39" width="15.42578125" style="2" customWidth="1"/>
    <col min="40" max="40" width="29.285156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7" s="265" customFormat="1" ht="25.5" x14ac:dyDescent="0.2">
      <c r="A1" s="528" t="s">
        <v>105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  <c r="Y1" s="528"/>
      <c r="Z1" s="528"/>
      <c r="AA1" s="528"/>
      <c r="AB1" s="528"/>
      <c r="AC1" s="528"/>
      <c r="AD1" s="528"/>
      <c r="AE1" s="528"/>
      <c r="AF1" s="528"/>
      <c r="AG1" s="528"/>
      <c r="AH1" s="528"/>
      <c r="AI1" s="528"/>
      <c r="AJ1" s="528"/>
      <c r="AK1" s="528"/>
      <c r="AL1" s="528"/>
      <c r="AM1" s="528"/>
      <c r="AN1" s="528"/>
      <c r="AO1" s="264"/>
      <c r="AP1" s="264"/>
      <c r="AQ1" s="264"/>
      <c r="AS1" s="266"/>
      <c r="AT1" s="266"/>
      <c r="AU1" s="266"/>
      <c r="AY1" s="266"/>
      <c r="BC1" s="266"/>
    </row>
    <row r="2" spans="1:57" s="265" customFormat="1" x14ac:dyDescent="0.2">
      <c r="A2" s="529" t="s">
        <v>106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H2" s="529"/>
      <c r="AI2" s="529"/>
      <c r="AJ2" s="529"/>
      <c r="AK2" s="529"/>
      <c r="AL2" s="529"/>
      <c r="AM2" s="529"/>
      <c r="AN2" s="529"/>
      <c r="AO2" s="267"/>
      <c r="AP2" s="267"/>
      <c r="AQ2" s="267"/>
      <c r="AS2" s="266"/>
      <c r="AT2" s="266"/>
      <c r="AU2" s="266"/>
      <c r="AY2" s="266"/>
      <c r="BC2" s="266"/>
    </row>
    <row r="3" spans="1:57" s="265" customFormat="1" x14ac:dyDescent="0.2">
      <c r="A3" s="530" t="s">
        <v>107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  <c r="U3" s="530"/>
      <c r="V3" s="530"/>
      <c r="W3" s="530"/>
      <c r="X3" s="530"/>
      <c r="Y3" s="530"/>
      <c r="Z3" s="530"/>
      <c r="AA3" s="530"/>
      <c r="AB3" s="530"/>
      <c r="AC3" s="530"/>
      <c r="AD3" s="530"/>
      <c r="AE3" s="530"/>
      <c r="AF3" s="530"/>
      <c r="AG3" s="530"/>
      <c r="AH3" s="530"/>
      <c r="AI3" s="530"/>
      <c r="AJ3" s="530"/>
      <c r="AK3" s="530"/>
      <c r="AL3" s="530"/>
      <c r="AM3" s="530"/>
      <c r="AN3" s="530"/>
      <c r="AO3" s="268"/>
      <c r="AP3" s="268"/>
      <c r="AQ3" s="268"/>
      <c r="AS3" s="266"/>
      <c r="AT3" s="266"/>
      <c r="AU3" s="266"/>
      <c r="AY3" s="266" t="s">
        <v>424</v>
      </c>
      <c r="BC3" s="266"/>
    </row>
    <row r="4" spans="1:57" s="265" customFormat="1" x14ac:dyDescent="0.2">
      <c r="A4" s="531" t="s">
        <v>465</v>
      </c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1"/>
      <c r="X4" s="531"/>
      <c r="Y4" s="531"/>
      <c r="Z4" s="531"/>
      <c r="AA4" s="531"/>
      <c r="AB4" s="531"/>
      <c r="AC4" s="531"/>
      <c r="AD4" s="531"/>
      <c r="AE4" s="531"/>
      <c r="AF4" s="531"/>
      <c r="AG4" s="531"/>
      <c r="AH4" s="531"/>
      <c r="AI4" s="531"/>
      <c r="AJ4" s="531"/>
      <c r="AK4" s="531"/>
      <c r="AL4" s="531"/>
      <c r="AM4" s="531"/>
      <c r="AN4" s="531"/>
      <c r="AO4" s="269"/>
      <c r="AP4" s="269"/>
      <c r="AQ4" s="269"/>
      <c r="AS4" s="266"/>
      <c r="AT4" s="266"/>
      <c r="AU4" s="266"/>
      <c r="AY4" s="266"/>
      <c r="BC4" s="266"/>
    </row>
    <row r="5" spans="1:57" s="265" customFormat="1" ht="13.5" customHeight="1" x14ac:dyDescent="0.2">
      <c r="A5" s="530" t="s">
        <v>108</v>
      </c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0"/>
      <c r="AJ5" s="530"/>
      <c r="AK5" s="530"/>
      <c r="AL5" s="530"/>
      <c r="AM5" s="530"/>
      <c r="AN5" s="530"/>
      <c r="AO5" s="268"/>
      <c r="AP5" s="268"/>
      <c r="AQ5" s="268"/>
      <c r="AS5" s="266"/>
      <c r="AT5" s="266"/>
      <c r="AU5" s="266"/>
      <c r="AY5" s="266"/>
      <c r="BC5" s="266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x14ac:dyDescent="0.25">
      <c r="A7" s="527" t="s">
        <v>431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99"/>
      <c r="AO7" s="1"/>
    </row>
    <row r="8" spans="1:57" s="286" customFormat="1" ht="36.75" customHeight="1" x14ac:dyDescent="0.2">
      <c r="A8" s="285" t="s">
        <v>7</v>
      </c>
      <c r="B8" s="286" t="s">
        <v>100</v>
      </c>
      <c r="C8" s="287" t="s">
        <v>0</v>
      </c>
      <c r="D8" s="286" t="s">
        <v>6</v>
      </c>
      <c r="E8" s="285" t="s">
        <v>101</v>
      </c>
      <c r="F8" s="285" t="s">
        <v>8</v>
      </c>
      <c r="G8" s="285" t="s">
        <v>9</v>
      </c>
      <c r="H8" s="287" t="s">
        <v>28</v>
      </c>
      <c r="I8" s="287" t="s">
        <v>25</v>
      </c>
      <c r="J8" s="287" t="s">
        <v>41</v>
      </c>
      <c r="K8" s="287" t="s">
        <v>40</v>
      </c>
      <c r="L8" s="287" t="s">
        <v>39</v>
      </c>
      <c r="M8" s="287" t="s">
        <v>42</v>
      </c>
      <c r="N8" s="288" t="s">
        <v>133</v>
      </c>
      <c r="O8" s="288" t="s">
        <v>1</v>
      </c>
      <c r="P8" s="287" t="s">
        <v>29</v>
      </c>
      <c r="Q8" s="287" t="s">
        <v>23</v>
      </c>
      <c r="R8" s="287" t="s">
        <v>24</v>
      </c>
      <c r="S8" s="287" t="s">
        <v>2</v>
      </c>
      <c r="T8" s="287" t="s">
        <v>12</v>
      </c>
      <c r="U8" s="287" t="s">
        <v>13</v>
      </c>
      <c r="V8" s="287" t="s">
        <v>14</v>
      </c>
      <c r="W8" s="287" t="s">
        <v>3</v>
      </c>
      <c r="X8" s="287" t="s">
        <v>27</v>
      </c>
      <c r="Y8" s="287" t="s">
        <v>22</v>
      </c>
      <c r="Z8" s="289" t="s">
        <v>15</v>
      </c>
      <c r="AA8" s="287" t="s">
        <v>21</v>
      </c>
      <c r="AB8" s="287" t="s">
        <v>32</v>
      </c>
      <c r="AC8" s="287" t="s">
        <v>20</v>
      </c>
      <c r="AD8" s="289" t="s">
        <v>26</v>
      </c>
      <c r="AE8" s="289" t="s">
        <v>19</v>
      </c>
      <c r="AF8" s="289" t="s">
        <v>18</v>
      </c>
      <c r="AG8" s="289" t="s">
        <v>17</v>
      </c>
      <c r="AH8" s="289" t="s">
        <v>16</v>
      </c>
      <c r="AI8" s="289" t="s">
        <v>30</v>
      </c>
      <c r="AJ8" s="289" t="s">
        <v>5</v>
      </c>
      <c r="AK8" s="289" t="s">
        <v>31</v>
      </c>
      <c r="AL8" s="289" t="s">
        <v>4</v>
      </c>
      <c r="AM8" s="288" t="s">
        <v>10</v>
      </c>
      <c r="AN8" s="288" t="s">
        <v>110</v>
      </c>
      <c r="AO8" s="8" t="s">
        <v>411</v>
      </c>
      <c r="AP8" s="8" t="s">
        <v>413</v>
      </c>
      <c r="AQ8" s="8" t="s">
        <v>412</v>
      </c>
      <c r="AR8" s="285" t="s">
        <v>11</v>
      </c>
      <c r="AS8" s="8" t="str">
        <f>AO8</f>
        <v>JAN 1 - 15</v>
      </c>
      <c r="AT8" s="8" t="str">
        <f>AP8</f>
        <v>JAN 16 - 31</v>
      </c>
      <c r="AU8" s="8" t="s">
        <v>1</v>
      </c>
      <c r="AV8" s="285"/>
      <c r="AW8" s="285" t="s">
        <v>43</v>
      </c>
      <c r="AX8" s="286" t="s">
        <v>44</v>
      </c>
      <c r="AY8" s="285" t="s">
        <v>38</v>
      </c>
      <c r="AZ8" s="285" t="s">
        <v>45</v>
      </c>
      <c r="BA8" s="285" t="s">
        <v>46</v>
      </c>
      <c r="BB8" s="285" t="s">
        <v>47</v>
      </c>
      <c r="BC8" s="8" t="s">
        <v>48</v>
      </c>
      <c r="BD8" s="286" t="s">
        <v>104</v>
      </c>
    </row>
    <row r="9" spans="1:57" s="294" customFormat="1" ht="35.25" customHeight="1" x14ac:dyDescent="0.25">
      <c r="A9" s="290">
        <v>1</v>
      </c>
      <c r="B9" s="210"/>
      <c r="C9" s="230" t="s">
        <v>199</v>
      </c>
      <c r="D9" s="200">
        <v>16</v>
      </c>
      <c r="E9" s="201">
        <v>39672</v>
      </c>
      <c r="F9" s="201">
        <f t="shared" ref="F9:F26" si="0">IF(H9&gt;0,100,0)</f>
        <v>100</v>
      </c>
      <c r="G9" s="201">
        <f t="shared" ref="G9:G26" si="1">+ROUND(H9*12%,2)</f>
        <v>4760.6400000000003</v>
      </c>
      <c r="H9" s="202">
        <f t="shared" ref="H9:H26" si="2">ROUND(IF(AX9&gt;22,0,IF(AX9=22,E9,IF(AX9&lt;22,E9*(AX9/AZ9),IF(OR(AX9=0,AX9=" ")=TRUE,0)))),2)</f>
        <v>39672</v>
      </c>
      <c r="I9" s="202">
        <f t="shared" ref="I9:I26" si="3">ROUND(IF(AND(H9&gt;0,AX9=22)=TRUE,2000,IF(AND(H9&gt;0,AX9&lt;22,AX9&gt;0)=TRUE,2000*(AX9/AZ9),IF(AX9&lt;0,0,0))),2)</f>
        <v>2000</v>
      </c>
      <c r="J9" s="202">
        <f t="shared" ref="J9:J26" si="4">IF(H9&gt;0,BC9-BB9,0)</f>
        <v>1100</v>
      </c>
      <c r="K9" s="202">
        <f t="shared" ref="K9:K20" si="5">IF(AND(H9&gt;0,AX9&gt;11)=TRUE,150,0)</f>
        <v>150</v>
      </c>
      <c r="L9" s="202">
        <f t="shared" ref="L9:L20" si="6">ROUND(IF(AND($H9&gt;0,AX9&gt;11)=TRUE,$AW9*$E9,0),2)</f>
        <v>9918</v>
      </c>
      <c r="M9" s="202">
        <f t="shared" ref="M9:M26" si="7">ROUND(SUM(H9:L9),2)</f>
        <v>52840</v>
      </c>
      <c r="N9" s="202">
        <v>11155.76</v>
      </c>
      <c r="O9" s="202">
        <f t="shared" ref="O9:O26" si="8">E9*0.04/2</f>
        <v>793.44</v>
      </c>
      <c r="P9" s="203">
        <f t="shared" ref="P9:P26" si="9">ROUND($H9*9%,2)</f>
        <v>3570.48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:Z26" si="10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:AL26" si="11">SUM(N9:AK9)</f>
        <v>15619.68</v>
      </c>
      <c r="AM9" s="204">
        <f t="shared" ref="AM9:AM26" si="12">ROUND(M9-AL9,2)</f>
        <v>37220.32</v>
      </c>
      <c r="AN9" s="291"/>
      <c r="AO9" s="207"/>
      <c r="AP9" s="207"/>
      <c r="AQ9" s="212">
        <f t="shared" ref="AQ9:AQ26" si="13">SUM(AO9:AP9)</f>
        <v>0</v>
      </c>
      <c r="AR9" s="212">
        <f t="shared" ref="AR9:AR26" si="14">+AM9-AQ9</f>
        <v>37220.32</v>
      </c>
      <c r="AS9" s="212"/>
      <c r="AT9" s="212"/>
      <c r="AU9" s="212">
        <f t="shared" ref="AU9:AU26" si="15">IF(E9=0,0,IF(E9&lt;=10000,137.5,IF(AND(E9&gt;10000,E9&lt;40000)=TRUE,E9*2.75%*50%,IF(E9&gt;=40000,550,0))))</f>
        <v>545.49</v>
      </c>
      <c r="AV9" s="292"/>
      <c r="AW9" s="292" t="str">
        <f t="shared" ref="AW9:AW26" si="16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0">
        <v>22</v>
      </c>
      <c r="AY9" s="212">
        <v>150</v>
      </c>
      <c r="AZ9" s="292">
        <v>22</v>
      </c>
      <c r="BA9" s="212">
        <v>50</v>
      </c>
      <c r="BB9" s="212">
        <f t="shared" ref="BB9:BB26" si="17">IF(AX9&gt;0,(AZ9-AX9+BD9)*BA9,0)</f>
        <v>0</v>
      </c>
      <c r="BC9" s="212">
        <f t="shared" ref="BC9:BC26" si="18">IF(AX9&gt;0,1100,0)</f>
        <v>1100</v>
      </c>
      <c r="BD9" s="210"/>
      <c r="BE9" s="293"/>
    </row>
    <row r="10" spans="1:57" s="217" customFormat="1" ht="35.25" customHeight="1" x14ac:dyDescent="0.25">
      <c r="A10" s="297">
        <v>2</v>
      </c>
      <c r="B10" s="298"/>
      <c r="C10" s="299" t="s">
        <v>258</v>
      </c>
      <c r="D10" s="300">
        <v>16</v>
      </c>
      <c r="E10" s="201">
        <v>39672</v>
      </c>
      <c r="F10" s="301">
        <f t="shared" si="0"/>
        <v>100</v>
      </c>
      <c r="G10" s="301">
        <f t="shared" si="1"/>
        <v>4760.6400000000003</v>
      </c>
      <c r="H10" s="302">
        <f t="shared" si="2"/>
        <v>39672</v>
      </c>
      <c r="I10" s="302">
        <f t="shared" si="3"/>
        <v>2000</v>
      </c>
      <c r="J10" s="302">
        <f t="shared" si="4"/>
        <v>1100</v>
      </c>
      <c r="K10" s="302">
        <f t="shared" si="5"/>
        <v>150</v>
      </c>
      <c r="L10" s="302">
        <f t="shared" si="6"/>
        <v>9918</v>
      </c>
      <c r="M10" s="302">
        <f t="shared" si="7"/>
        <v>52840</v>
      </c>
      <c r="N10" s="302">
        <v>11455.76</v>
      </c>
      <c r="O10" s="302">
        <f t="shared" si="8"/>
        <v>793.44</v>
      </c>
      <c r="P10" s="303">
        <f t="shared" si="9"/>
        <v>3570.48</v>
      </c>
      <c r="Q10" s="303"/>
      <c r="R10" s="303"/>
      <c r="S10" s="303"/>
      <c r="T10" s="303"/>
      <c r="U10" s="303"/>
      <c r="V10" s="303"/>
      <c r="W10" s="303"/>
      <c r="X10" s="303"/>
      <c r="Y10" s="303"/>
      <c r="Z10" s="303">
        <f t="shared" si="10"/>
        <v>100</v>
      </c>
      <c r="AA10" s="303"/>
      <c r="AB10" s="303"/>
      <c r="AC10" s="303"/>
      <c r="AD10" s="303"/>
      <c r="AE10" s="303"/>
      <c r="AF10" s="303"/>
      <c r="AG10" s="303"/>
      <c r="AH10" s="303"/>
      <c r="AI10" s="303"/>
      <c r="AJ10" s="303"/>
      <c r="AK10" s="303"/>
      <c r="AL10" s="303">
        <f t="shared" si="11"/>
        <v>15919.68</v>
      </c>
      <c r="AM10" s="304">
        <f t="shared" si="12"/>
        <v>36920.32</v>
      </c>
      <c r="AN10" s="305"/>
      <c r="AO10" s="306"/>
      <c r="AP10" s="307"/>
      <c r="AQ10" s="308">
        <f t="shared" si="13"/>
        <v>0</v>
      </c>
      <c r="AR10" s="213">
        <f t="shared" si="14"/>
        <v>36920.32</v>
      </c>
      <c r="AS10" s="213"/>
      <c r="AT10" s="213"/>
      <c r="AU10" s="213">
        <f t="shared" si="15"/>
        <v>545.49</v>
      </c>
      <c r="AV10" s="214"/>
      <c r="AW10" s="214" t="str">
        <f t="shared" si="16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>IF(AX10&gt;0,(AZ10-AX10+BD10)*BA10,0)</f>
        <v>0</v>
      </c>
      <c r="BC10" s="213">
        <f t="shared" si="18"/>
        <v>1100</v>
      </c>
      <c r="BD10" s="215"/>
    </row>
    <row r="11" spans="1:57" s="217" customFormat="1" ht="35.25" customHeight="1" x14ac:dyDescent="0.25">
      <c r="A11" s="290">
        <v>3</v>
      </c>
      <c r="B11" s="210"/>
      <c r="C11" s="230" t="s">
        <v>259</v>
      </c>
      <c r="D11" s="200">
        <v>16</v>
      </c>
      <c r="E11" s="201">
        <v>39672</v>
      </c>
      <c r="F11" s="201">
        <f t="shared" si="0"/>
        <v>100</v>
      </c>
      <c r="G11" s="201">
        <f t="shared" si="1"/>
        <v>4760.6400000000003</v>
      </c>
      <c r="H11" s="202">
        <f t="shared" si="2"/>
        <v>39672</v>
      </c>
      <c r="I11" s="202">
        <f t="shared" si="3"/>
        <v>2000</v>
      </c>
      <c r="J11" s="202">
        <f t="shared" si="4"/>
        <v>950</v>
      </c>
      <c r="K11" s="202">
        <f t="shared" si="5"/>
        <v>150</v>
      </c>
      <c r="L11" s="202">
        <f t="shared" si="6"/>
        <v>9918</v>
      </c>
      <c r="M11" s="202">
        <f t="shared" si="7"/>
        <v>52690</v>
      </c>
      <c r="N11" s="202">
        <v>11155.76</v>
      </c>
      <c r="O11" s="202">
        <f t="shared" si="8"/>
        <v>793.44</v>
      </c>
      <c r="P11" s="203">
        <f t="shared" si="9"/>
        <v>3570.48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10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11"/>
        <v>15619.68</v>
      </c>
      <c r="AM11" s="204">
        <f t="shared" si="12"/>
        <v>37070.32</v>
      </c>
      <c r="AN11" s="338" t="s">
        <v>472</v>
      </c>
      <c r="AO11" s="211"/>
      <c r="AP11" s="207"/>
      <c r="AQ11" s="212">
        <f t="shared" si="13"/>
        <v>0</v>
      </c>
      <c r="AR11" s="213">
        <f t="shared" si="14"/>
        <v>37070.32</v>
      </c>
      <c r="AS11" s="213"/>
      <c r="AT11" s="213"/>
      <c r="AU11" s="213">
        <f t="shared" si="15"/>
        <v>545.49</v>
      </c>
      <c r="AV11" s="214"/>
      <c r="AW11" s="214" t="str">
        <f t="shared" si="16"/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 t="shared" si="17"/>
        <v>150</v>
      </c>
      <c r="BC11" s="213">
        <f t="shared" si="18"/>
        <v>1100</v>
      </c>
      <c r="BD11" s="215">
        <v>3</v>
      </c>
    </row>
    <row r="12" spans="1:57" s="217" customFormat="1" ht="35.25" customHeight="1" x14ac:dyDescent="0.25">
      <c r="A12" s="290">
        <v>4</v>
      </c>
      <c r="B12" s="210"/>
      <c r="C12" s="230" t="s">
        <v>260</v>
      </c>
      <c r="D12" s="200">
        <v>16</v>
      </c>
      <c r="E12" s="201">
        <v>39672</v>
      </c>
      <c r="F12" s="201">
        <f t="shared" si="0"/>
        <v>100</v>
      </c>
      <c r="G12" s="201">
        <f t="shared" si="1"/>
        <v>4760.6400000000003</v>
      </c>
      <c r="H12" s="202">
        <f t="shared" si="2"/>
        <v>39672</v>
      </c>
      <c r="I12" s="202">
        <f t="shared" si="3"/>
        <v>2000</v>
      </c>
      <c r="J12" s="202">
        <f t="shared" si="4"/>
        <v>1100</v>
      </c>
      <c r="K12" s="202">
        <f t="shared" si="5"/>
        <v>150</v>
      </c>
      <c r="L12" s="202">
        <f t="shared" si="6"/>
        <v>9918</v>
      </c>
      <c r="M12" s="202">
        <f t="shared" si="7"/>
        <v>52840</v>
      </c>
      <c r="N12" s="202">
        <v>11355.76</v>
      </c>
      <c r="O12" s="202">
        <f t="shared" si="8"/>
        <v>793.44</v>
      </c>
      <c r="P12" s="203">
        <f t="shared" si="9"/>
        <v>3570.48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10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11"/>
        <v>15819.68</v>
      </c>
      <c r="AM12" s="204">
        <f t="shared" si="12"/>
        <v>37020.32</v>
      </c>
      <c r="AN12" s="291"/>
      <c r="AO12" s="211"/>
      <c r="AP12" s="207"/>
      <c r="AQ12" s="212">
        <f t="shared" si="13"/>
        <v>0</v>
      </c>
      <c r="AR12" s="213">
        <f t="shared" si="14"/>
        <v>37020.32</v>
      </c>
      <c r="AS12" s="213"/>
      <c r="AT12" s="213"/>
      <c r="AU12" s="213">
        <f t="shared" si="15"/>
        <v>545.49</v>
      </c>
      <c r="AV12" s="214"/>
      <c r="AW12" s="214" t="str">
        <f t="shared" si="16"/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 t="shared" si="17"/>
        <v>0</v>
      </c>
      <c r="BC12" s="213">
        <f t="shared" si="18"/>
        <v>1100</v>
      </c>
      <c r="BD12" s="215"/>
    </row>
    <row r="13" spans="1:57" s="217" customFormat="1" ht="35.25" customHeight="1" x14ac:dyDescent="0.25">
      <c r="A13" s="290">
        <v>5</v>
      </c>
      <c r="B13" s="210"/>
      <c r="C13" s="230" t="s">
        <v>261</v>
      </c>
      <c r="D13" s="200">
        <v>16</v>
      </c>
      <c r="E13" s="201">
        <v>39672</v>
      </c>
      <c r="F13" s="201">
        <f t="shared" si="0"/>
        <v>100</v>
      </c>
      <c r="G13" s="201">
        <f t="shared" si="1"/>
        <v>4760.6400000000003</v>
      </c>
      <c r="H13" s="202">
        <f t="shared" si="2"/>
        <v>39672</v>
      </c>
      <c r="I13" s="202">
        <f t="shared" si="3"/>
        <v>2000</v>
      </c>
      <c r="J13" s="202">
        <f t="shared" si="4"/>
        <v>1100</v>
      </c>
      <c r="K13" s="202">
        <f t="shared" si="5"/>
        <v>150</v>
      </c>
      <c r="L13" s="202">
        <f t="shared" si="6"/>
        <v>9918</v>
      </c>
      <c r="M13" s="202">
        <f t="shared" si="7"/>
        <v>52840</v>
      </c>
      <c r="N13" s="202">
        <v>10868.3</v>
      </c>
      <c r="O13" s="202">
        <f t="shared" si="8"/>
        <v>793.44</v>
      </c>
      <c r="P13" s="203">
        <f t="shared" si="9"/>
        <v>3570.48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10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11"/>
        <v>15332.22</v>
      </c>
      <c r="AM13" s="204">
        <f t="shared" si="12"/>
        <v>37507.78</v>
      </c>
      <c r="AN13" s="291"/>
      <c r="AO13" s="211"/>
      <c r="AP13" s="207"/>
      <c r="AQ13" s="212">
        <f t="shared" si="13"/>
        <v>0</v>
      </c>
      <c r="AR13" s="213">
        <f t="shared" si="14"/>
        <v>37507.78</v>
      </c>
      <c r="AS13" s="213"/>
      <c r="AT13" s="213"/>
      <c r="AU13" s="213">
        <f t="shared" si="15"/>
        <v>545.49</v>
      </c>
      <c r="AV13" s="214"/>
      <c r="AW13" s="214" t="str">
        <f t="shared" si="16"/>
        <v>25%</v>
      </c>
      <c r="AX13" s="215">
        <v>22</v>
      </c>
      <c r="AY13" s="213">
        <v>150</v>
      </c>
      <c r="AZ13" s="214">
        <v>22</v>
      </c>
      <c r="BA13" s="213">
        <v>50</v>
      </c>
      <c r="BB13" s="213">
        <f t="shared" si="17"/>
        <v>0</v>
      </c>
      <c r="BC13" s="213">
        <f t="shared" si="18"/>
        <v>1100</v>
      </c>
      <c r="BD13" s="215"/>
    </row>
    <row r="14" spans="1:57" s="217" customFormat="1" ht="35.25" customHeight="1" x14ac:dyDescent="0.25">
      <c r="A14" s="290">
        <v>6</v>
      </c>
      <c r="B14" s="210"/>
      <c r="C14" s="230" t="s">
        <v>262</v>
      </c>
      <c r="D14" s="200">
        <v>16</v>
      </c>
      <c r="E14" s="201">
        <v>39672</v>
      </c>
      <c r="F14" s="201">
        <f t="shared" si="0"/>
        <v>100</v>
      </c>
      <c r="G14" s="201">
        <f t="shared" si="1"/>
        <v>4760.6400000000003</v>
      </c>
      <c r="H14" s="202">
        <f t="shared" si="2"/>
        <v>39672</v>
      </c>
      <c r="I14" s="202">
        <f t="shared" si="3"/>
        <v>2000</v>
      </c>
      <c r="J14" s="202">
        <f t="shared" si="4"/>
        <v>1100</v>
      </c>
      <c r="K14" s="202">
        <f t="shared" si="5"/>
        <v>150</v>
      </c>
      <c r="L14" s="202">
        <f t="shared" si="6"/>
        <v>9918</v>
      </c>
      <c r="M14" s="202">
        <f t="shared" si="7"/>
        <v>52840</v>
      </c>
      <c r="N14" s="202">
        <v>11155.76</v>
      </c>
      <c r="O14" s="202">
        <f t="shared" si="8"/>
        <v>793.44</v>
      </c>
      <c r="P14" s="203">
        <f t="shared" si="9"/>
        <v>3570.48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si="10"/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si="11"/>
        <v>15619.68</v>
      </c>
      <c r="AM14" s="204">
        <f t="shared" si="12"/>
        <v>37220.32</v>
      </c>
      <c r="AN14" s="291"/>
      <c r="AO14" s="211"/>
      <c r="AP14" s="207"/>
      <c r="AQ14" s="212">
        <f t="shared" si="13"/>
        <v>0</v>
      </c>
      <c r="AR14" s="213">
        <f t="shared" si="14"/>
        <v>37220.32</v>
      </c>
      <c r="AS14" s="213"/>
      <c r="AT14" s="213"/>
      <c r="AU14" s="213">
        <f t="shared" si="15"/>
        <v>545.49</v>
      </c>
      <c r="AV14" s="214"/>
      <c r="AW14" s="214" t="str">
        <f t="shared" si="16"/>
        <v>25%</v>
      </c>
      <c r="AX14" s="215">
        <v>22</v>
      </c>
      <c r="AY14" s="213">
        <v>150</v>
      </c>
      <c r="AZ14" s="214">
        <v>22</v>
      </c>
      <c r="BA14" s="213">
        <v>50</v>
      </c>
      <c r="BB14" s="213">
        <f t="shared" si="17"/>
        <v>0</v>
      </c>
      <c r="BC14" s="213">
        <f t="shared" si="18"/>
        <v>1100</v>
      </c>
      <c r="BD14" s="215"/>
    </row>
    <row r="15" spans="1:57" s="217" customFormat="1" ht="35.25" customHeight="1" x14ac:dyDescent="0.25">
      <c r="A15" s="290">
        <v>7</v>
      </c>
      <c r="B15" s="210"/>
      <c r="C15" s="230" t="s">
        <v>263</v>
      </c>
      <c r="D15" s="200">
        <v>16</v>
      </c>
      <c r="E15" s="201">
        <v>39672</v>
      </c>
      <c r="F15" s="201">
        <f t="shared" si="0"/>
        <v>100</v>
      </c>
      <c r="G15" s="201">
        <f t="shared" si="1"/>
        <v>4760.6400000000003</v>
      </c>
      <c r="H15" s="202">
        <f t="shared" si="2"/>
        <v>39672</v>
      </c>
      <c r="I15" s="202">
        <f t="shared" si="3"/>
        <v>2000</v>
      </c>
      <c r="J15" s="202">
        <f t="shared" si="4"/>
        <v>1100</v>
      </c>
      <c r="K15" s="202">
        <f t="shared" si="5"/>
        <v>150</v>
      </c>
      <c r="L15" s="202">
        <f t="shared" si="6"/>
        <v>9918</v>
      </c>
      <c r="M15" s="202">
        <f t="shared" si="7"/>
        <v>52840</v>
      </c>
      <c r="N15" s="202">
        <v>11180.76</v>
      </c>
      <c r="O15" s="202">
        <f t="shared" si="8"/>
        <v>793.44</v>
      </c>
      <c r="P15" s="203">
        <f t="shared" si="9"/>
        <v>3570.48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si="10"/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si="11"/>
        <v>15644.68</v>
      </c>
      <c r="AM15" s="204">
        <f t="shared" si="12"/>
        <v>37195.32</v>
      </c>
      <c r="AN15" s="291"/>
      <c r="AO15" s="211"/>
      <c r="AP15" s="207"/>
      <c r="AQ15" s="212">
        <f t="shared" si="13"/>
        <v>0</v>
      </c>
      <c r="AR15" s="213">
        <f t="shared" si="14"/>
        <v>37195.32</v>
      </c>
      <c r="AS15" s="213"/>
      <c r="AT15" s="213"/>
      <c r="AU15" s="213">
        <f t="shared" si="15"/>
        <v>545.49</v>
      </c>
      <c r="AV15" s="214"/>
      <c r="AW15" s="214" t="str">
        <f t="shared" si="16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si="17"/>
        <v>0</v>
      </c>
      <c r="BC15" s="213">
        <f t="shared" si="18"/>
        <v>1100</v>
      </c>
      <c r="BD15" s="215"/>
    </row>
    <row r="16" spans="1:57" s="217" customFormat="1" ht="35.25" customHeight="1" x14ac:dyDescent="0.25">
      <c r="A16" s="290">
        <v>8</v>
      </c>
      <c r="B16" s="210"/>
      <c r="C16" s="230" t="s">
        <v>264</v>
      </c>
      <c r="D16" s="200">
        <v>16</v>
      </c>
      <c r="E16" s="201">
        <v>39672</v>
      </c>
      <c r="F16" s="201">
        <f t="shared" si="0"/>
        <v>100</v>
      </c>
      <c r="G16" s="201">
        <f t="shared" si="1"/>
        <v>4760.6400000000003</v>
      </c>
      <c r="H16" s="202">
        <f t="shared" si="2"/>
        <v>39672</v>
      </c>
      <c r="I16" s="202">
        <f t="shared" si="3"/>
        <v>2000</v>
      </c>
      <c r="J16" s="202">
        <f t="shared" si="4"/>
        <v>1100</v>
      </c>
      <c r="K16" s="202">
        <f t="shared" si="5"/>
        <v>150</v>
      </c>
      <c r="L16" s="202">
        <f t="shared" si="6"/>
        <v>9918</v>
      </c>
      <c r="M16" s="202">
        <f t="shared" si="7"/>
        <v>52840</v>
      </c>
      <c r="N16" s="202">
        <v>11955.76</v>
      </c>
      <c r="O16" s="202">
        <f t="shared" si="8"/>
        <v>793.44</v>
      </c>
      <c r="P16" s="203">
        <f t="shared" si="9"/>
        <v>3570.48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 t="shared" si="10"/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 t="shared" si="11"/>
        <v>16419.68</v>
      </c>
      <c r="AM16" s="204">
        <f t="shared" si="12"/>
        <v>36420.32</v>
      </c>
      <c r="AN16" s="291"/>
      <c r="AO16" s="211"/>
      <c r="AP16" s="207"/>
      <c r="AQ16" s="212">
        <f t="shared" si="13"/>
        <v>0</v>
      </c>
      <c r="AR16" s="213">
        <f t="shared" si="14"/>
        <v>36420.32</v>
      </c>
      <c r="AS16" s="213"/>
      <c r="AT16" s="213"/>
      <c r="AU16" s="213">
        <f t="shared" si="15"/>
        <v>545.49</v>
      </c>
      <c r="AV16" s="214"/>
      <c r="AW16" s="214" t="str">
        <f t="shared" si="16"/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 t="shared" si="17"/>
        <v>0</v>
      </c>
      <c r="BC16" s="213">
        <f t="shared" si="18"/>
        <v>1100</v>
      </c>
      <c r="BD16" s="215"/>
    </row>
    <row r="17" spans="1:58" s="217" customFormat="1" ht="35.25" customHeight="1" x14ac:dyDescent="0.25">
      <c r="A17" s="309">
        <v>9</v>
      </c>
      <c r="B17" s="310"/>
      <c r="C17" s="311" t="s">
        <v>265</v>
      </c>
      <c r="D17" s="312">
        <v>16</v>
      </c>
      <c r="E17" s="201">
        <v>39672</v>
      </c>
      <c r="F17" s="313">
        <f t="shared" si="0"/>
        <v>100</v>
      </c>
      <c r="G17" s="313">
        <f t="shared" si="1"/>
        <v>4760.6400000000003</v>
      </c>
      <c r="H17" s="314">
        <f t="shared" si="2"/>
        <v>39672</v>
      </c>
      <c r="I17" s="314">
        <f t="shared" si="3"/>
        <v>2000</v>
      </c>
      <c r="J17" s="314">
        <f t="shared" si="4"/>
        <v>1100</v>
      </c>
      <c r="K17" s="314">
        <f t="shared" si="5"/>
        <v>150</v>
      </c>
      <c r="L17" s="314">
        <f t="shared" si="6"/>
        <v>9918</v>
      </c>
      <c r="M17" s="314">
        <f t="shared" si="7"/>
        <v>52840</v>
      </c>
      <c r="N17" s="314">
        <v>11355.76</v>
      </c>
      <c r="O17" s="314">
        <f t="shared" si="8"/>
        <v>793.44</v>
      </c>
      <c r="P17" s="315">
        <f t="shared" si="9"/>
        <v>3570.48</v>
      </c>
      <c r="Q17" s="315"/>
      <c r="R17" s="315"/>
      <c r="S17" s="315"/>
      <c r="T17" s="315"/>
      <c r="U17" s="315"/>
      <c r="V17" s="315"/>
      <c r="W17" s="315"/>
      <c r="X17" s="315"/>
      <c r="Y17" s="315"/>
      <c r="Z17" s="315">
        <f t="shared" si="10"/>
        <v>100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>
        <f t="shared" si="11"/>
        <v>15819.68</v>
      </c>
      <c r="AM17" s="316">
        <f t="shared" si="12"/>
        <v>37020.32</v>
      </c>
      <c r="AN17" s="317"/>
      <c r="AO17" s="318"/>
      <c r="AP17" s="319"/>
      <c r="AQ17" s="320">
        <f t="shared" si="13"/>
        <v>0</v>
      </c>
      <c r="AR17" s="213">
        <f t="shared" si="14"/>
        <v>37020.32</v>
      </c>
      <c r="AS17" s="213"/>
      <c r="AT17" s="213"/>
      <c r="AU17" s="213">
        <f t="shared" si="15"/>
        <v>545.49</v>
      </c>
      <c r="AV17" s="214"/>
      <c r="AW17" s="214" t="str">
        <f t="shared" si="16"/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 t="shared" si="17"/>
        <v>0</v>
      </c>
      <c r="BC17" s="213">
        <f t="shared" si="18"/>
        <v>1100</v>
      </c>
      <c r="BD17" s="215"/>
    </row>
    <row r="18" spans="1:58" s="294" customFormat="1" ht="35.25" customHeight="1" x14ac:dyDescent="0.25">
      <c r="A18" s="290">
        <v>10</v>
      </c>
      <c r="B18" s="210"/>
      <c r="C18" s="230" t="s">
        <v>266</v>
      </c>
      <c r="D18" s="200">
        <v>16</v>
      </c>
      <c r="E18" s="201">
        <v>39672</v>
      </c>
      <c r="F18" s="201">
        <f t="shared" si="0"/>
        <v>100</v>
      </c>
      <c r="G18" s="201">
        <f t="shared" si="1"/>
        <v>4760.6400000000003</v>
      </c>
      <c r="H18" s="202">
        <f t="shared" si="2"/>
        <v>39672</v>
      </c>
      <c r="I18" s="202">
        <f t="shared" si="3"/>
        <v>2000</v>
      </c>
      <c r="J18" s="202">
        <f t="shared" si="4"/>
        <v>1100</v>
      </c>
      <c r="K18" s="202">
        <f t="shared" si="5"/>
        <v>150</v>
      </c>
      <c r="L18" s="202">
        <f t="shared" si="6"/>
        <v>9918</v>
      </c>
      <c r="M18" s="202">
        <f t="shared" si="7"/>
        <v>52840</v>
      </c>
      <c r="N18" s="202">
        <v>11355.76</v>
      </c>
      <c r="O18" s="202">
        <f t="shared" si="8"/>
        <v>793.44</v>
      </c>
      <c r="P18" s="203">
        <f t="shared" si="9"/>
        <v>3570.48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10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11"/>
        <v>15819.68</v>
      </c>
      <c r="AM18" s="204">
        <f t="shared" si="12"/>
        <v>37020.32</v>
      </c>
      <c r="AN18" s="291"/>
      <c r="AO18" s="207"/>
      <c r="AP18" s="207"/>
      <c r="AQ18" s="212">
        <f t="shared" si="13"/>
        <v>0</v>
      </c>
      <c r="AR18" s="212">
        <f t="shared" si="14"/>
        <v>37020.32</v>
      </c>
      <c r="AS18" s="212"/>
      <c r="AT18" s="212"/>
      <c r="AU18" s="212">
        <f t="shared" si="15"/>
        <v>545.49</v>
      </c>
      <c r="AV18" s="292"/>
      <c r="AW18" s="292" t="str">
        <f t="shared" si="16"/>
        <v>25%</v>
      </c>
      <c r="AX18" s="210">
        <v>22</v>
      </c>
      <c r="AY18" s="212">
        <v>150</v>
      </c>
      <c r="AZ18" s="292">
        <v>22</v>
      </c>
      <c r="BA18" s="212">
        <v>50</v>
      </c>
      <c r="BB18" s="212">
        <f t="shared" si="17"/>
        <v>0</v>
      </c>
      <c r="BC18" s="212">
        <f t="shared" si="18"/>
        <v>1100</v>
      </c>
      <c r="BD18" s="210"/>
    </row>
    <row r="19" spans="1:58" s="217" customFormat="1" ht="35.25" customHeight="1" x14ac:dyDescent="0.25">
      <c r="A19" s="297">
        <v>11</v>
      </c>
      <c r="B19" s="298"/>
      <c r="C19" s="299" t="s">
        <v>267</v>
      </c>
      <c r="D19" s="300">
        <v>16</v>
      </c>
      <c r="E19" s="201">
        <v>39672</v>
      </c>
      <c r="F19" s="301">
        <f t="shared" si="0"/>
        <v>100</v>
      </c>
      <c r="G19" s="301">
        <f t="shared" si="1"/>
        <v>4760.6400000000003</v>
      </c>
      <c r="H19" s="302">
        <f t="shared" si="2"/>
        <v>39672</v>
      </c>
      <c r="I19" s="302">
        <f t="shared" si="3"/>
        <v>2000</v>
      </c>
      <c r="J19" s="302">
        <f t="shared" si="4"/>
        <v>1100</v>
      </c>
      <c r="K19" s="302">
        <f t="shared" si="5"/>
        <v>150</v>
      </c>
      <c r="L19" s="302">
        <f t="shared" si="6"/>
        <v>9918</v>
      </c>
      <c r="M19" s="302">
        <f t="shared" si="7"/>
        <v>52840</v>
      </c>
      <c r="N19" s="302">
        <v>11468.3</v>
      </c>
      <c r="O19" s="302">
        <f t="shared" si="8"/>
        <v>793.44</v>
      </c>
      <c r="P19" s="303">
        <f t="shared" si="9"/>
        <v>3570.48</v>
      </c>
      <c r="Q19" s="303"/>
      <c r="R19" s="303"/>
      <c r="S19" s="303"/>
      <c r="T19" s="303"/>
      <c r="U19" s="303"/>
      <c r="V19" s="303"/>
      <c r="W19" s="303"/>
      <c r="X19" s="303"/>
      <c r="Y19" s="303"/>
      <c r="Z19" s="303">
        <f t="shared" si="10"/>
        <v>100</v>
      </c>
      <c r="AA19" s="303"/>
      <c r="AB19" s="303"/>
      <c r="AC19" s="303"/>
      <c r="AD19" s="303"/>
      <c r="AE19" s="303"/>
      <c r="AF19" s="303"/>
      <c r="AG19" s="303"/>
      <c r="AH19" s="303"/>
      <c r="AI19" s="303"/>
      <c r="AJ19" s="303"/>
      <c r="AK19" s="303"/>
      <c r="AL19" s="303">
        <f t="shared" si="11"/>
        <v>15932.22</v>
      </c>
      <c r="AM19" s="304">
        <f t="shared" si="12"/>
        <v>36907.78</v>
      </c>
      <c r="AN19" s="305"/>
      <c r="AO19" s="306"/>
      <c r="AP19" s="307"/>
      <c r="AQ19" s="308">
        <f t="shared" si="13"/>
        <v>0</v>
      </c>
      <c r="AR19" s="213">
        <f t="shared" si="14"/>
        <v>36907.78</v>
      </c>
      <c r="AS19" s="213"/>
      <c r="AT19" s="213"/>
      <c r="AU19" s="213">
        <f t="shared" si="15"/>
        <v>545.49</v>
      </c>
      <c r="AV19" s="214"/>
      <c r="AW19" s="214" t="str">
        <f t="shared" si="16"/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 t="shared" si="17"/>
        <v>0</v>
      </c>
      <c r="BC19" s="213">
        <f t="shared" si="18"/>
        <v>1100</v>
      </c>
      <c r="BD19" s="215"/>
    </row>
    <row r="20" spans="1:58" s="217" customFormat="1" ht="35.25" customHeight="1" x14ac:dyDescent="0.25">
      <c r="A20" s="290">
        <v>12</v>
      </c>
      <c r="B20" s="210"/>
      <c r="C20" s="254" t="s">
        <v>268</v>
      </c>
      <c r="D20" s="200">
        <v>16</v>
      </c>
      <c r="E20" s="201">
        <v>39672</v>
      </c>
      <c r="F20" s="301">
        <f>IF(H20&gt;0,100,0)</f>
        <v>100</v>
      </c>
      <c r="G20" s="301">
        <f t="shared" ref="G20" si="19">+ROUND(H20*12%,2)</f>
        <v>4760.6400000000003</v>
      </c>
      <c r="H20" s="256">
        <f t="shared" si="2"/>
        <v>39672</v>
      </c>
      <c r="I20" s="256">
        <f t="shared" si="3"/>
        <v>2000</v>
      </c>
      <c r="J20" s="256">
        <f t="shared" si="4"/>
        <v>1100</v>
      </c>
      <c r="K20" s="202">
        <f t="shared" si="5"/>
        <v>150</v>
      </c>
      <c r="L20" s="202">
        <f t="shared" si="6"/>
        <v>9918</v>
      </c>
      <c r="M20" s="256">
        <f t="shared" si="7"/>
        <v>52840</v>
      </c>
      <c r="N20" s="256">
        <v>10937.7</v>
      </c>
      <c r="O20" s="256">
        <f t="shared" si="8"/>
        <v>793.44</v>
      </c>
      <c r="P20" s="255">
        <f t="shared" si="9"/>
        <v>3570.48</v>
      </c>
      <c r="Q20" s="255"/>
      <c r="R20" s="255"/>
      <c r="S20" s="255"/>
      <c r="T20" s="255"/>
      <c r="U20" s="255"/>
      <c r="V20" s="255"/>
      <c r="W20" s="255"/>
      <c r="X20" s="255"/>
      <c r="Y20" s="255"/>
      <c r="Z20" s="255">
        <f t="shared" si="10"/>
        <v>100</v>
      </c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>
        <f t="shared" si="11"/>
        <v>15401.62</v>
      </c>
      <c r="AM20" s="257">
        <f t="shared" si="12"/>
        <v>37438.379999999997</v>
      </c>
      <c r="AN20" s="291"/>
      <c r="AO20" s="258"/>
      <c r="AP20" s="259"/>
      <c r="AQ20" s="260">
        <f t="shared" si="13"/>
        <v>0</v>
      </c>
      <c r="AR20" s="261">
        <f t="shared" si="14"/>
        <v>37438.379999999997</v>
      </c>
      <c r="AS20" s="261"/>
      <c r="AT20" s="261"/>
      <c r="AU20" s="261">
        <f t="shared" si="15"/>
        <v>545.49</v>
      </c>
      <c r="AV20" s="215"/>
      <c r="AW20" s="215" t="str">
        <f t="shared" si="16"/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 t="shared" si="17"/>
        <v>0</v>
      </c>
      <c r="BC20" s="213">
        <f t="shared" si="18"/>
        <v>1100</v>
      </c>
      <c r="BD20" s="215"/>
    </row>
    <row r="21" spans="1:58" s="217" customFormat="1" ht="35.25" customHeight="1" x14ac:dyDescent="0.25">
      <c r="A21" s="290">
        <v>13</v>
      </c>
      <c r="B21" s="210"/>
      <c r="C21" s="230" t="s">
        <v>269</v>
      </c>
      <c r="D21" s="200">
        <v>16</v>
      </c>
      <c r="E21" s="201">
        <v>39672</v>
      </c>
      <c r="F21" s="201">
        <f t="shared" si="0"/>
        <v>100</v>
      </c>
      <c r="G21" s="201">
        <f t="shared" si="1"/>
        <v>4760.6400000000003</v>
      </c>
      <c r="H21" s="202">
        <f t="shared" si="2"/>
        <v>39672</v>
      </c>
      <c r="I21" s="202">
        <f t="shared" si="3"/>
        <v>2000</v>
      </c>
      <c r="J21" s="202">
        <f t="shared" si="4"/>
        <v>1100</v>
      </c>
      <c r="K21" s="202">
        <f t="shared" ref="K21:K26" si="20">IF(AND(H21&gt;0,AX21&gt;11)=TRUE,150,0)</f>
        <v>150</v>
      </c>
      <c r="L21" s="202">
        <f t="shared" ref="L21:L26" si="21">ROUND(IF(AND($H21&gt;0,AX21&gt;11)=TRUE,$AW21*$E21,0),2)</f>
        <v>9918</v>
      </c>
      <c r="M21" s="202">
        <f t="shared" si="7"/>
        <v>52840</v>
      </c>
      <c r="N21" s="202">
        <v>9459.39</v>
      </c>
      <c r="O21" s="202">
        <f t="shared" si="8"/>
        <v>793.44</v>
      </c>
      <c r="P21" s="203">
        <f t="shared" si="9"/>
        <v>3570.48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 t="shared" si="10"/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 t="shared" si="11"/>
        <v>13923.31</v>
      </c>
      <c r="AM21" s="204">
        <f t="shared" si="12"/>
        <v>38916.69</v>
      </c>
      <c r="AN21" s="291"/>
      <c r="AO21" s="211"/>
      <c r="AP21" s="207"/>
      <c r="AQ21" s="212">
        <f t="shared" si="13"/>
        <v>0</v>
      </c>
      <c r="AR21" s="213">
        <f t="shared" si="14"/>
        <v>38916.69</v>
      </c>
      <c r="AS21" s="213"/>
      <c r="AT21" s="213"/>
      <c r="AU21" s="213">
        <f t="shared" si="15"/>
        <v>545.49</v>
      </c>
      <c r="AV21" s="214"/>
      <c r="AW21" s="214" t="str">
        <f t="shared" si="16"/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 t="shared" si="17"/>
        <v>0</v>
      </c>
      <c r="BC21" s="213">
        <f t="shared" si="18"/>
        <v>1100</v>
      </c>
      <c r="BD21" s="215"/>
    </row>
    <row r="22" spans="1:58" s="217" customFormat="1" ht="41.25" customHeight="1" x14ac:dyDescent="0.25">
      <c r="A22" s="290">
        <v>14</v>
      </c>
      <c r="B22" s="210"/>
      <c r="C22" s="231" t="s">
        <v>270</v>
      </c>
      <c r="D22" s="200">
        <v>16</v>
      </c>
      <c r="E22" s="201">
        <v>39672</v>
      </c>
      <c r="F22" s="201">
        <f t="shared" si="0"/>
        <v>100</v>
      </c>
      <c r="G22" s="201">
        <f t="shared" si="1"/>
        <v>4760.6400000000003</v>
      </c>
      <c r="H22" s="202">
        <f t="shared" si="2"/>
        <v>39672</v>
      </c>
      <c r="I22" s="202">
        <f t="shared" si="3"/>
        <v>2000</v>
      </c>
      <c r="J22" s="202">
        <f t="shared" si="4"/>
        <v>600</v>
      </c>
      <c r="K22" s="202">
        <f t="shared" ref="K22" si="22">IF(AND(H22&gt;0,AX22&gt;11)=TRUE,150,0)</f>
        <v>150</v>
      </c>
      <c r="L22" s="202">
        <f t="shared" ref="L22" si="23">ROUND(IF(AND($H22&gt;0,AX22&gt;11)=TRUE,$AW22*$E22,0),2)</f>
        <v>9918</v>
      </c>
      <c r="M22" s="202">
        <f t="shared" si="7"/>
        <v>52340</v>
      </c>
      <c r="N22" s="202">
        <v>10825.16</v>
      </c>
      <c r="O22" s="202">
        <f t="shared" si="8"/>
        <v>793.44</v>
      </c>
      <c r="P22" s="203">
        <f t="shared" si="9"/>
        <v>3570.48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 t="shared" si="10"/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 t="shared" si="11"/>
        <v>15289.08</v>
      </c>
      <c r="AM22" s="204">
        <f t="shared" si="12"/>
        <v>37050.92</v>
      </c>
      <c r="AN22" s="369" t="s">
        <v>480</v>
      </c>
      <c r="AO22" s="211"/>
      <c r="AP22" s="207"/>
      <c r="AQ22" s="212">
        <f t="shared" si="13"/>
        <v>0</v>
      </c>
      <c r="AR22" s="213">
        <f t="shared" si="14"/>
        <v>37050.92</v>
      </c>
      <c r="AS22" s="213"/>
      <c r="AT22" s="213"/>
      <c r="AU22" s="213">
        <f t="shared" si="15"/>
        <v>545.49</v>
      </c>
      <c r="AV22" s="214"/>
      <c r="AW22" s="214" t="str">
        <f t="shared" si="16"/>
        <v>25%</v>
      </c>
      <c r="AX22" s="215">
        <v>22</v>
      </c>
      <c r="AY22" s="213">
        <v>150</v>
      </c>
      <c r="AZ22" s="214">
        <v>22</v>
      </c>
      <c r="BA22" s="213">
        <v>50</v>
      </c>
      <c r="BB22" s="213">
        <f t="shared" si="17"/>
        <v>500</v>
      </c>
      <c r="BC22" s="213">
        <f t="shared" si="18"/>
        <v>1100</v>
      </c>
      <c r="BD22" s="215">
        <v>10</v>
      </c>
    </row>
    <row r="23" spans="1:58" s="217" customFormat="1" ht="35.25" customHeight="1" x14ac:dyDescent="0.25">
      <c r="A23" s="290">
        <v>15</v>
      </c>
      <c r="B23" s="210"/>
      <c r="C23" s="230" t="s">
        <v>271</v>
      </c>
      <c r="D23" s="200">
        <v>16</v>
      </c>
      <c r="E23" s="201">
        <v>39672</v>
      </c>
      <c r="F23" s="201">
        <f t="shared" si="0"/>
        <v>100</v>
      </c>
      <c r="G23" s="201">
        <f t="shared" si="1"/>
        <v>4760.6400000000003</v>
      </c>
      <c r="H23" s="202">
        <f t="shared" si="2"/>
        <v>39672</v>
      </c>
      <c r="I23" s="202">
        <f t="shared" si="3"/>
        <v>2000</v>
      </c>
      <c r="J23" s="202">
        <f t="shared" si="4"/>
        <v>1100</v>
      </c>
      <c r="K23" s="202">
        <f t="shared" si="20"/>
        <v>150</v>
      </c>
      <c r="L23" s="202">
        <f t="shared" si="21"/>
        <v>9918</v>
      </c>
      <c r="M23" s="202">
        <f t="shared" si="7"/>
        <v>52840</v>
      </c>
      <c r="N23" s="202">
        <v>11355.76</v>
      </c>
      <c r="O23" s="202">
        <f t="shared" si="8"/>
        <v>793.44</v>
      </c>
      <c r="P23" s="203">
        <f t="shared" si="9"/>
        <v>3570.48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 t="shared" si="10"/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 t="shared" si="11"/>
        <v>15819.68</v>
      </c>
      <c r="AM23" s="204">
        <f t="shared" si="12"/>
        <v>37020.32</v>
      </c>
      <c r="AN23" s="291"/>
      <c r="AO23" s="211"/>
      <c r="AP23" s="207"/>
      <c r="AQ23" s="212">
        <f t="shared" si="13"/>
        <v>0</v>
      </c>
      <c r="AR23" s="213">
        <f t="shared" si="14"/>
        <v>37020.32</v>
      </c>
      <c r="AS23" s="213"/>
      <c r="AT23" s="213"/>
      <c r="AU23" s="213">
        <f t="shared" si="15"/>
        <v>545.49</v>
      </c>
      <c r="AV23" s="214"/>
      <c r="AW23" s="214" t="str">
        <f t="shared" si="16"/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 t="shared" si="17"/>
        <v>0</v>
      </c>
      <c r="BC23" s="213">
        <f t="shared" si="18"/>
        <v>1100</v>
      </c>
      <c r="BD23" s="215"/>
    </row>
    <row r="24" spans="1:58" s="217" customFormat="1" ht="35.25" customHeight="1" x14ac:dyDescent="0.25">
      <c r="A24" s="290">
        <v>16</v>
      </c>
      <c r="B24" s="210"/>
      <c r="C24" s="230" t="s">
        <v>272</v>
      </c>
      <c r="D24" s="200">
        <v>16</v>
      </c>
      <c r="E24" s="201">
        <v>39672</v>
      </c>
      <c r="F24" s="201">
        <f t="shared" si="0"/>
        <v>100</v>
      </c>
      <c r="G24" s="201">
        <f t="shared" si="1"/>
        <v>4760.6400000000003</v>
      </c>
      <c r="H24" s="202">
        <f t="shared" si="2"/>
        <v>39672</v>
      </c>
      <c r="I24" s="202">
        <f t="shared" si="3"/>
        <v>2000</v>
      </c>
      <c r="J24" s="202">
        <f t="shared" si="4"/>
        <v>1100</v>
      </c>
      <c r="K24" s="202">
        <f t="shared" si="20"/>
        <v>150</v>
      </c>
      <c r="L24" s="202">
        <f t="shared" si="21"/>
        <v>9918</v>
      </c>
      <c r="M24" s="202">
        <f t="shared" si="7"/>
        <v>52840</v>
      </c>
      <c r="N24" s="202">
        <v>11355.76</v>
      </c>
      <c r="O24" s="202">
        <f t="shared" si="8"/>
        <v>793.44</v>
      </c>
      <c r="P24" s="203">
        <f t="shared" si="9"/>
        <v>3570.48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 t="shared" si="10"/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 t="shared" si="11"/>
        <v>15819.68</v>
      </c>
      <c r="AM24" s="204">
        <f t="shared" si="12"/>
        <v>37020.32</v>
      </c>
      <c r="AN24" s="291"/>
      <c r="AO24" s="211"/>
      <c r="AP24" s="207"/>
      <c r="AQ24" s="212">
        <f t="shared" si="13"/>
        <v>0</v>
      </c>
      <c r="AR24" s="213">
        <f t="shared" si="14"/>
        <v>37020.32</v>
      </c>
      <c r="AS24" s="213"/>
      <c r="AT24" s="213"/>
      <c r="AU24" s="213">
        <f t="shared" si="15"/>
        <v>545.49</v>
      </c>
      <c r="AV24" s="214"/>
      <c r="AW24" s="214" t="str">
        <f t="shared" si="16"/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 t="shared" si="17"/>
        <v>0</v>
      </c>
      <c r="BC24" s="213">
        <f t="shared" si="18"/>
        <v>1100</v>
      </c>
      <c r="BD24" s="215"/>
    </row>
    <row r="25" spans="1:58" s="217" customFormat="1" ht="35.25" customHeight="1" x14ac:dyDescent="0.25">
      <c r="A25" s="290">
        <v>17</v>
      </c>
      <c r="B25" s="210"/>
      <c r="C25" s="230" t="s">
        <v>273</v>
      </c>
      <c r="D25" s="200">
        <v>16</v>
      </c>
      <c r="E25" s="201">
        <v>39672</v>
      </c>
      <c r="F25" s="201">
        <f t="shared" si="0"/>
        <v>100</v>
      </c>
      <c r="G25" s="201">
        <f t="shared" si="1"/>
        <v>4760.6400000000003</v>
      </c>
      <c r="H25" s="202">
        <f t="shared" si="2"/>
        <v>39672</v>
      </c>
      <c r="I25" s="202">
        <f t="shared" si="3"/>
        <v>2000</v>
      </c>
      <c r="J25" s="202">
        <f t="shared" si="4"/>
        <v>1100</v>
      </c>
      <c r="K25" s="202">
        <f t="shared" si="20"/>
        <v>150</v>
      </c>
      <c r="L25" s="202">
        <f t="shared" si="21"/>
        <v>9918</v>
      </c>
      <c r="M25" s="202">
        <f t="shared" si="7"/>
        <v>52840</v>
      </c>
      <c r="N25" s="202">
        <v>11155.76</v>
      </c>
      <c r="O25" s="202">
        <f t="shared" si="8"/>
        <v>793.44</v>
      </c>
      <c r="P25" s="203">
        <f t="shared" si="9"/>
        <v>3570.48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 t="shared" si="10"/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 t="shared" si="11"/>
        <v>15619.68</v>
      </c>
      <c r="AM25" s="204">
        <f t="shared" si="12"/>
        <v>37220.32</v>
      </c>
      <c r="AN25" s="291"/>
      <c r="AO25" s="211"/>
      <c r="AP25" s="207"/>
      <c r="AQ25" s="212">
        <f t="shared" si="13"/>
        <v>0</v>
      </c>
      <c r="AR25" s="213">
        <f t="shared" si="14"/>
        <v>37220.32</v>
      </c>
      <c r="AS25" s="213"/>
      <c r="AT25" s="213"/>
      <c r="AU25" s="213">
        <f t="shared" si="15"/>
        <v>545.49</v>
      </c>
      <c r="AV25" s="214"/>
      <c r="AW25" s="214" t="str">
        <f t="shared" si="16"/>
        <v>25%</v>
      </c>
      <c r="AX25" s="215">
        <v>22</v>
      </c>
      <c r="AY25" s="213">
        <v>150</v>
      </c>
      <c r="AZ25" s="214">
        <v>22</v>
      </c>
      <c r="BA25" s="213">
        <v>50</v>
      </c>
      <c r="BB25" s="213">
        <f t="shared" si="17"/>
        <v>0</v>
      </c>
      <c r="BC25" s="213">
        <f t="shared" si="18"/>
        <v>1100</v>
      </c>
      <c r="BD25" s="215"/>
    </row>
    <row r="26" spans="1:58" s="217" customFormat="1" ht="35.25" customHeight="1" x14ac:dyDescent="0.25">
      <c r="A26" s="290">
        <v>18</v>
      </c>
      <c r="B26" s="210"/>
      <c r="C26" s="230" t="s">
        <v>274</v>
      </c>
      <c r="D26" s="200">
        <v>16</v>
      </c>
      <c r="E26" s="201">
        <v>39672</v>
      </c>
      <c r="F26" s="201">
        <f t="shared" si="0"/>
        <v>100</v>
      </c>
      <c r="G26" s="201">
        <f t="shared" si="1"/>
        <v>4760.6400000000003</v>
      </c>
      <c r="H26" s="202">
        <f t="shared" si="2"/>
        <v>39672</v>
      </c>
      <c r="I26" s="202">
        <f t="shared" si="3"/>
        <v>2000</v>
      </c>
      <c r="J26" s="202">
        <f t="shared" si="4"/>
        <v>1100</v>
      </c>
      <c r="K26" s="202">
        <f t="shared" si="20"/>
        <v>150</v>
      </c>
      <c r="L26" s="202">
        <f t="shared" si="21"/>
        <v>9918</v>
      </c>
      <c r="M26" s="202">
        <f t="shared" si="7"/>
        <v>52840</v>
      </c>
      <c r="N26" s="202">
        <v>11155.76</v>
      </c>
      <c r="O26" s="202">
        <f t="shared" si="8"/>
        <v>793.44</v>
      </c>
      <c r="P26" s="203">
        <f t="shared" si="9"/>
        <v>3570.48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 t="shared" si="10"/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si="11"/>
        <v>15619.68</v>
      </c>
      <c r="AM26" s="204">
        <f t="shared" si="12"/>
        <v>37220.32</v>
      </c>
      <c r="AN26" s="291"/>
      <c r="AO26" s="211"/>
      <c r="AP26" s="207"/>
      <c r="AQ26" s="212">
        <f t="shared" si="13"/>
        <v>0</v>
      </c>
      <c r="AR26" s="213">
        <f t="shared" si="14"/>
        <v>37220.32</v>
      </c>
      <c r="AS26" s="213"/>
      <c r="AT26" s="213"/>
      <c r="AU26" s="213">
        <f t="shared" si="15"/>
        <v>545.49</v>
      </c>
      <c r="AV26" s="214"/>
      <c r="AW26" s="214" t="str">
        <f t="shared" si="16"/>
        <v>25%</v>
      </c>
      <c r="AX26" s="215">
        <v>22</v>
      </c>
      <c r="AY26" s="213">
        <v>150</v>
      </c>
      <c r="AZ26" s="214">
        <v>22</v>
      </c>
      <c r="BA26" s="213">
        <v>50</v>
      </c>
      <c r="BB26" s="213">
        <f t="shared" si="17"/>
        <v>0</v>
      </c>
      <c r="BC26" s="213">
        <f t="shared" si="18"/>
        <v>1100</v>
      </c>
      <c r="BD26" s="215"/>
    </row>
    <row r="27" spans="1:58" s="233" customFormat="1" ht="35.25" customHeight="1" x14ac:dyDescent="0.25">
      <c r="A27" s="290">
        <v>19</v>
      </c>
      <c r="B27" s="232"/>
      <c r="C27" s="230" t="s">
        <v>275</v>
      </c>
      <c r="D27" s="200">
        <v>16</v>
      </c>
      <c r="E27" s="201">
        <v>39672</v>
      </c>
      <c r="F27" s="201">
        <f>IF(H27&gt;0,100,0)</f>
        <v>100</v>
      </c>
      <c r="G27" s="201">
        <f>+ROUND(H27*12%,2)</f>
        <v>4760.6400000000003</v>
      </c>
      <c r="H27" s="202">
        <f>ROUND(IF(AX27&gt;22,0,IF(AX27=22,E27,IF(AX27&lt;22,E27*(AX27/AZ27),IF(OR(AX27=0,AX27=" ")=TRUE,0)))),2)</f>
        <v>39672</v>
      </c>
      <c r="I27" s="202">
        <f>ROUND(IF(AND(H27&gt;0,AX27=22)=TRUE,2000,IF(AND(H27&gt;0,AX27&lt;22,AX27&gt;0)=TRUE,2000*(AX27/AZ27),IF(AX27&lt;0,0,0))),2)</f>
        <v>2000</v>
      </c>
      <c r="J27" s="202">
        <f>IF(H27&gt;0,BC27-BB27,0)</f>
        <v>1100</v>
      </c>
      <c r="K27" s="202">
        <f>IF(AND(H27&gt;0,AX27&gt;11)=TRUE,150,0)</f>
        <v>150</v>
      </c>
      <c r="L27" s="202">
        <f>ROUND(IF(AND($H27&gt;0,AX27&gt;11)=TRUE,$AW27*$E27,0),2)</f>
        <v>9918</v>
      </c>
      <c r="M27" s="202">
        <f>ROUND(SUM(H27:L27),2)</f>
        <v>52840</v>
      </c>
      <c r="N27" s="202">
        <v>11355.76</v>
      </c>
      <c r="O27" s="202">
        <f>E27*0.04/2</f>
        <v>793.44</v>
      </c>
      <c r="P27" s="203">
        <f>ROUND($H27*9%,2)</f>
        <v>3570.48</v>
      </c>
      <c r="Q27" s="203"/>
      <c r="R27" s="203"/>
      <c r="S27" s="203"/>
      <c r="T27" s="203"/>
      <c r="U27" s="203"/>
      <c r="V27" s="203"/>
      <c r="W27" s="203"/>
      <c r="X27" s="203"/>
      <c r="Y27" s="203"/>
      <c r="Z27" s="203">
        <f>ROUND(IF(H27&gt;0,100,0),2)</f>
        <v>100</v>
      </c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>
        <f>SUM(N27:AK27)</f>
        <v>15819.68</v>
      </c>
      <c r="AM27" s="204">
        <f>ROUND(M27-AL27,2)</f>
        <v>37020.32</v>
      </c>
      <c r="AN27" s="291"/>
      <c r="AO27" s="211"/>
      <c r="AP27" s="207"/>
      <c r="AQ27" s="212">
        <f>SUM(AO27:AP27)</f>
        <v>0</v>
      </c>
      <c r="AR27" s="213">
        <f>+AM27-AQ27</f>
        <v>37020.32</v>
      </c>
      <c r="AS27" s="213"/>
      <c r="AT27" s="213"/>
      <c r="AU27" s="213">
        <f>IF(E27=0,0,IF(E27&lt;=10000,137.5,IF(AND(E27&gt;10000,E27&lt;40000)=TRUE,E27*2.75%*50%,IF(E27&gt;=40000,550,0))))</f>
        <v>545.49</v>
      </c>
      <c r="AV27" s="214"/>
      <c r="AW27" s="214" t="str">
        <f>IF(AND($D27&gt;=1,$D27&lt;=19)=TRUE,"25%",IF($D27=20,"15%",IF($D27=21,"13%",IF($D27=22,"12%",IF($D27=23,"11%",IF(OR($D27=24,$D27=25)=TRUE,"10%",IF($D27=26,"9%",IF($D27=27,"8%",IF($D27=28,"7%",IF(OR($D27=29,$D27=30)=TRUE,"6%",IF($D27=31,"5%","0%")))))))))))</f>
        <v>25%</v>
      </c>
      <c r="AX27" s="215">
        <v>22</v>
      </c>
      <c r="AY27" s="213">
        <v>150</v>
      </c>
      <c r="AZ27" s="214">
        <v>22</v>
      </c>
      <c r="BA27" s="213">
        <v>50</v>
      </c>
      <c r="BB27" s="213">
        <f>IF(AX27&gt;0,(AZ27-AX27+BD27)*BA27,0)</f>
        <v>0</v>
      </c>
      <c r="BC27" s="213">
        <f>IF(AX27&gt;0,1100,0)</f>
        <v>1100</v>
      </c>
      <c r="BD27" s="215"/>
      <c r="BE27" s="217"/>
      <c r="BF27" s="217"/>
    </row>
    <row r="28" spans="1:58" s="217" customFormat="1" ht="35.25" customHeight="1" x14ac:dyDescent="0.25">
      <c r="A28" s="290">
        <v>20</v>
      </c>
      <c r="B28" s="210"/>
      <c r="C28" s="230" t="s">
        <v>276</v>
      </c>
      <c r="D28" s="200">
        <v>16</v>
      </c>
      <c r="E28" s="201">
        <v>39672</v>
      </c>
      <c r="F28" s="201">
        <f>IF(H28&gt;0,100,0)</f>
        <v>100</v>
      </c>
      <c r="G28" s="201">
        <f>+ROUND(H28*12%,2)</f>
        <v>4760.6400000000003</v>
      </c>
      <c r="H28" s="202">
        <f>ROUND(IF(AX28&gt;22,0,IF(AX28=22,E28,IF(AX28&lt;22,E28*(AX28/AZ28),IF(OR(AX28=0,AX28=" ")=TRUE,0)))),2)</f>
        <v>39672</v>
      </c>
      <c r="I28" s="202">
        <f>ROUND(IF(AND(H28&gt;0,AX28=22)=TRUE,2000,IF(AND(H28&gt;0,AX28&lt;22,AX28&gt;0)=TRUE,2000*(AX28/AZ28),IF(AX28&lt;0,0,0))),2)</f>
        <v>2000</v>
      </c>
      <c r="J28" s="202">
        <f>IF(H28&gt;0,BC28-BB28,0)</f>
        <v>1100</v>
      </c>
      <c r="K28" s="202">
        <f>IF(AND(H28&gt;0,AX28&gt;11)=TRUE,150,0)</f>
        <v>150</v>
      </c>
      <c r="L28" s="202">
        <f>ROUND(IF(AND($H28&gt;0,AX28&gt;11)=TRUE,$AW28*$E28,0),2)</f>
        <v>9918</v>
      </c>
      <c r="M28" s="202">
        <f>ROUND(SUM(H28:L28),2)</f>
        <v>52840</v>
      </c>
      <c r="N28" s="202">
        <v>11056.83</v>
      </c>
      <c r="O28" s="202">
        <f>E28*0.04/2</f>
        <v>793.44</v>
      </c>
      <c r="P28" s="203">
        <f>ROUND($H28*9%,2)</f>
        <v>3570.48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>
        <f>ROUND(IF(H28&gt;0,100,0),2)</f>
        <v>100</v>
      </c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>
        <f>SUM(N28:AK28)</f>
        <v>15520.75</v>
      </c>
      <c r="AM28" s="204">
        <f>ROUND(M28-AL28,2)</f>
        <v>37319.25</v>
      </c>
      <c r="AN28" s="291"/>
      <c r="AO28" s="211"/>
      <c r="AP28" s="207"/>
      <c r="AQ28" s="212">
        <f>SUM(AO28:AP28)</f>
        <v>0</v>
      </c>
      <c r="AR28" s="213">
        <f>+AM28-AQ28</f>
        <v>37319.25</v>
      </c>
      <c r="AS28" s="213"/>
      <c r="AT28" s="213"/>
      <c r="AU28" s="213">
        <f>IF(E28=0,0,IF(E28&lt;=10000,137.5,IF(AND(E28&gt;10000,E28&lt;40000)=TRUE,E28*2.75%*50%,IF(E28&gt;=40000,550,0))))</f>
        <v>545.49</v>
      </c>
      <c r="AV28" s="214"/>
      <c r="AW28" s="214" t="str">
        <f>IF(AND($D28&gt;=1,$D28&lt;=19)=TRUE,"25%",IF($D28=20,"15%",IF($D28=21,"13%",IF($D28=22,"12%",IF($D28=23,"11%",IF(OR($D28=24,$D28=25)=TRUE,"10%",IF($D28=26,"9%",IF($D28=27,"8%",IF($D28=28,"7%",IF(OR($D28=29,$D28=30)=TRUE,"6%",IF($D28=31,"5%","0%")))))))))))</f>
        <v>25%</v>
      </c>
      <c r="AX28" s="215">
        <v>22</v>
      </c>
      <c r="AY28" s="213">
        <v>150</v>
      </c>
      <c r="AZ28" s="214">
        <v>22</v>
      </c>
      <c r="BA28" s="213">
        <v>50</v>
      </c>
      <c r="BB28" s="213">
        <f>IF(AX28&gt;0,(AZ28-AX28+BD28)*BA28,0)</f>
        <v>0</v>
      </c>
      <c r="BC28" s="213">
        <f>IF(AX28&gt;0,1100,0)</f>
        <v>1100</v>
      </c>
      <c r="BD28" s="215"/>
    </row>
    <row r="29" spans="1:58" s="356" customFormat="1" ht="35.25" customHeight="1" x14ac:dyDescent="0.25">
      <c r="A29" s="365"/>
      <c r="B29" s="358"/>
      <c r="C29" s="359" t="s">
        <v>194</v>
      </c>
      <c r="D29" s="360"/>
      <c r="E29" s="355">
        <f>ROUND(SUM(E9:E28),2)</f>
        <v>793440</v>
      </c>
      <c r="F29" s="355">
        <f t="shared" ref="F29:BD29" si="24">ROUND(SUM(F9:F28),2)</f>
        <v>2000</v>
      </c>
      <c r="G29" s="355">
        <f t="shared" si="24"/>
        <v>95212.800000000003</v>
      </c>
      <c r="H29" s="355">
        <f t="shared" si="24"/>
        <v>793440</v>
      </c>
      <c r="I29" s="355">
        <f t="shared" si="24"/>
        <v>40000</v>
      </c>
      <c r="J29" s="355">
        <f t="shared" si="24"/>
        <v>21350</v>
      </c>
      <c r="K29" s="355">
        <f t="shared" si="24"/>
        <v>3000</v>
      </c>
      <c r="L29" s="355">
        <f t="shared" si="24"/>
        <v>198360</v>
      </c>
      <c r="M29" s="355">
        <f t="shared" si="24"/>
        <v>1056150</v>
      </c>
      <c r="N29" s="355">
        <f t="shared" si="24"/>
        <v>223121.32</v>
      </c>
      <c r="O29" s="355">
        <f t="shared" si="24"/>
        <v>15868.8</v>
      </c>
      <c r="P29" s="355">
        <f t="shared" si="24"/>
        <v>71409.600000000006</v>
      </c>
      <c r="Q29" s="355">
        <f t="shared" si="24"/>
        <v>0</v>
      </c>
      <c r="R29" s="355">
        <f t="shared" si="24"/>
        <v>0</v>
      </c>
      <c r="S29" s="355">
        <f t="shared" si="24"/>
        <v>0</v>
      </c>
      <c r="T29" s="355">
        <f t="shared" si="24"/>
        <v>0</v>
      </c>
      <c r="U29" s="355">
        <f t="shared" si="24"/>
        <v>0</v>
      </c>
      <c r="V29" s="355">
        <f t="shared" si="24"/>
        <v>0</v>
      </c>
      <c r="W29" s="355">
        <f t="shared" si="24"/>
        <v>0</v>
      </c>
      <c r="X29" s="355">
        <f t="shared" si="24"/>
        <v>0</v>
      </c>
      <c r="Y29" s="355">
        <f t="shared" si="24"/>
        <v>0</v>
      </c>
      <c r="Z29" s="355">
        <f t="shared" si="24"/>
        <v>2000</v>
      </c>
      <c r="AA29" s="355">
        <f t="shared" si="24"/>
        <v>0</v>
      </c>
      <c r="AB29" s="355">
        <f t="shared" si="24"/>
        <v>0</v>
      </c>
      <c r="AC29" s="355">
        <f t="shared" si="24"/>
        <v>0</v>
      </c>
      <c r="AD29" s="355">
        <f t="shared" si="24"/>
        <v>0</v>
      </c>
      <c r="AE29" s="355">
        <f t="shared" si="24"/>
        <v>0</v>
      </c>
      <c r="AF29" s="355">
        <f t="shared" si="24"/>
        <v>0</v>
      </c>
      <c r="AG29" s="355">
        <f t="shared" si="24"/>
        <v>0</v>
      </c>
      <c r="AH29" s="355">
        <f t="shared" si="24"/>
        <v>0</v>
      </c>
      <c r="AI29" s="355">
        <f t="shared" si="24"/>
        <v>0</v>
      </c>
      <c r="AJ29" s="355">
        <f t="shared" si="24"/>
        <v>0</v>
      </c>
      <c r="AK29" s="355">
        <f t="shared" si="24"/>
        <v>0</v>
      </c>
      <c r="AL29" s="355">
        <f t="shared" si="24"/>
        <v>312399.71999999997</v>
      </c>
      <c r="AM29" s="355">
        <f t="shared" si="24"/>
        <v>743750.28</v>
      </c>
      <c r="AN29" s="355">
        <f t="shared" si="24"/>
        <v>0</v>
      </c>
      <c r="AO29" s="355">
        <f t="shared" si="24"/>
        <v>0</v>
      </c>
      <c r="AP29" s="355">
        <f t="shared" si="24"/>
        <v>0</v>
      </c>
      <c r="AQ29" s="355">
        <f t="shared" si="24"/>
        <v>0</v>
      </c>
      <c r="AR29" s="355">
        <f t="shared" si="24"/>
        <v>743750.28</v>
      </c>
      <c r="AS29" s="355">
        <f t="shared" si="24"/>
        <v>0</v>
      </c>
      <c r="AT29" s="355">
        <f t="shared" si="24"/>
        <v>0</v>
      </c>
      <c r="AU29" s="355">
        <f t="shared" si="24"/>
        <v>10909.8</v>
      </c>
      <c r="AV29" s="355">
        <f t="shared" si="24"/>
        <v>0</v>
      </c>
      <c r="AW29" s="355">
        <f t="shared" si="24"/>
        <v>0</v>
      </c>
      <c r="AX29" s="355">
        <f t="shared" si="24"/>
        <v>440</v>
      </c>
      <c r="AY29" s="355">
        <f t="shared" si="24"/>
        <v>3000</v>
      </c>
      <c r="AZ29" s="355">
        <f t="shared" si="24"/>
        <v>440</v>
      </c>
      <c r="BA29" s="355">
        <f t="shared" si="24"/>
        <v>1000</v>
      </c>
      <c r="BB29" s="355">
        <f t="shared" si="24"/>
        <v>650</v>
      </c>
      <c r="BC29" s="355">
        <f t="shared" si="24"/>
        <v>22000</v>
      </c>
      <c r="BD29" s="355">
        <f t="shared" si="24"/>
        <v>13</v>
      </c>
      <c r="BE29" s="355"/>
      <c r="BF29" s="355"/>
    </row>
    <row r="30" spans="1:58" s="217" customFormat="1" ht="36.75" customHeight="1" x14ac:dyDescent="0.25">
      <c r="A30" s="290">
        <v>21</v>
      </c>
      <c r="B30" s="210"/>
      <c r="C30" s="230" t="s">
        <v>277</v>
      </c>
      <c r="D30" s="200">
        <v>16</v>
      </c>
      <c r="E30" s="201">
        <v>39672</v>
      </c>
      <c r="F30" s="201">
        <f t="shared" ref="F30:F46" si="25">IF(H30&gt;0,100,0)</f>
        <v>100</v>
      </c>
      <c r="G30" s="201">
        <f t="shared" ref="G30:G46" si="26">+ROUND(H30*12%,2)</f>
        <v>4760.6400000000003</v>
      </c>
      <c r="H30" s="202">
        <f t="shared" ref="H30:H46" si="27">ROUND(IF(AX30&gt;22,0,IF(AX30=22,E30,IF(AX30&lt;22,E30*(AX30/AZ30),IF(OR(AX30=0,AX30=" ")=TRUE,0)))),2)</f>
        <v>39672</v>
      </c>
      <c r="I30" s="202">
        <f t="shared" ref="I30:I46" si="28">ROUND(IF(AND(H30&gt;0,AX30=22)=TRUE,2000,IF(AND(H30&gt;0,AX30&lt;22,AX30&gt;0)=TRUE,2000*(AX30/AZ30),IF(AX30&lt;0,0,0))),2)</f>
        <v>2000</v>
      </c>
      <c r="J30" s="202">
        <f t="shared" ref="J30:J46" si="29">IF(H30&gt;0,BC30-BB30,0)</f>
        <v>1050</v>
      </c>
      <c r="K30" s="202">
        <f t="shared" ref="K30:K46" si="30">IF(AND(H30&gt;0,AX30&gt;11)=TRUE,150,0)</f>
        <v>150</v>
      </c>
      <c r="L30" s="202">
        <f t="shared" ref="L30:L46" si="31">ROUND(IF(AND($H30&gt;0,AX30&gt;11)=TRUE,$AW30*$E30,0),2)</f>
        <v>9918</v>
      </c>
      <c r="M30" s="202">
        <f t="shared" ref="M30:M46" si="32">ROUND(SUM(H30:L30),2)</f>
        <v>52790</v>
      </c>
      <c r="N30" s="202">
        <v>10255.76</v>
      </c>
      <c r="O30" s="202">
        <f t="shared" ref="O30:O46" si="33">E30*0.04/2</f>
        <v>793.44</v>
      </c>
      <c r="P30" s="203">
        <f t="shared" ref="P30:P46" si="34">ROUND($H30*9%,2)</f>
        <v>3570.48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>
        <f t="shared" ref="Z30:Z46" si="35">ROUND(IF(H30&gt;0,100,0),2)</f>
        <v>100</v>
      </c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>
        <f t="shared" ref="AL30:AL46" si="36">SUM(N30:AK30)</f>
        <v>14719.68</v>
      </c>
      <c r="AM30" s="204">
        <f t="shared" ref="AM30:AM46" si="37">ROUND(M30-AL30,2)</f>
        <v>38070.32</v>
      </c>
      <c r="AN30" s="338" t="s">
        <v>473</v>
      </c>
      <c r="AO30" s="211"/>
      <c r="AP30" s="207"/>
      <c r="AQ30" s="212">
        <f t="shared" ref="AQ30:AQ46" si="38">SUM(AO30:AP30)</f>
        <v>0</v>
      </c>
      <c r="AR30" s="213">
        <f t="shared" ref="AR30:AR46" si="39">+AM30-AQ30</f>
        <v>38070.32</v>
      </c>
      <c r="AS30" s="213"/>
      <c r="AT30" s="213"/>
      <c r="AU30" s="213">
        <f t="shared" ref="AU30:AU46" si="40">IF(E30=0,0,IF(E30&lt;=10000,137.5,IF(AND(E30&gt;10000,E30&lt;40000)=TRUE,E30*2.75%*50%,IF(E30&gt;=40000,550,0))))</f>
        <v>545.49</v>
      </c>
      <c r="AV30" s="214"/>
      <c r="AW30" s="214" t="str">
        <f t="shared" ref="AW30:AW46" si="41">IF(AND($D30&gt;=1,$D30&lt;=19)=TRUE,"25%",IF($D30=20,"15%",IF($D30=21,"13%",IF($D30=22,"12%",IF($D30=23,"11%",IF(OR($D30=24,$D30=25)=TRUE,"10%",IF($D30=26,"9%",IF($D30=27,"8%",IF($D30=28,"7%",IF(OR($D30=29,$D30=30)=TRUE,"6%",IF($D30=31,"5%","0%")))))))))))</f>
        <v>25%</v>
      </c>
      <c r="AX30" s="215">
        <v>22</v>
      </c>
      <c r="AY30" s="213">
        <v>150</v>
      </c>
      <c r="AZ30" s="214">
        <v>22</v>
      </c>
      <c r="BA30" s="213">
        <v>50</v>
      </c>
      <c r="BB30" s="213">
        <f t="shared" ref="BB30:BB46" si="42">IF(AX30&gt;0,(AZ30-AX30+BD30)*BA30,0)</f>
        <v>50</v>
      </c>
      <c r="BC30" s="213">
        <f t="shared" ref="BC30:BC46" si="43">IF(AX30&gt;0,1100,0)</f>
        <v>1100</v>
      </c>
      <c r="BD30" s="215">
        <v>1</v>
      </c>
    </row>
    <row r="31" spans="1:58" s="217" customFormat="1" ht="36" customHeight="1" x14ac:dyDescent="0.25">
      <c r="A31" s="290">
        <v>22</v>
      </c>
      <c r="B31" s="210"/>
      <c r="C31" s="230" t="s">
        <v>278</v>
      </c>
      <c r="D31" s="200">
        <v>16</v>
      </c>
      <c r="E31" s="201">
        <v>39672</v>
      </c>
      <c r="F31" s="201">
        <f t="shared" si="25"/>
        <v>100</v>
      </c>
      <c r="G31" s="201">
        <f t="shared" si="26"/>
        <v>4760.6400000000003</v>
      </c>
      <c r="H31" s="202">
        <f t="shared" si="27"/>
        <v>39672</v>
      </c>
      <c r="I31" s="202">
        <f t="shared" si="28"/>
        <v>2000</v>
      </c>
      <c r="J31" s="202">
        <f t="shared" si="29"/>
        <v>1100</v>
      </c>
      <c r="K31" s="202">
        <f t="shared" si="30"/>
        <v>150</v>
      </c>
      <c r="L31" s="202">
        <f t="shared" si="31"/>
        <v>9918</v>
      </c>
      <c r="M31" s="202">
        <f t="shared" si="32"/>
        <v>52840</v>
      </c>
      <c r="N31" s="202">
        <v>11068.3</v>
      </c>
      <c r="O31" s="202">
        <f t="shared" si="33"/>
        <v>793.44</v>
      </c>
      <c r="P31" s="203">
        <f t="shared" si="34"/>
        <v>3570.48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>
        <f t="shared" si="35"/>
        <v>100</v>
      </c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>
        <f t="shared" si="36"/>
        <v>15532.22</v>
      </c>
      <c r="AM31" s="204">
        <f t="shared" si="37"/>
        <v>37307.78</v>
      </c>
      <c r="AN31" s="291"/>
      <c r="AO31" s="211"/>
      <c r="AP31" s="207"/>
      <c r="AQ31" s="212">
        <f t="shared" si="38"/>
        <v>0</v>
      </c>
      <c r="AR31" s="213">
        <f t="shared" si="39"/>
        <v>37307.78</v>
      </c>
      <c r="AS31" s="213"/>
      <c r="AT31" s="213"/>
      <c r="AU31" s="213">
        <f t="shared" si="40"/>
        <v>545.49</v>
      </c>
      <c r="AV31" s="214"/>
      <c r="AW31" s="214" t="str">
        <f t="shared" si="41"/>
        <v>25%</v>
      </c>
      <c r="AX31" s="215">
        <v>22</v>
      </c>
      <c r="AY31" s="213">
        <v>150</v>
      </c>
      <c r="AZ31" s="214">
        <v>22</v>
      </c>
      <c r="BA31" s="213">
        <v>50</v>
      </c>
      <c r="BB31" s="213">
        <f t="shared" si="42"/>
        <v>0</v>
      </c>
      <c r="BC31" s="213">
        <f t="shared" si="43"/>
        <v>1100</v>
      </c>
      <c r="BD31" s="215"/>
    </row>
    <row r="32" spans="1:58" s="217" customFormat="1" ht="36" customHeight="1" x14ac:dyDescent="0.25">
      <c r="A32" s="290">
        <v>23</v>
      </c>
      <c r="B32" s="210"/>
      <c r="C32" s="230" t="s">
        <v>279</v>
      </c>
      <c r="D32" s="200">
        <v>16</v>
      </c>
      <c r="E32" s="201">
        <v>39672</v>
      </c>
      <c r="F32" s="201">
        <f t="shared" si="25"/>
        <v>100</v>
      </c>
      <c r="G32" s="201">
        <f t="shared" si="26"/>
        <v>4760.6400000000003</v>
      </c>
      <c r="H32" s="202">
        <f t="shared" si="27"/>
        <v>39672</v>
      </c>
      <c r="I32" s="202">
        <f t="shared" si="28"/>
        <v>2000</v>
      </c>
      <c r="J32" s="202">
        <f t="shared" si="29"/>
        <v>1100</v>
      </c>
      <c r="K32" s="202">
        <f t="shared" si="30"/>
        <v>150</v>
      </c>
      <c r="L32" s="202">
        <f t="shared" si="31"/>
        <v>9918</v>
      </c>
      <c r="M32" s="202">
        <f t="shared" si="32"/>
        <v>52840</v>
      </c>
      <c r="N32" s="202">
        <v>11468.3</v>
      </c>
      <c r="O32" s="202">
        <f t="shared" si="33"/>
        <v>793.44</v>
      </c>
      <c r="P32" s="203">
        <f t="shared" si="34"/>
        <v>3570.48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>
        <f t="shared" si="35"/>
        <v>100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>
        <f t="shared" si="36"/>
        <v>15932.22</v>
      </c>
      <c r="AM32" s="204">
        <f t="shared" si="37"/>
        <v>36907.78</v>
      </c>
      <c r="AN32" s="291"/>
      <c r="AO32" s="211"/>
      <c r="AP32" s="207"/>
      <c r="AQ32" s="212">
        <f t="shared" si="38"/>
        <v>0</v>
      </c>
      <c r="AR32" s="213">
        <f t="shared" si="39"/>
        <v>36907.78</v>
      </c>
      <c r="AS32" s="213"/>
      <c r="AT32" s="213"/>
      <c r="AU32" s="213">
        <f t="shared" si="40"/>
        <v>545.49</v>
      </c>
      <c r="AV32" s="214"/>
      <c r="AW32" s="214" t="str">
        <f t="shared" si="41"/>
        <v>25%</v>
      </c>
      <c r="AX32" s="215">
        <v>22</v>
      </c>
      <c r="AY32" s="213">
        <v>150</v>
      </c>
      <c r="AZ32" s="214">
        <v>22</v>
      </c>
      <c r="BA32" s="213">
        <v>50</v>
      </c>
      <c r="BB32" s="213">
        <f t="shared" si="42"/>
        <v>0</v>
      </c>
      <c r="BC32" s="213">
        <f t="shared" si="43"/>
        <v>1100</v>
      </c>
      <c r="BD32" s="215"/>
    </row>
    <row r="33" spans="1:56" s="217" customFormat="1" ht="36" customHeight="1" x14ac:dyDescent="0.25">
      <c r="A33" s="290">
        <v>24</v>
      </c>
      <c r="B33" s="210"/>
      <c r="C33" s="230" t="s">
        <v>280</v>
      </c>
      <c r="D33" s="200">
        <v>16</v>
      </c>
      <c r="E33" s="201">
        <v>39672</v>
      </c>
      <c r="F33" s="201">
        <f t="shared" si="25"/>
        <v>100</v>
      </c>
      <c r="G33" s="201">
        <f t="shared" si="26"/>
        <v>4760.6400000000003</v>
      </c>
      <c r="H33" s="202">
        <f t="shared" si="27"/>
        <v>39672</v>
      </c>
      <c r="I33" s="202">
        <f t="shared" si="28"/>
        <v>2000</v>
      </c>
      <c r="J33" s="202">
        <f t="shared" si="29"/>
        <v>1100</v>
      </c>
      <c r="K33" s="202">
        <f t="shared" si="30"/>
        <v>150</v>
      </c>
      <c r="L33" s="202">
        <f t="shared" si="31"/>
        <v>9918</v>
      </c>
      <c r="M33" s="202">
        <f t="shared" si="32"/>
        <v>52840</v>
      </c>
      <c r="N33" s="202">
        <v>11037.84</v>
      </c>
      <c r="O33" s="202">
        <f t="shared" si="33"/>
        <v>793.44</v>
      </c>
      <c r="P33" s="203">
        <f t="shared" si="34"/>
        <v>3570.48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>
        <f t="shared" si="35"/>
        <v>100</v>
      </c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>
        <f t="shared" si="36"/>
        <v>15501.76</v>
      </c>
      <c r="AM33" s="204">
        <f t="shared" si="37"/>
        <v>37338.239999999998</v>
      </c>
      <c r="AN33" s="291"/>
      <c r="AO33" s="211"/>
      <c r="AP33" s="207"/>
      <c r="AQ33" s="212">
        <f t="shared" si="38"/>
        <v>0</v>
      </c>
      <c r="AR33" s="213">
        <f t="shared" si="39"/>
        <v>37338.239999999998</v>
      </c>
      <c r="AS33" s="213"/>
      <c r="AT33" s="213"/>
      <c r="AU33" s="213">
        <f t="shared" si="40"/>
        <v>545.49</v>
      </c>
      <c r="AV33" s="214"/>
      <c r="AW33" s="214" t="str">
        <f t="shared" si="41"/>
        <v>25%</v>
      </c>
      <c r="AX33" s="215">
        <v>22</v>
      </c>
      <c r="AY33" s="213">
        <v>150</v>
      </c>
      <c r="AZ33" s="214">
        <v>22</v>
      </c>
      <c r="BA33" s="213">
        <v>50</v>
      </c>
      <c r="BB33" s="213">
        <f t="shared" si="42"/>
        <v>0</v>
      </c>
      <c r="BC33" s="213">
        <f t="shared" si="43"/>
        <v>1100</v>
      </c>
      <c r="BD33" s="215"/>
    </row>
    <row r="34" spans="1:56" s="217" customFormat="1" ht="35.25" customHeight="1" x14ac:dyDescent="0.25">
      <c r="A34" s="290">
        <v>25</v>
      </c>
      <c r="B34" s="210"/>
      <c r="C34" s="230" t="s">
        <v>281</v>
      </c>
      <c r="D34" s="200">
        <v>16</v>
      </c>
      <c r="E34" s="201">
        <v>39672</v>
      </c>
      <c r="F34" s="201">
        <f t="shared" si="25"/>
        <v>100</v>
      </c>
      <c r="G34" s="201">
        <f t="shared" si="26"/>
        <v>4760.6400000000003</v>
      </c>
      <c r="H34" s="202">
        <f t="shared" si="27"/>
        <v>39672</v>
      </c>
      <c r="I34" s="202">
        <f t="shared" si="28"/>
        <v>2000</v>
      </c>
      <c r="J34" s="202">
        <f t="shared" si="29"/>
        <v>1100</v>
      </c>
      <c r="K34" s="202">
        <f t="shared" si="30"/>
        <v>150</v>
      </c>
      <c r="L34" s="202">
        <f t="shared" si="31"/>
        <v>9918</v>
      </c>
      <c r="M34" s="202">
        <f t="shared" si="32"/>
        <v>52840</v>
      </c>
      <c r="N34" s="202">
        <v>11655.76</v>
      </c>
      <c r="O34" s="202">
        <f t="shared" si="33"/>
        <v>793.44</v>
      </c>
      <c r="P34" s="203">
        <f t="shared" si="34"/>
        <v>3570.48</v>
      </c>
      <c r="Q34" s="203"/>
      <c r="R34" s="203"/>
      <c r="S34" s="203"/>
      <c r="T34" s="203"/>
      <c r="U34" s="203"/>
      <c r="V34" s="203"/>
      <c r="W34" s="203"/>
      <c r="X34" s="203"/>
      <c r="Y34" s="203"/>
      <c r="Z34" s="203">
        <f t="shared" si="35"/>
        <v>100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>
        <f t="shared" si="36"/>
        <v>16119.68</v>
      </c>
      <c r="AM34" s="204">
        <f t="shared" si="37"/>
        <v>36720.32</v>
      </c>
      <c r="AN34" s="291"/>
      <c r="AO34" s="211"/>
      <c r="AP34" s="207"/>
      <c r="AQ34" s="212">
        <f t="shared" si="38"/>
        <v>0</v>
      </c>
      <c r="AR34" s="213">
        <f t="shared" si="39"/>
        <v>36720.32</v>
      </c>
      <c r="AS34" s="213"/>
      <c r="AT34" s="213"/>
      <c r="AU34" s="213">
        <f t="shared" si="40"/>
        <v>545.49</v>
      </c>
      <c r="AV34" s="214"/>
      <c r="AW34" s="214" t="str">
        <f t="shared" si="41"/>
        <v>25%</v>
      </c>
      <c r="AX34" s="215">
        <v>22</v>
      </c>
      <c r="AY34" s="213">
        <v>150</v>
      </c>
      <c r="AZ34" s="214">
        <v>22</v>
      </c>
      <c r="BA34" s="213">
        <v>50</v>
      </c>
      <c r="BB34" s="213">
        <f t="shared" si="42"/>
        <v>0</v>
      </c>
      <c r="BC34" s="213">
        <f t="shared" si="43"/>
        <v>1100</v>
      </c>
      <c r="BD34" s="215"/>
    </row>
    <row r="35" spans="1:56" s="217" customFormat="1" ht="36" customHeight="1" x14ac:dyDescent="0.25">
      <c r="A35" s="290">
        <v>26</v>
      </c>
      <c r="B35" s="210"/>
      <c r="C35" s="230" t="s">
        <v>282</v>
      </c>
      <c r="D35" s="200">
        <v>16</v>
      </c>
      <c r="E35" s="201">
        <v>39672</v>
      </c>
      <c r="F35" s="201">
        <f t="shared" si="25"/>
        <v>100</v>
      </c>
      <c r="G35" s="201">
        <f t="shared" si="26"/>
        <v>4760.6400000000003</v>
      </c>
      <c r="H35" s="202">
        <f t="shared" si="27"/>
        <v>39672</v>
      </c>
      <c r="I35" s="202">
        <f t="shared" si="28"/>
        <v>2000</v>
      </c>
      <c r="J35" s="202">
        <f t="shared" si="29"/>
        <v>1100</v>
      </c>
      <c r="K35" s="202">
        <f t="shared" si="30"/>
        <v>150</v>
      </c>
      <c r="L35" s="202">
        <f t="shared" si="31"/>
        <v>9918</v>
      </c>
      <c r="M35" s="202">
        <f t="shared" si="32"/>
        <v>52840</v>
      </c>
      <c r="N35" s="202">
        <v>11355.76</v>
      </c>
      <c r="O35" s="202">
        <f t="shared" si="33"/>
        <v>793.44</v>
      </c>
      <c r="P35" s="203">
        <f t="shared" si="34"/>
        <v>3570.48</v>
      </c>
      <c r="Q35" s="203"/>
      <c r="R35" s="203"/>
      <c r="S35" s="203"/>
      <c r="T35" s="203"/>
      <c r="U35" s="203"/>
      <c r="V35" s="203"/>
      <c r="W35" s="203"/>
      <c r="X35" s="203"/>
      <c r="Y35" s="203"/>
      <c r="Z35" s="203">
        <f t="shared" si="35"/>
        <v>100</v>
      </c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>
        <f t="shared" si="36"/>
        <v>15819.68</v>
      </c>
      <c r="AM35" s="204">
        <f t="shared" si="37"/>
        <v>37020.32</v>
      </c>
      <c r="AN35" s="291"/>
      <c r="AO35" s="211"/>
      <c r="AP35" s="207"/>
      <c r="AQ35" s="212">
        <f t="shared" si="38"/>
        <v>0</v>
      </c>
      <c r="AR35" s="213">
        <f t="shared" si="39"/>
        <v>37020.32</v>
      </c>
      <c r="AS35" s="213"/>
      <c r="AT35" s="213"/>
      <c r="AU35" s="213">
        <f t="shared" si="40"/>
        <v>545.49</v>
      </c>
      <c r="AV35" s="214"/>
      <c r="AW35" s="214" t="str">
        <f t="shared" si="41"/>
        <v>25%</v>
      </c>
      <c r="AX35" s="215">
        <v>22</v>
      </c>
      <c r="AY35" s="213">
        <v>150</v>
      </c>
      <c r="AZ35" s="214">
        <v>22</v>
      </c>
      <c r="BA35" s="213">
        <v>50</v>
      </c>
      <c r="BB35" s="213">
        <f t="shared" si="42"/>
        <v>0</v>
      </c>
      <c r="BC35" s="213">
        <f t="shared" si="43"/>
        <v>1100</v>
      </c>
      <c r="BD35" s="215"/>
    </row>
    <row r="36" spans="1:56" s="217" customFormat="1" ht="36.75" customHeight="1" x14ac:dyDescent="0.25">
      <c r="A36" s="290">
        <v>27</v>
      </c>
      <c r="B36" s="210"/>
      <c r="C36" s="230" t="s">
        <v>283</v>
      </c>
      <c r="D36" s="200">
        <v>16</v>
      </c>
      <c r="E36" s="201">
        <v>39672</v>
      </c>
      <c r="F36" s="201">
        <f t="shared" si="25"/>
        <v>100</v>
      </c>
      <c r="G36" s="201">
        <f t="shared" si="26"/>
        <v>4760.6400000000003</v>
      </c>
      <c r="H36" s="202">
        <f t="shared" si="27"/>
        <v>39672</v>
      </c>
      <c r="I36" s="202">
        <f t="shared" si="28"/>
        <v>2000</v>
      </c>
      <c r="J36" s="202">
        <f t="shared" si="29"/>
        <v>1100</v>
      </c>
      <c r="K36" s="202">
        <f t="shared" si="30"/>
        <v>150</v>
      </c>
      <c r="L36" s="202">
        <f t="shared" si="31"/>
        <v>9918</v>
      </c>
      <c r="M36" s="202">
        <f t="shared" si="32"/>
        <v>52840</v>
      </c>
      <c r="N36" s="202">
        <v>11355.76</v>
      </c>
      <c r="O36" s="202">
        <f t="shared" si="33"/>
        <v>793.44</v>
      </c>
      <c r="P36" s="203">
        <f t="shared" si="34"/>
        <v>3570.48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3">
        <f t="shared" si="35"/>
        <v>100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>
        <f t="shared" si="36"/>
        <v>15819.68</v>
      </c>
      <c r="AM36" s="204">
        <f t="shared" si="37"/>
        <v>37020.32</v>
      </c>
      <c r="AN36" s="291"/>
      <c r="AO36" s="211"/>
      <c r="AP36" s="207"/>
      <c r="AQ36" s="212">
        <f t="shared" si="38"/>
        <v>0</v>
      </c>
      <c r="AR36" s="213">
        <f t="shared" si="39"/>
        <v>37020.32</v>
      </c>
      <c r="AS36" s="213"/>
      <c r="AT36" s="213"/>
      <c r="AU36" s="213">
        <f t="shared" si="40"/>
        <v>545.49</v>
      </c>
      <c r="AV36" s="214"/>
      <c r="AW36" s="214" t="str">
        <f t="shared" si="41"/>
        <v>25%</v>
      </c>
      <c r="AX36" s="215">
        <v>22</v>
      </c>
      <c r="AY36" s="213">
        <v>150</v>
      </c>
      <c r="AZ36" s="214">
        <v>22</v>
      </c>
      <c r="BA36" s="213">
        <v>50</v>
      </c>
      <c r="BB36" s="213">
        <f t="shared" si="42"/>
        <v>0</v>
      </c>
      <c r="BC36" s="213">
        <f t="shared" si="43"/>
        <v>1100</v>
      </c>
      <c r="BD36" s="215"/>
    </row>
    <row r="37" spans="1:56" s="217" customFormat="1" ht="36.75" customHeight="1" x14ac:dyDescent="0.25">
      <c r="A37" s="290">
        <v>28</v>
      </c>
      <c r="B37" s="210"/>
      <c r="C37" s="231" t="s">
        <v>284</v>
      </c>
      <c r="D37" s="200">
        <v>16</v>
      </c>
      <c r="E37" s="201">
        <v>39672</v>
      </c>
      <c r="F37" s="201">
        <f t="shared" si="25"/>
        <v>100</v>
      </c>
      <c r="G37" s="201">
        <f t="shared" si="26"/>
        <v>4760.6400000000003</v>
      </c>
      <c r="H37" s="202">
        <f t="shared" si="27"/>
        <v>39672</v>
      </c>
      <c r="I37" s="202">
        <f t="shared" si="28"/>
        <v>2000</v>
      </c>
      <c r="J37" s="202">
        <f t="shared" si="29"/>
        <v>1100</v>
      </c>
      <c r="K37" s="202">
        <f t="shared" si="30"/>
        <v>150</v>
      </c>
      <c r="L37" s="202">
        <f t="shared" si="31"/>
        <v>9918</v>
      </c>
      <c r="M37" s="202">
        <f t="shared" si="32"/>
        <v>52840</v>
      </c>
      <c r="N37" s="202">
        <v>11355.76</v>
      </c>
      <c r="O37" s="202">
        <f t="shared" si="33"/>
        <v>793.44</v>
      </c>
      <c r="P37" s="203">
        <f t="shared" si="34"/>
        <v>3570.48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3">
        <f t="shared" si="35"/>
        <v>100</v>
      </c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>
        <f t="shared" si="36"/>
        <v>15819.68</v>
      </c>
      <c r="AM37" s="204">
        <f t="shared" si="37"/>
        <v>37020.32</v>
      </c>
      <c r="AN37" s="291"/>
      <c r="AO37" s="211"/>
      <c r="AP37" s="207"/>
      <c r="AQ37" s="212">
        <f t="shared" si="38"/>
        <v>0</v>
      </c>
      <c r="AR37" s="213">
        <f t="shared" si="39"/>
        <v>37020.32</v>
      </c>
      <c r="AS37" s="213"/>
      <c r="AT37" s="213"/>
      <c r="AU37" s="213">
        <f t="shared" si="40"/>
        <v>545.49</v>
      </c>
      <c r="AV37" s="214"/>
      <c r="AW37" s="214" t="str">
        <f t="shared" si="41"/>
        <v>25%</v>
      </c>
      <c r="AX37" s="215">
        <v>22</v>
      </c>
      <c r="AY37" s="213">
        <v>150</v>
      </c>
      <c r="AZ37" s="214">
        <v>22</v>
      </c>
      <c r="BA37" s="213">
        <v>50</v>
      </c>
      <c r="BB37" s="213">
        <f t="shared" si="42"/>
        <v>0</v>
      </c>
      <c r="BC37" s="213">
        <f t="shared" si="43"/>
        <v>1100</v>
      </c>
      <c r="BD37" s="215"/>
    </row>
    <row r="38" spans="1:56" s="217" customFormat="1" ht="36.75" customHeight="1" x14ac:dyDescent="0.25">
      <c r="A38" s="290">
        <v>29</v>
      </c>
      <c r="B38" s="210"/>
      <c r="C38" s="230" t="s">
        <v>285</v>
      </c>
      <c r="D38" s="200">
        <v>16</v>
      </c>
      <c r="E38" s="201">
        <v>39672</v>
      </c>
      <c r="F38" s="201">
        <f t="shared" si="25"/>
        <v>100</v>
      </c>
      <c r="G38" s="201">
        <f t="shared" si="26"/>
        <v>4760.6400000000003</v>
      </c>
      <c r="H38" s="202">
        <f t="shared" si="27"/>
        <v>39672</v>
      </c>
      <c r="I38" s="202">
        <f t="shared" si="28"/>
        <v>2000</v>
      </c>
      <c r="J38" s="202">
        <f t="shared" si="29"/>
        <v>1100</v>
      </c>
      <c r="K38" s="202">
        <f t="shared" si="30"/>
        <v>150</v>
      </c>
      <c r="L38" s="202">
        <f t="shared" si="31"/>
        <v>9918</v>
      </c>
      <c r="M38" s="202">
        <f t="shared" si="32"/>
        <v>52840</v>
      </c>
      <c r="N38" s="202">
        <v>11355.76</v>
      </c>
      <c r="O38" s="202">
        <f t="shared" si="33"/>
        <v>793.44</v>
      </c>
      <c r="P38" s="203">
        <f t="shared" si="34"/>
        <v>3570.48</v>
      </c>
      <c r="Q38" s="203"/>
      <c r="R38" s="203"/>
      <c r="S38" s="203"/>
      <c r="T38" s="203"/>
      <c r="U38" s="203"/>
      <c r="V38" s="203"/>
      <c r="W38" s="203"/>
      <c r="X38" s="203"/>
      <c r="Y38" s="203"/>
      <c r="Z38" s="203">
        <f t="shared" si="35"/>
        <v>100</v>
      </c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>
        <f t="shared" si="36"/>
        <v>15819.68</v>
      </c>
      <c r="AM38" s="204">
        <f t="shared" si="37"/>
        <v>37020.32</v>
      </c>
      <c r="AN38" s="291"/>
      <c r="AO38" s="211"/>
      <c r="AP38" s="207"/>
      <c r="AQ38" s="212">
        <f t="shared" si="38"/>
        <v>0</v>
      </c>
      <c r="AR38" s="213">
        <f t="shared" si="39"/>
        <v>37020.32</v>
      </c>
      <c r="AS38" s="213"/>
      <c r="AT38" s="213"/>
      <c r="AU38" s="213">
        <f t="shared" si="40"/>
        <v>545.49</v>
      </c>
      <c r="AV38" s="214"/>
      <c r="AW38" s="214" t="str">
        <f t="shared" si="41"/>
        <v>25%</v>
      </c>
      <c r="AX38" s="215">
        <v>22</v>
      </c>
      <c r="AY38" s="213">
        <v>150</v>
      </c>
      <c r="AZ38" s="214">
        <v>22</v>
      </c>
      <c r="BA38" s="213">
        <v>50</v>
      </c>
      <c r="BB38" s="213">
        <f t="shared" si="42"/>
        <v>0</v>
      </c>
      <c r="BC38" s="213">
        <f t="shared" si="43"/>
        <v>1100</v>
      </c>
      <c r="BD38" s="215"/>
    </row>
    <row r="39" spans="1:56" s="217" customFormat="1" ht="36.75" customHeight="1" x14ac:dyDescent="0.25">
      <c r="A39" s="290">
        <v>30</v>
      </c>
      <c r="B39" s="210"/>
      <c r="C39" s="230" t="s">
        <v>286</v>
      </c>
      <c r="D39" s="200">
        <v>16</v>
      </c>
      <c r="E39" s="201">
        <v>39672</v>
      </c>
      <c r="F39" s="201">
        <f t="shared" si="25"/>
        <v>100</v>
      </c>
      <c r="G39" s="201">
        <f t="shared" si="26"/>
        <v>4760.6400000000003</v>
      </c>
      <c r="H39" s="202">
        <f t="shared" si="27"/>
        <v>39672</v>
      </c>
      <c r="I39" s="202">
        <f t="shared" si="28"/>
        <v>2000</v>
      </c>
      <c r="J39" s="202">
        <f t="shared" si="29"/>
        <v>1100</v>
      </c>
      <c r="K39" s="202">
        <f t="shared" si="30"/>
        <v>150</v>
      </c>
      <c r="L39" s="202">
        <f t="shared" si="31"/>
        <v>9918</v>
      </c>
      <c r="M39" s="202">
        <f t="shared" si="32"/>
        <v>52840</v>
      </c>
      <c r="N39" s="202">
        <v>10780.76</v>
      </c>
      <c r="O39" s="202">
        <f t="shared" si="33"/>
        <v>793.44</v>
      </c>
      <c r="P39" s="203">
        <f t="shared" si="34"/>
        <v>3570.48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3">
        <f t="shared" si="35"/>
        <v>100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>
        <f t="shared" si="36"/>
        <v>15244.68</v>
      </c>
      <c r="AM39" s="204">
        <f t="shared" si="37"/>
        <v>37595.32</v>
      </c>
      <c r="AN39" s="291"/>
      <c r="AO39" s="211"/>
      <c r="AP39" s="207"/>
      <c r="AQ39" s="212">
        <f t="shared" si="38"/>
        <v>0</v>
      </c>
      <c r="AR39" s="213">
        <f t="shared" si="39"/>
        <v>37595.32</v>
      </c>
      <c r="AS39" s="213"/>
      <c r="AT39" s="213"/>
      <c r="AU39" s="213">
        <f t="shared" si="40"/>
        <v>545.49</v>
      </c>
      <c r="AV39" s="214"/>
      <c r="AW39" s="214" t="str">
        <f t="shared" si="41"/>
        <v>25%</v>
      </c>
      <c r="AX39" s="215">
        <v>22</v>
      </c>
      <c r="AY39" s="213">
        <v>150</v>
      </c>
      <c r="AZ39" s="214">
        <v>22</v>
      </c>
      <c r="BA39" s="213">
        <v>50</v>
      </c>
      <c r="BB39" s="213">
        <f t="shared" si="42"/>
        <v>0</v>
      </c>
      <c r="BC39" s="213">
        <f t="shared" si="43"/>
        <v>1100</v>
      </c>
      <c r="BD39" s="215"/>
    </row>
    <row r="40" spans="1:56" s="217" customFormat="1" ht="36.75" customHeight="1" x14ac:dyDescent="0.25">
      <c r="A40" s="290">
        <v>31</v>
      </c>
      <c r="B40" s="210"/>
      <c r="C40" s="230" t="s">
        <v>287</v>
      </c>
      <c r="D40" s="200">
        <v>16</v>
      </c>
      <c r="E40" s="201">
        <v>39672</v>
      </c>
      <c r="F40" s="201">
        <f t="shared" si="25"/>
        <v>100</v>
      </c>
      <c r="G40" s="201">
        <f t="shared" si="26"/>
        <v>4760.6400000000003</v>
      </c>
      <c r="H40" s="202">
        <f t="shared" si="27"/>
        <v>39672</v>
      </c>
      <c r="I40" s="202">
        <f t="shared" si="28"/>
        <v>2000</v>
      </c>
      <c r="J40" s="202">
        <f t="shared" si="29"/>
        <v>1100</v>
      </c>
      <c r="K40" s="202">
        <f t="shared" si="30"/>
        <v>150</v>
      </c>
      <c r="L40" s="202">
        <f t="shared" si="31"/>
        <v>9918</v>
      </c>
      <c r="M40" s="202">
        <f t="shared" si="32"/>
        <v>52840</v>
      </c>
      <c r="N40" s="202">
        <v>11355.76</v>
      </c>
      <c r="O40" s="202">
        <f t="shared" si="33"/>
        <v>793.44</v>
      </c>
      <c r="P40" s="203">
        <f t="shared" si="34"/>
        <v>3570.48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3">
        <f t="shared" si="35"/>
        <v>100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>
        <f t="shared" si="36"/>
        <v>15819.68</v>
      </c>
      <c r="AM40" s="204">
        <f t="shared" si="37"/>
        <v>37020.32</v>
      </c>
      <c r="AN40" s="291"/>
      <c r="AO40" s="211"/>
      <c r="AP40" s="207"/>
      <c r="AQ40" s="212">
        <f t="shared" si="38"/>
        <v>0</v>
      </c>
      <c r="AR40" s="213">
        <f t="shared" si="39"/>
        <v>37020.32</v>
      </c>
      <c r="AS40" s="213"/>
      <c r="AT40" s="213"/>
      <c r="AU40" s="213">
        <f t="shared" si="40"/>
        <v>545.49</v>
      </c>
      <c r="AV40" s="214"/>
      <c r="AW40" s="214" t="str">
        <f t="shared" si="41"/>
        <v>25%</v>
      </c>
      <c r="AX40" s="215">
        <v>22</v>
      </c>
      <c r="AY40" s="213">
        <v>150</v>
      </c>
      <c r="AZ40" s="214">
        <v>22</v>
      </c>
      <c r="BA40" s="213">
        <v>50</v>
      </c>
      <c r="BB40" s="213">
        <f t="shared" si="42"/>
        <v>0</v>
      </c>
      <c r="BC40" s="213">
        <f t="shared" si="43"/>
        <v>1100</v>
      </c>
      <c r="BD40" s="215"/>
    </row>
    <row r="41" spans="1:56" s="332" customFormat="1" ht="41.25" customHeight="1" x14ac:dyDescent="0.25">
      <c r="A41" s="290">
        <v>32</v>
      </c>
      <c r="B41" s="326"/>
      <c r="C41" s="334" t="s">
        <v>288</v>
      </c>
      <c r="D41" s="200">
        <v>16</v>
      </c>
      <c r="E41" s="201">
        <v>39672</v>
      </c>
      <c r="F41" s="255">
        <f t="shared" si="25"/>
        <v>100</v>
      </c>
      <c r="G41" s="255">
        <f t="shared" si="26"/>
        <v>4760.6400000000003</v>
      </c>
      <c r="H41" s="256">
        <f t="shared" si="27"/>
        <v>39672</v>
      </c>
      <c r="I41" s="256">
        <f t="shared" si="28"/>
        <v>2000</v>
      </c>
      <c r="J41" s="256">
        <f t="shared" si="29"/>
        <v>1100</v>
      </c>
      <c r="K41" s="202">
        <f t="shared" ref="K41" si="44">IF(AND(H41&gt;0,AX41&gt;11)=TRUE,150,0)</f>
        <v>150</v>
      </c>
      <c r="L41" s="202">
        <f>ROUND(IF(AND($H41&gt;0,AX41&gt;11)=TRUE,$AW41*$E41,0),2)</f>
        <v>9918</v>
      </c>
      <c r="M41" s="256">
        <f t="shared" si="32"/>
        <v>52840</v>
      </c>
      <c r="N41" s="256">
        <v>10476.5</v>
      </c>
      <c r="O41" s="256">
        <f t="shared" si="33"/>
        <v>793.44</v>
      </c>
      <c r="P41" s="255">
        <f t="shared" si="34"/>
        <v>3570.48</v>
      </c>
      <c r="Q41" s="255"/>
      <c r="R41" s="255"/>
      <c r="S41" s="255"/>
      <c r="T41" s="255"/>
      <c r="U41" s="255"/>
      <c r="V41" s="255"/>
      <c r="W41" s="255"/>
      <c r="X41" s="255"/>
      <c r="Y41" s="255"/>
      <c r="Z41" s="255">
        <f t="shared" si="35"/>
        <v>100</v>
      </c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>
        <f t="shared" si="36"/>
        <v>14940.42</v>
      </c>
      <c r="AM41" s="257">
        <f t="shared" si="37"/>
        <v>37899.58</v>
      </c>
      <c r="AN41" s="339" t="s">
        <v>481</v>
      </c>
      <c r="AO41" s="327"/>
      <c r="AP41" s="328"/>
      <c r="AQ41" s="329">
        <f t="shared" si="38"/>
        <v>0</v>
      </c>
      <c r="AR41" s="330">
        <f t="shared" si="39"/>
        <v>37899.58</v>
      </c>
      <c r="AS41" s="330"/>
      <c r="AT41" s="330"/>
      <c r="AU41" s="330">
        <f t="shared" si="40"/>
        <v>545.49</v>
      </c>
      <c r="AV41" s="331"/>
      <c r="AW41" s="331" t="str">
        <f t="shared" si="41"/>
        <v>25%</v>
      </c>
      <c r="AX41" s="331">
        <v>22</v>
      </c>
      <c r="AY41" s="330">
        <v>150</v>
      </c>
      <c r="AZ41" s="331">
        <v>22</v>
      </c>
      <c r="BA41" s="330">
        <v>50</v>
      </c>
      <c r="BB41" s="330">
        <f t="shared" si="42"/>
        <v>0</v>
      </c>
      <c r="BC41" s="330">
        <f t="shared" si="43"/>
        <v>1100</v>
      </c>
      <c r="BD41" s="331"/>
    </row>
    <row r="42" spans="1:56" s="217" customFormat="1" ht="36.75" customHeight="1" x14ac:dyDescent="0.25">
      <c r="A42" s="290">
        <v>33</v>
      </c>
      <c r="B42" s="210"/>
      <c r="C42" s="230" t="s">
        <v>289</v>
      </c>
      <c r="D42" s="200">
        <v>16</v>
      </c>
      <c r="E42" s="201">
        <v>39672</v>
      </c>
      <c r="F42" s="201">
        <f t="shared" si="25"/>
        <v>100</v>
      </c>
      <c r="G42" s="201">
        <f t="shared" si="26"/>
        <v>4760.6400000000003</v>
      </c>
      <c r="H42" s="202">
        <f t="shared" si="27"/>
        <v>39672</v>
      </c>
      <c r="I42" s="202">
        <f t="shared" si="28"/>
        <v>2000</v>
      </c>
      <c r="J42" s="202">
        <f t="shared" si="29"/>
        <v>1100</v>
      </c>
      <c r="K42" s="202">
        <f t="shared" si="30"/>
        <v>150</v>
      </c>
      <c r="L42" s="202">
        <f t="shared" si="31"/>
        <v>9918</v>
      </c>
      <c r="M42" s="202">
        <f t="shared" si="32"/>
        <v>52840</v>
      </c>
      <c r="N42" s="202">
        <v>11355.76</v>
      </c>
      <c r="O42" s="202">
        <f t="shared" si="33"/>
        <v>793.44</v>
      </c>
      <c r="P42" s="203">
        <f t="shared" si="34"/>
        <v>3570.48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3">
        <f t="shared" si="35"/>
        <v>100</v>
      </c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>
        <f t="shared" si="36"/>
        <v>15819.68</v>
      </c>
      <c r="AM42" s="204">
        <f t="shared" si="37"/>
        <v>37020.32</v>
      </c>
      <c r="AN42" s="291"/>
      <c r="AO42" s="211"/>
      <c r="AP42" s="207"/>
      <c r="AQ42" s="212">
        <f t="shared" si="38"/>
        <v>0</v>
      </c>
      <c r="AR42" s="213">
        <f t="shared" si="39"/>
        <v>37020.32</v>
      </c>
      <c r="AS42" s="213"/>
      <c r="AT42" s="213"/>
      <c r="AU42" s="213">
        <f t="shared" si="40"/>
        <v>545.49</v>
      </c>
      <c r="AV42" s="214"/>
      <c r="AW42" s="214" t="str">
        <f t="shared" si="41"/>
        <v>25%</v>
      </c>
      <c r="AX42" s="215">
        <v>22</v>
      </c>
      <c r="AY42" s="213">
        <v>150</v>
      </c>
      <c r="AZ42" s="214">
        <v>22</v>
      </c>
      <c r="BA42" s="213">
        <v>50</v>
      </c>
      <c r="BB42" s="213">
        <f t="shared" si="42"/>
        <v>0</v>
      </c>
      <c r="BC42" s="213">
        <f t="shared" si="43"/>
        <v>1100</v>
      </c>
      <c r="BD42" s="215"/>
    </row>
    <row r="43" spans="1:56" s="217" customFormat="1" ht="36.75" customHeight="1" x14ac:dyDescent="0.25">
      <c r="A43" s="290">
        <v>34</v>
      </c>
      <c r="B43" s="210"/>
      <c r="C43" s="230" t="s">
        <v>290</v>
      </c>
      <c r="D43" s="200">
        <v>16</v>
      </c>
      <c r="E43" s="201">
        <v>39672</v>
      </c>
      <c r="F43" s="201">
        <f t="shared" si="25"/>
        <v>100</v>
      </c>
      <c r="G43" s="201">
        <f t="shared" si="26"/>
        <v>4760.6400000000003</v>
      </c>
      <c r="H43" s="202">
        <f t="shared" si="27"/>
        <v>39672</v>
      </c>
      <c r="I43" s="202">
        <f t="shared" si="28"/>
        <v>2000</v>
      </c>
      <c r="J43" s="202">
        <f t="shared" si="29"/>
        <v>1100</v>
      </c>
      <c r="K43" s="202">
        <f t="shared" si="30"/>
        <v>150</v>
      </c>
      <c r="L43" s="202">
        <f t="shared" si="31"/>
        <v>9918</v>
      </c>
      <c r="M43" s="202">
        <f t="shared" si="32"/>
        <v>52840</v>
      </c>
      <c r="N43" s="202">
        <v>11355.76</v>
      </c>
      <c r="O43" s="202">
        <f t="shared" si="33"/>
        <v>793.44</v>
      </c>
      <c r="P43" s="203">
        <f t="shared" si="34"/>
        <v>3570.48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3">
        <f t="shared" si="35"/>
        <v>100</v>
      </c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>
        <f t="shared" si="36"/>
        <v>15819.68</v>
      </c>
      <c r="AM43" s="204">
        <f t="shared" si="37"/>
        <v>37020.32</v>
      </c>
      <c r="AN43" s="291"/>
      <c r="AO43" s="211"/>
      <c r="AP43" s="207"/>
      <c r="AQ43" s="212">
        <f t="shared" si="38"/>
        <v>0</v>
      </c>
      <c r="AR43" s="213">
        <f t="shared" si="39"/>
        <v>37020.32</v>
      </c>
      <c r="AS43" s="213"/>
      <c r="AT43" s="213"/>
      <c r="AU43" s="213">
        <f t="shared" si="40"/>
        <v>545.49</v>
      </c>
      <c r="AV43" s="214"/>
      <c r="AW43" s="214" t="str">
        <f t="shared" si="41"/>
        <v>25%</v>
      </c>
      <c r="AX43" s="215">
        <v>22</v>
      </c>
      <c r="AY43" s="213">
        <v>150</v>
      </c>
      <c r="AZ43" s="214">
        <v>22</v>
      </c>
      <c r="BA43" s="213">
        <v>50</v>
      </c>
      <c r="BB43" s="213">
        <f t="shared" si="42"/>
        <v>0</v>
      </c>
      <c r="BC43" s="213">
        <f t="shared" si="43"/>
        <v>1100</v>
      </c>
      <c r="BD43" s="215"/>
    </row>
    <row r="44" spans="1:56" s="217" customFormat="1" ht="36.75" customHeight="1" x14ac:dyDescent="0.25">
      <c r="A44" s="290">
        <v>35</v>
      </c>
      <c r="B44" s="210"/>
      <c r="C44" s="230" t="s">
        <v>291</v>
      </c>
      <c r="D44" s="200">
        <v>16</v>
      </c>
      <c r="E44" s="201">
        <v>39672</v>
      </c>
      <c r="F44" s="201">
        <f t="shared" si="25"/>
        <v>100</v>
      </c>
      <c r="G44" s="201">
        <f t="shared" si="26"/>
        <v>4760.6400000000003</v>
      </c>
      <c r="H44" s="202">
        <f t="shared" si="27"/>
        <v>39672</v>
      </c>
      <c r="I44" s="202">
        <f t="shared" si="28"/>
        <v>2000</v>
      </c>
      <c r="J44" s="202">
        <f t="shared" si="29"/>
        <v>1100</v>
      </c>
      <c r="K44" s="202">
        <f t="shared" si="30"/>
        <v>150</v>
      </c>
      <c r="L44" s="202">
        <f t="shared" si="31"/>
        <v>9918</v>
      </c>
      <c r="M44" s="202">
        <f t="shared" si="32"/>
        <v>52840</v>
      </c>
      <c r="N44" s="202">
        <v>11355.76</v>
      </c>
      <c r="O44" s="202">
        <f t="shared" si="33"/>
        <v>793.44</v>
      </c>
      <c r="P44" s="203">
        <f t="shared" si="34"/>
        <v>3570.48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3">
        <f t="shared" si="35"/>
        <v>100</v>
      </c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>
        <f t="shared" si="36"/>
        <v>15819.68</v>
      </c>
      <c r="AM44" s="204">
        <f t="shared" si="37"/>
        <v>37020.32</v>
      </c>
      <c r="AN44" s="291"/>
      <c r="AO44" s="211"/>
      <c r="AP44" s="207"/>
      <c r="AQ44" s="212">
        <f t="shared" si="38"/>
        <v>0</v>
      </c>
      <c r="AR44" s="213">
        <f t="shared" si="39"/>
        <v>37020.32</v>
      </c>
      <c r="AS44" s="213"/>
      <c r="AT44" s="213"/>
      <c r="AU44" s="213">
        <f t="shared" si="40"/>
        <v>545.49</v>
      </c>
      <c r="AV44" s="214"/>
      <c r="AW44" s="214" t="str">
        <f t="shared" si="41"/>
        <v>25%</v>
      </c>
      <c r="AX44" s="215">
        <v>22</v>
      </c>
      <c r="AY44" s="213">
        <v>150</v>
      </c>
      <c r="AZ44" s="214">
        <v>22</v>
      </c>
      <c r="BA44" s="213">
        <v>50</v>
      </c>
      <c r="BB44" s="213">
        <f t="shared" si="42"/>
        <v>0</v>
      </c>
      <c r="BC44" s="213">
        <f t="shared" si="43"/>
        <v>1100</v>
      </c>
      <c r="BD44" s="215"/>
    </row>
    <row r="45" spans="1:56" s="217" customFormat="1" ht="36.75" customHeight="1" x14ac:dyDescent="0.25">
      <c r="A45" s="290">
        <v>36</v>
      </c>
      <c r="B45" s="210"/>
      <c r="C45" s="230" t="s">
        <v>292</v>
      </c>
      <c r="D45" s="200">
        <v>16</v>
      </c>
      <c r="E45" s="201">
        <v>39672</v>
      </c>
      <c r="F45" s="201">
        <f t="shared" si="25"/>
        <v>100</v>
      </c>
      <c r="G45" s="201">
        <f t="shared" si="26"/>
        <v>4760.6400000000003</v>
      </c>
      <c r="H45" s="202">
        <f t="shared" si="27"/>
        <v>39672</v>
      </c>
      <c r="I45" s="202">
        <f t="shared" si="28"/>
        <v>2000</v>
      </c>
      <c r="J45" s="202">
        <f t="shared" si="29"/>
        <v>1100</v>
      </c>
      <c r="K45" s="202">
        <f t="shared" si="30"/>
        <v>150</v>
      </c>
      <c r="L45" s="202">
        <f t="shared" si="31"/>
        <v>9918</v>
      </c>
      <c r="M45" s="202">
        <f t="shared" si="32"/>
        <v>52840</v>
      </c>
      <c r="N45" s="202">
        <v>11355.76</v>
      </c>
      <c r="O45" s="202">
        <f t="shared" si="33"/>
        <v>793.44</v>
      </c>
      <c r="P45" s="203">
        <f t="shared" si="34"/>
        <v>3570.48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3">
        <f t="shared" si="35"/>
        <v>100</v>
      </c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>
        <f t="shared" si="36"/>
        <v>15819.68</v>
      </c>
      <c r="AM45" s="204">
        <f t="shared" si="37"/>
        <v>37020.32</v>
      </c>
      <c r="AN45" s="291"/>
      <c r="AO45" s="211"/>
      <c r="AP45" s="207"/>
      <c r="AQ45" s="212">
        <f t="shared" si="38"/>
        <v>0</v>
      </c>
      <c r="AR45" s="213">
        <f t="shared" si="39"/>
        <v>37020.32</v>
      </c>
      <c r="AS45" s="213"/>
      <c r="AT45" s="213"/>
      <c r="AU45" s="213">
        <f t="shared" si="40"/>
        <v>545.49</v>
      </c>
      <c r="AV45" s="214"/>
      <c r="AW45" s="214" t="str">
        <f t="shared" si="41"/>
        <v>25%</v>
      </c>
      <c r="AX45" s="215">
        <v>22</v>
      </c>
      <c r="AY45" s="213">
        <v>150</v>
      </c>
      <c r="AZ45" s="214">
        <v>22</v>
      </c>
      <c r="BA45" s="213">
        <v>50</v>
      </c>
      <c r="BB45" s="213">
        <f t="shared" si="42"/>
        <v>0</v>
      </c>
      <c r="BC45" s="213">
        <f t="shared" si="43"/>
        <v>1100</v>
      </c>
      <c r="BD45" s="215"/>
    </row>
    <row r="46" spans="1:56" s="217" customFormat="1" ht="36.75" customHeight="1" x14ac:dyDescent="0.25">
      <c r="A46" s="290">
        <v>37</v>
      </c>
      <c r="B46" s="210"/>
      <c r="C46" s="230" t="s">
        <v>293</v>
      </c>
      <c r="D46" s="200">
        <v>16</v>
      </c>
      <c r="E46" s="201">
        <v>39672</v>
      </c>
      <c r="F46" s="201">
        <f t="shared" si="25"/>
        <v>100</v>
      </c>
      <c r="G46" s="201">
        <f t="shared" si="26"/>
        <v>4760.6400000000003</v>
      </c>
      <c r="H46" s="202">
        <f t="shared" si="27"/>
        <v>39672</v>
      </c>
      <c r="I46" s="202">
        <f t="shared" si="28"/>
        <v>2000</v>
      </c>
      <c r="J46" s="202">
        <f t="shared" si="29"/>
        <v>1100</v>
      </c>
      <c r="K46" s="202">
        <f t="shared" si="30"/>
        <v>150</v>
      </c>
      <c r="L46" s="202">
        <f t="shared" si="31"/>
        <v>9918</v>
      </c>
      <c r="M46" s="202">
        <f t="shared" si="32"/>
        <v>52840</v>
      </c>
      <c r="N46" s="202">
        <v>8609.39</v>
      </c>
      <c r="O46" s="202">
        <f t="shared" si="33"/>
        <v>793.44</v>
      </c>
      <c r="P46" s="203">
        <f t="shared" si="34"/>
        <v>3570.48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>
        <f t="shared" si="35"/>
        <v>100</v>
      </c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>
        <f t="shared" si="36"/>
        <v>13073.31</v>
      </c>
      <c r="AM46" s="204">
        <f t="shared" si="37"/>
        <v>39766.69</v>
      </c>
      <c r="AN46" s="291"/>
      <c r="AO46" s="211"/>
      <c r="AP46" s="207"/>
      <c r="AQ46" s="212">
        <f t="shared" si="38"/>
        <v>0</v>
      </c>
      <c r="AR46" s="213">
        <f t="shared" si="39"/>
        <v>39766.69</v>
      </c>
      <c r="AS46" s="213"/>
      <c r="AT46" s="213"/>
      <c r="AU46" s="213">
        <f t="shared" si="40"/>
        <v>545.49</v>
      </c>
      <c r="AV46" s="214"/>
      <c r="AW46" s="214" t="str">
        <f t="shared" si="41"/>
        <v>25%</v>
      </c>
      <c r="AX46" s="215">
        <v>22</v>
      </c>
      <c r="AY46" s="213">
        <v>150</v>
      </c>
      <c r="AZ46" s="214">
        <v>22</v>
      </c>
      <c r="BA46" s="213">
        <v>50</v>
      </c>
      <c r="BB46" s="213">
        <f t="shared" si="42"/>
        <v>0</v>
      </c>
      <c r="BC46" s="213">
        <f t="shared" si="43"/>
        <v>1100</v>
      </c>
      <c r="BD46" s="215"/>
    </row>
    <row r="47" spans="1:56" s="217" customFormat="1" ht="36" customHeight="1" x14ac:dyDescent="0.25">
      <c r="A47" s="290">
        <v>38</v>
      </c>
      <c r="B47" s="210"/>
      <c r="C47" s="247" t="s">
        <v>294</v>
      </c>
      <c r="D47" s="200">
        <v>16</v>
      </c>
      <c r="E47" s="201">
        <v>39672</v>
      </c>
      <c r="F47" s="201">
        <f>IF(H47&gt;0,100,0)</f>
        <v>100</v>
      </c>
      <c r="G47" s="201">
        <f>+ROUND(H47*12%,2)</f>
        <v>4760.6400000000003</v>
      </c>
      <c r="H47" s="202">
        <f>ROUND(IF(AX47&gt;22,0,IF(AX47=22,E47,IF(AX47&lt;22,E47*(AX47/AZ47),IF(OR(AX47=0,AX47=" ")=TRUE,0)))),2)</f>
        <v>39672</v>
      </c>
      <c r="I47" s="202">
        <f>ROUND(IF(AND(H47&gt;0,AX47=22)=TRUE,2000,IF(AND(H47&gt;0,AX47&lt;22,AX47&gt;0)=TRUE,2000*(AX47/AZ47),IF(AX47&lt;0,0,0))),2)</f>
        <v>2000</v>
      </c>
      <c r="J47" s="202">
        <f>IF(H47&gt;0,BC47-BB47,0)</f>
        <v>1100</v>
      </c>
      <c r="K47" s="202">
        <f>IF(AND(H47&gt;0,AX47&gt;11)=TRUE,150,0)</f>
        <v>150</v>
      </c>
      <c r="L47" s="202">
        <f>ROUND(IF(AND($H47&gt;0,AX47&gt;11)=TRUE,$AW47*$E47,0),2)</f>
        <v>9918</v>
      </c>
      <c r="M47" s="202">
        <f>ROUND(SUM(H47:L47),2)</f>
        <v>52840</v>
      </c>
      <c r="N47" s="202">
        <v>11355.76</v>
      </c>
      <c r="O47" s="202">
        <f>E47*0.04/2</f>
        <v>793.44</v>
      </c>
      <c r="P47" s="203">
        <f>ROUND($H47*9%,2)</f>
        <v>3570.48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3">
        <f>ROUND(IF(H47&gt;0,100,0),2)</f>
        <v>100</v>
      </c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>
        <f>SUM(N47:AK47)</f>
        <v>15819.68</v>
      </c>
      <c r="AM47" s="204">
        <f>ROUND(M47-AL47,2)</f>
        <v>37020.32</v>
      </c>
      <c r="AN47" s="291"/>
      <c r="AO47" s="211"/>
      <c r="AP47" s="207"/>
      <c r="AQ47" s="212">
        <f>SUM(AO47:AP47)</f>
        <v>0</v>
      </c>
      <c r="AR47" s="213">
        <f>+AM47-AQ47</f>
        <v>37020.32</v>
      </c>
      <c r="AS47" s="213"/>
      <c r="AT47" s="213"/>
      <c r="AU47" s="213">
        <f>IF(E47=0,0,IF(E47&lt;=10000,137.5,IF(AND(E47&gt;10000,E47&lt;40000)=TRUE,E47*2.75%*50%,IF(E47&gt;=40000,550,0))))</f>
        <v>545.49</v>
      </c>
      <c r="AV47" s="214"/>
      <c r="AW47" s="214" t="str">
        <f>IF(AND($D47&gt;=1,$D47&lt;=19)=TRUE,"25%",IF($D47=20,"15%",IF($D47=21,"13%",IF($D47=22,"12%",IF($D47=23,"11%",IF(OR($D47=24,$D47=25)=TRUE,"10%",IF($D47=26,"9%",IF($D47=27,"8%",IF($D47=28,"7%",IF(OR($D47=29,$D47=30)=TRUE,"6%",IF($D47=31,"5%","0%")))))))))))</f>
        <v>25%</v>
      </c>
      <c r="AX47" s="215">
        <v>22</v>
      </c>
      <c r="AY47" s="213">
        <v>150</v>
      </c>
      <c r="AZ47" s="214">
        <v>22</v>
      </c>
      <c r="BA47" s="213">
        <v>50</v>
      </c>
      <c r="BB47" s="213">
        <f>IF(AX47&gt;0,(AZ47-AX47+BD47)*BA47,0)</f>
        <v>0</v>
      </c>
      <c r="BC47" s="213">
        <f>IF(AX47&gt;0,1100,0)</f>
        <v>1100</v>
      </c>
      <c r="BD47" s="215"/>
    </row>
    <row r="48" spans="1:56" s="217" customFormat="1" ht="36.75" customHeight="1" x14ac:dyDescent="0.25">
      <c r="A48" s="290">
        <v>39</v>
      </c>
      <c r="B48" s="210"/>
      <c r="C48" s="230" t="s">
        <v>295</v>
      </c>
      <c r="D48" s="200">
        <v>16</v>
      </c>
      <c r="E48" s="201">
        <v>39672</v>
      </c>
      <c r="F48" s="201">
        <f>IF(H48&gt;0,100,0)</f>
        <v>100</v>
      </c>
      <c r="G48" s="201">
        <f>+ROUND(H48*12%,2)</f>
        <v>4760.6400000000003</v>
      </c>
      <c r="H48" s="202">
        <f>ROUND(IF(AX48&gt;22,0,IF(AX48=22,E48,IF(AX48&lt;22,E48*(AX48/AZ48),IF(OR(AX48=0,AX48=" ")=TRUE,0)))),2)</f>
        <v>39672</v>
      </c>
      <c r="I48" s="202">
        <f>ROUND(IF(AND(H48&gt;0,AX48=22)=TRUE,2000,IF(AND(H48&gt;0,AX48&lt;22,AX48&gt;0)=TRUE,2000*(AX48/AZ48),IF(AX48&lt;0,0,0))),2)</f>
        <v>2000</v>
      </c>
      <c r="J48" s="202">
        <f>IF(H48&gt;0,BC48-BB48,0)</f>
        <v>1100</v>
      </c>
      <c r="K48" s="202">
        <f>IF(AND(H48&gt;0,AX48&gt;11)=TRUE,150,0)</f>
        <v>150</v>
      </c>
      <c r="L48" s="202">
        <f>ROUND(IF(AND($H48&gt;0,AX48&gt;11)=TRUE,$AW48*$E48,0),2)</f>
        <v>9918</v>
      </c>
      <c r="M48" s="202">
        <f>ROUND(SUM(H48:L48),2)</f>
        <v>52840</v>
      </c>
      <c r="N48" s="202">
        <v>11468.3</v>
      </c>
      <c r="O48" s="202">
        <f>E48*0.04/2</f>
        <v>793.44</v>
      </c>
      <c r="P48" s="203">
        <f>ROUND($H48*9%,2)</f>
        <v>3570.48</v>
      </c>
      <c r="Q48" s="203"/>
      <c r="R48" s="203"/>
      <c r="S48" s="203"/>
      <c r="T48" s="203"/>
      <c r="U48" s="203"/>
      <c r="V48" s="203"/>
      <c r="W48" s="203"/>
      <c r="X48" s="203"/>
      <c r="Y48" s="203"/>
      <c r="Z48" s="203">
        <f>ROUND(IF(H48&gt;0,100,0),2)</f>
        <v>100</v>
      </c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>
        <f>SUM(N48:AK48)</f>
        <v>15932.22</v>
      </c>
      <c r="AM48" s="204">
        <f>ROUND(M48-AL48,2)</f>
        <v>36907.78</v>
      </c>
      <c r="AN48" s="291"/>
      <c r="AO48" s="211"/>
      <c r="AP48" s="207"/>
      <c r="AQ48" s="212">
        <f>SUM(AO48:AP48)</f>
        <v>0</v>
      </c>
      <c r="AR48" s="213">
        <f>+AM48-AQ48</f>
        <v>36907.78</v>
      </c>
      <c r="AS48" s="213"/>
      <c r="AT48" s="213"/>
      <c r="AU48" s="213">
        <f>IF(E48=0,0,IF(E48&lt;=10000,137.5,IF(AND(E48&gt;10000,E48&lt;40000)=TRUE,E48*2.75%*50%,IF(E48&gt;=40000,550,0))))</f>
        <v>545.49</v>
      </c>
      <c r="AV48" s="214"/>
      <c r="AW48" s="214" t="str">
        <f>IF(AND($D48&gt;=1,$D48&lt;=19)=TRUE,"25%",IF($D48=20,"15%",IF($D48=21,"13%",IF($D48=22,"12%",IF($D48=23,"11%",IF(OR($D48=24,$D48=25)=TRUE,"10%",IF($D48=26,"9%",IF($D48=27,"8%",IF($D48=28,"7%",IF(OR($D48=29,$D48=30)=TRUE,"6%",IF($D48=31,"5%","0%")))))))))))</f>
        <v>25%</v>
      </c>
      <c r="AX48" s="215">
        <v>22</v>
      </c>
      <c r="AY48" s="213">
        <v>150</v>
      </c>
      <c r="AZ48" s="214">
        <v>22</v>
      </c>
      <c r="BA48" s="213">
        <v>50</v>
      </c>
      <c r="BB48" s="213">
        <f>IF(AX48&gt;0,(AZ48-AX48+BD48)*BA48,0)</f>
        <v>0</v>
      </c>
      <c r="BC48" s="213">
        <f>IF(AX48&gt;0,1100,0)</f>
        <v>1100</v>
      </c>
      <c r="BD48" s="215"/>
    </row>
    <row r="49" spans="1:56" s="217" customFormat="1" ht="36.75" customHeight="1" x14ac:dyDescent="0.25">
      <c r="A49" s="290">
        <v>40</v>
      </c>
      <c r="B49" s="210"/>
      <c r="C49" s="230" t="s">
        <v>438</v>
      </c>
      <c r="D49" s="200">
        <v>16</v>
      </c>
      <c r="E49" s="201">
        <v>39672</v>
      </c>
      <c r="F49" s="201">
        <f t="shared" ref="F49" si="45">IF(H49&gt;0,100,0)</f>
        <v>100</v>
      </c>
      <c r="G49" s="201">
        <f t="shared" ref="G49" si="46">+ROUND(H49*12%,2)</f>
        <v>4760.6400000000003</v>
      </c>
      <c r="H49" s="202">
        <f t="shared" ref="H49" si="47">ROUND(IF(AX49&gt;22,0,IF(AX49=22,E49,IF(AX49&lt;22,E49*(AX49/AZ49),IF(OR(AX49=0,AX49=" ")=TRUE,0)))),2)</f>
        <v>39672</v>
      </c>
      <c r="I49" s="202">
        <f t="shared" ref="I49" si="48">ROUND(IF(AND(H49&gt;0,AX49=22)=TRUE,2000,IF(AND(H49&gt;0,AX49&lt;22,AX49&gt;0)=TRUE,2000*(AX49/AZ49),IF(AX49&lt;0,0,0))),2)</f>
        <v>2000</v>
      </c>
      <c r="J49" s="202">
        <f t="shared" ref="J49" si="49">IF(H49&gt;0,BC49-BB49,0)</f>
        <v>1100</v>
      </c>
      <c r="K49" s="202">
        <f t="shared" ref="K49" si="50">IF(AND(H49&gt;0,AX49&gt;11)=TRUE,150,0)</f>
        <v>150</v>
      </c>
      <c r="L49" s="202">
        <f>ROUND(IF(AND($H49&gt;0,AX49&gt;11)=TRUE,$AW49*$E49,0),2)</f>
        <v>9918</v>
      </c>
      <c r="M49" s="202">
        <f t="shared" ref="M49" si="51">ROUND(SUM(H49:L49),2)</f>
        <v>52840</v>
      </c>
      <c r="N49" s="202">
        <v>4816.67</v>
      </c>
      <c r="O49" s="202">
        <f t="shared" ref="O49" si="52">E49*0.04/2</f>
        <v>793.44</v>
      </c>
      <c r="P49" s="203">
        <f>ROUND($H49*9%,2)</f>
        <v>3570.48</v>
      </c>
      <c r="Q49" s="203"/>
      <c r="R49" s="203"/>
      <c r="S49" s="203"/>
      <c r="T49" s="203"/>
      <c r="U49" s="203"/>
      <c r="V49" s="203"/>
      <c r="W49" s="203"/>
      <c r="X49" s="203"/>
      <c r="Y49" s="203"/>
      <c r="Z49" s="203">
        <f t="shared" ref="Z49" si="53">ROUND(IF(H49&gt;0,100,0),2)</f>
        <v>100</v>
      </c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>
        <f t="shared" ref="AL49" si="54">SUM(N49:AK49)</f>
        <v>9280.59</v>
      </c>
      <c r="AM49" s="204">
        <f t="shared" ref="AM49" si="55">ROUND(M49-AL49,2)</f>
        <v>43559.41</v>
      </c>
      <c r="AN49" s="291"/>
      <c r="AO49" s="211"/>
      <c r="AP49" s="207"/>
      <c r="AQ49" s="212">
        <f t="shared" ref="AQ49" si="56">SUM(AO49:AP49)</f>
        <v>0</v>
      </c>
      <c r="AR49" s="213">
        <f t="shared" ref="AR49" si="57">+AM49-AQ49</f>
        <v>43559.41</v>
      </c>
      <c r="AS49" s="213"/>
      <c r="AT49" s="213"/>
      <c r="AU49" s="213">
        <f t="shared" ref="AU49" si="58">IF(E49=0,0,IF(E49&lt;=10000,137.5,IF(AND(E49&gt;10000,E49&lt;40000)=TRUE,E49*2.75%*50%,IF(E49&gt;=40000,550,0))))</f>
        <v>545.49</v>
      </c>
      <c r="AV49" s="214"/>
      <c r="AW49" s="214" t="str">
        <f>IF(AND($D49&gt;=1,$D49&lt;=19)=TRUE,"25%",IF($D49=20,"15%",IF($D49=21,"13%",IF($D49=22,"12%",IF($D49=23,"11%",IF(OR($D49=24,$D49=25)=TRUE,"10%",IF($D49=26,"9%",IF($D49=27,"8%",IF($D49=28,"7%",IF(OR($D49=29,$D49=30)=TRUE,"6%",IF($D49=31,"5%","0%")))))))))))</f>
        <v>25%</v>
      </c>
      <c r="AX49" s="215">
        <v>22</v>
      </c>
      <c r="AY49" s="213">
        <v>150</v>
      </c>
      <c r="AZ49" s="214">
        <v>22</v>
      </c>
      <c r="BA49" s="213">
        <v>50</v>
      </c>
      <c r="BB49" s="213">
        <f t="shared" ref="BB49" si="59">IF(AX49&gt;0,(AZ49-AX49+BD49)*BA49,0)</f>
        <v>0</v>
      </c>
      <c r="BC49" s="213">
        <f t="shared" ref="BC49" si="60">IF(AX49&gt;0,1100,0)</f>
        <v>1100</v>
      </c>
      <c r="BD49" s="215"/>
    </row>
    <row r="50" spans="1:56" s="356" customFormat="1" ht="36.75" customHeight="1" x14ac:dyDescent="0.25">
      <c r="A50" s="357"/>
      <c r="B50" s="358"/>
      <c r="C50" s="359" t="s">
        <v>102</v>
      </c>
      <c r="D50" s="360"/>
      <c r="E50" s="355">
        <f>ROUND(SUM(E30:E49),2)</f>
        <v>793440</v>
      </c>
      <c r="F50" s="355">
        <f t="shared" ref="F50:BD50" si="61">ROUND(SUM(F30:F49),2)</f>
        <v>2000</v>
      </c>
      <c r="G50" s="355">
        <f t="shared" si="61"/>
        <v>95212.800000000003</v>
      </c>
      <c r="H50" s="355">
        <f t="shared" si="61"/>
        <v>793440</v>
      </c>
      <c r="I50" s="355">
        <f t="shared" si="61"/>
        <v>40000</v>
      </c>
      <c r="J50" s="355">
        <f t="shared" si="61"/>
        <v>21950</v>
      </c>
      <c r="K50" s="355">
        <f t="shared" si="61"/>
        <v>3000</v>
      </c>
      <c r="L50" s="355">
        <f t="shared" si="61"/>
        <v>198360</v>
      </c>
      <c r="M50" s="355">
        <f t="shared" si="61"/>
        <v>1056750</v>
      </c>
      <c r="N50" s="355">
        <f t="shared" si="61"/>
        <v>215195.18</v>
      </c>
      <c r="O50" s="355">
        <f t="shared" si="61"/>
        <v>15868.8</v>
      </c>
      <c r="P50" s="355">
        <f t="shared" si="61"/>
        <v>71409.600000000006</v>
      </c>
      <c r="Q50" s="355">
        <f t="shared" si="61"/>
        <v>0</v>
      </c>
      <c r="R50" s="355">
        <f t="shared" si="61"/>
        <v>0</v>
      </c>
      <c r="S50" s="355">
        <f t="shared" si="61"/>
        <v>0</v>
      </c>
      <c r="T50" s="355">
        <f t="shared" si="61"/>
        <v>0</v>
      </c>
      <c r="U50" s="355">
        <f t="shared" si="61"/>
        <v>0</v>
      </c>
      <c r="V50" s="355">
        <f t="shared" si="61"/>
        <v>0</v>
      </c>
      <c r="W50" s="355">
        <f t="shared" si="61"/>
        <v>0</v>
      </c>
      <c r="X50" s="355">
        <f t="shared" si="61"/>
        <v>0</v>
      </c>
      <c r="Y50" s="355">
        <f t="shared" si="61"/>
        <v>0</v>
      </c>
      <c r="Z50" s="355">
        <f t="shared" si="61"/>
        <v>2000</v>
      </c>
      <c r="AA50" s="355">
        <f t="shared" si="61"/>
        <v>0</v>
      </c>
      <c r="AB50" s="355">
        <f t="shared" si="61"/>
        <v>0</v>
      </c>
      <c r="AC50" s="355">
        <f t="shared" si="61"/>
        <v>0</v>
      </c>
      <c r="AD50" s="355">
        <f t="shared" si="61"/>
        <v>0</v>
      </c>
      <c r="AE50" s="355">
        <f t="shared" si="61"/>
        <v>0</v>
      </c>
      <c r="AF50" s="355">
        <f t="shared" si="61"/>
        <v>0</v>
      </c>
      <c r="AG50" s="355">
        <f t="shared" si="61"/>
        <v>0</v>
      </c>
      <c r="AH50" s="355">
        <f t="shared" si="61"/>
        <v>0</v>
      </c>
      <c r="AI50" s="355">
        <f t="shared" si="61"/>
        <v>0</v>
      </c>
      <c r="AJ50" s="355">
        <f t="shared" si="61"/>
        <v>0</v>
      </c>
      <c r="AK50" s="355">
        <f t="shared" si="61"/>
        <v>0</v>
      </c>
      <c r="AL50" s="355">
        <f t="shared" si="61"/>
        <v>304473.58</v>
      </c>
      <c r="AM50" s="355">
        <f t="shared" si="61"/>
        <v>752276.42</v>
      </c>
      <c r="AN50" s="355">
        <f t="shared" si="61"/>
        <v>0</v>
      </c>
      <c r="AO50" s="355">
        <f t="shared" si="61"/>
        <v>0</v>
      </c>
      <c r="AP50" s="355">
        <f t="shared" si="61"/>
        <v>0</v>
      </c>
      <c r="AQ50" s="355">
        <f t="shared" si="61"/>
        <v>0</v>
      </c>
      <c r="AR50" s="355">
        <f t="shared" si="61"/>
        <v>752276.42</v>
      </c>
      <c r="AS50" s="355">
        <f t="shared" si="61"/>
        <v>0</v>
      </c>
      <c r="AT50" s="355">
        <f t="shared" si="61"/>
        <v>0</v>
      </c>
      <c r="AU50" s="355">
        <f t="shared" si="61"/>
        <v>10909.8</v>
      </c>
      <c r="AV50" s="355">
        <f t="shared" si="61"/>
        <v>0</v>
      </c>
      <c r="AW50" s="355">
        <f t="shared" si="61"/>
        <v>0</v>
      </c>
      <c r="AX50" s="355">
        <f t="shared" si="61"/>
        <v>440</v>
      </c>
      <c r="AY50" s="355">
        <f t="shared" si="61"/>
        <v>3000</v>
      </c>
      <c r="AZ50" s="355">
        <f t="shared" si="61"/>
        <v>440</v>
      </c>
      <c r="BA50" s="355">
        <f t="shared" si="61"/>
        <v>1000</v>
      </c>
      <c r="BB50" s="355">
        <f t="shared" si="61"/>
        <v>50</v>
      </c>
      <c r="BC50" s="355">
        <f t="shared" si="61"/>
        <v>22000</v>
      </c>
      <c r="BD50" s="355">
        <f t="shared" si="61"/>
        <v>1</v>
      </c>
    </row>
    <row r="51" spans="1:56" s="217" customFormat="1" ht="36.75" customHeight="1" x14ac:dyDescent="0.25">
      <c r="A51" s="290">
        <v>41</v>
      </c>
      <c r="B51" s="210"/>
      <c r="C51" s="230" t="s">
        <v>296</v>
      </c>
      <c r="D51" s="200">
        <v>16</v>
      </c>
      <c r="E51" s="201">
        <v>39672</v>
      </c>
      <c r="F51" s="201">
        <f t="shared" ref="F51:F68" si="62">IF(H51&gt;0,100,0)</f>
        <v>100</v>
      </c>
      <c r="G51" s="201">
        <f t="shared" ref="G51:G68" si="63">+ROUND(H51*12%,2)</f>
        <v>4760.6400000000003</v>
      </c>
      <c r="H51" s="202">
        <f t="shared" ref="H51:H68" si="64">ROUND(IF(AX51&gt;22,0,IF(AX51=22,E51,IF(AX51&lt;22,E51*(AX51/AZ51),IF(OR(AX51=0,AX51=" ")=TRUE,0)))),2)</f>
        <v>39672</v>
      </c>
      <c r="I51" s="202">
        <f t="shared" ref="I51:I68" si="65">ROUND(IF(AND(H51&gt;0,AX51=22)=TRUE,2000,IF(AND(H51&gt;0,AX51&lt;22,AX51&gt;0)=TRUE,2000*(AX51/AZ51),IF(AX51&lt;0,0,0))),2)</f>
        <v>2000</v>
      </c>
      <c r="J51" s="202">
        <f t="shared" ref="J51:J68" si="66">IF(H51&gt;0,BC51-BB51,0)</f>
        <v>1100</v>
      </c>
      <c r="K51" s="202">
        <f t="shared" ref="K51:K68" si="67">IF(AND(H51&gt;0,AX51&gt;11)=TRUE,150,0)</f>
        <v>150</v>
      </c>
      <c r="L51" s="202">
        <f t="shared" ref="L51:L68" si="68">ROUND(IF(AND($H51&gt;0,AX51&gt;11)=TRUE,$AW51*$E51,0),2)</f>
        <v>9918</v>
      </c>
      <c r="M51" s="202">
        <f t="shared" ref="M51:M68" si="69">ROUND(SUM(H51:L51),2)</f>
        <v>52840</v>
      </c>
      <c r="N51" s="202">
        <v>10930.76</v>
      </c>
      <c r="O51" s="202">
        <f t="shared" ref="O51:O68" si="70">E51*0.04/2</f>
        <v>793.44</v>
      </c>
      <c r="P51" s="203">
        <f t="shared" ref="P51:P68" si="71">ROUND($H51*9%,2)</f>
        <v>3570.48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3">
        <f t="shared" ref="Z51:Z68" si="72">ROUND(IF(H51&gt;0,100,0),2)</f>
        <v>100</v>
      </c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>
        <f t="shared" ref="AL51:AL68" si="73">SUM(N51:AK51)</f>
        <v>15394.68</v>
      </c>
      <c r="AM51" s="204">
        <f t="shared" ref="AM51:AM68" si="74">ROUND(M51-AL51,2)</f>
        <v>37445.32</v>
      </c>
      <c r="AN51" s="291"/>
      <c r="AO51" s="211"/>
      <c r="AP51" s="207"/>
      <c r="AQ51" s="212">
        <f t="shared" ref="AQ51:AQ68" si="75">SUM(AO51:AP51)</f>
        <v>0</v>
      </c>
      <c r="AR51" s="213">
        <f t="shared" ref="AR51:AR68" si="76">+AM51-AQ51</f>
        <v>37445.32</v>
      </c>
      <c r="AS51" s="213"/>
      <c r="AT51" s="213"/>
      <c r="AU51" s="213">
        <f t="shared" ref="AU51:AU68" si="77">IF(E51=0,0,IF(E51&lt;=10000,137.5,IF(AND(E51&gt;10000,E51&lt;40000)=TRUE,E51*2.75%*50%,IF(E51&gt;=40000,550,0))))</f>
        <v>545.49</v>
      </c>
      <c r="AV51" s="214"/>
      <c r="AW51" s="214" t="str">
        <f t="shared" ref="AW51:AW68" si="78">IF(AND($D51&gt;=1,$D51&lt;=19)=TRUE,"25%",IF($D51=20,"15%",IF($D51=21,"13%",IF($D51=22,"12%",IF($D51=23,"11%",IF(OR($D51=24,$D51=25)=TRUE,"10%",IF($D51=26,"9%",IF($D51=27,"8%",IF($D51=28,"7%",IF(OR($D51=29,$D51=30)=TRUE,"6%",IF($D51=31,"5%","0%")))))))))))</f>
        <v>25%</v>
      </c>
      <c r="AX51" s="215">
        <v>22</v>
      </c>
      <c r="AY51" s="213">
        <v>150</v>
      </c>
      <c r="AZ51" s="214">
        <v>22</v>
      </c>
      <c r="BA51" s="213">
        <v>50</v>
      </c>
      <c r="BB51" s="213">
        <f t="shared" ref="BB51:BB68" si="79">IF(AX51&gt;0,(AZ51-AX51+BD51)*BA51,0)</f>
        <v>0</v>
      </c>
      <c r="BC51" s="213">
        <f t="shared" ref="BC51:BC68" si="80">IF(AX51&gt;0,1100,0)</f>
        <v>1100</v>
      </c>
      <c r="BD51" s="215"/>
    </row>
    <row r="52" spans="1:56" s="217" customFormat="1" ht="36.75" customHeight="1" x14ac:dyDescent="0.25">
      <c r="A52" s="290">
        <v>42</v>
      </c>
      <c r="B52" s="210"/>
      <c r="C52" s="230" t="s">
        <v>297</v>
      </c>
      <c r="D52" s="200">
        <v>16</v>
      </c>
      <c r="E52" s="201">
        <v>39672</v>
      </c>
      <c r="F52" s="201">
        <f t="shared" si="62"/>
        <v>100</v>
      </c>
      <c r="G52" s="201">
        <f t="shared" si="63"/>
        <v>4760.6400000000003</v>
      </c>
      <c r="H52" s="202">
        <f t="shared" si="64"/>
        <v>39672</v>
      </c>
      <c r="I52" s="202">
        <f t="shared" si="65"/>
        <v>2000</v>
      </c>
      <c r="J52" s="202">
        <f t="shared" si="66"/>
        <v>1100</v>
      </c>
      <c r="K52" s="202">
        <f t="shared" si="67"/>
        <v>150</v>
      </c>
      <c r="L52" s="202">
        <f t="shared" si="68"/>
        <v>9918</v>
      </c>
      <c r="M52" s="202">
        <f t="shared" si="69"/>
        <v>52840</v>
      </c>
      <c r="N52" s="202">
        <v>10755.76</v>
      </c>
      <c r="O52" s="202">
        <f t="shared" si="70"/>
        <v>793.44</v>
      </c>
      <c r="P52" s="203">
        <f t="shared" si="71"/>
        <v>3570.48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>
        <f t="shared" si="72"/>
        <v>100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>
        <f t="shared" si="73"/>
        <v>15219.68</v>
      </c>
      <c r="AM52" s="204">
        <f t="shared" si="74"/>
        <v>37620.32</v>
      </c>
      <c r="AN52" s="291"/>
      <c r="AO52" s="211"/>
      <c r="AP52" s="207"/>
      <c r="AQ52" s="212">
        <f t="shared" si="75"/>
        <v>0</v>
      </c>
      <c r="AR52" s="213">
        <f t="shared" si="76"/>
        <v>37620.32</v>
      </c>
      <c r="AS52" s="213"/>
      <c r="AT52" s="213"/>
      <c r="AU52" s="213">
        <f t="shared" si="77"/>
        <v>545.49</v>
      </c>
      <c r="AV52" s="214"/>
      <c r="AW52" s="214" t="str">
        <f t="shared" si="78"/>
        <v>25%</v>
      </c>
      <c r="AX52" s="215">
        <v>22</v>
      </c>
      <c r="AY52" s="213">
        <v>150</v>
      </c>
      <c r="AZ52" s="214">
        <v>22</v>
      </c>
      <c r="BA52" s="213">
        <v>50</v>
      </c>
      <c r="BB52" s="213">
        <f t="shared" si="79"/>
        <v>0</v>
      </c>
      <c r="BC52" s="213">
        <f t="shared" si="80"/>
        <v>1100</v>
      </c>
      <c r="BD52" s="215"/>
    </row>
    <row r="53" spans="1:56" s="217" customFormat="1" ht="36.75" customHeight="1" x14ac:dyDescent="0.25">
      <c r="A53" s="290">
        <v>43</v>
      </c>
      <c r="B53" s="210"/>
      <c r="C53" s="230" t="s">
        <v>298</v>
      </c>
      <c r="D53" s="200">
        <v>16</v>
      </c>
      <c r="E53" s="201">
        <v>39672</v>
      </c>
      <c r="F53" s="201">
        <f t="shared" si="62"/>
        <v>100</v>
      </c>
      <c r="G53" s="201">
        <f t="shared" si="63"/>
        <v>4760.6400000000003</v>
      </c>
      <c r="H53" s="202">
        <f t="shared" si="64"/>
        <v>39672</v>
      </c>
      <c r="I53" s="202">
        <f t="shared" si="65"/>
        <v>2000</v>
      </c>
      <c r="J53" s="202">
        <f t="shared" si="66"/>
        <v>1100</v>
      </c>
      <c r="K53" s="202">
        <f t="shared" si="67"/>
        <v>150</v>
      </c>
      <c r="L53" s="202">
        <f t="shared" si="68"/>
        <v>9918</v>
      </c>
      <c r="M53" s="202">
        <f t="shared" si="69"/>
        <v>52840</v>
      </c>
      <c r="N53" s="202">
        <v>11155.76</v>
      </c>
      <c r="O53" s="202">
        <f t="shared" si="70"/>
        <v>793.44</v>
      </c>
      <c r="P53" s="203">
        <f t="shared" si="71"/>
        <v>3570.48</v>
      </c>
      <c r="Q53" s="203"/>
      <c r="R53" s="203"/>
      <c r="S53" s="203"/>
      <c r="T53" s="203"/>
      <c r="U53" s="203"/>
      <c r="V53" s="203"/>
      <c r="W53" s="203"/>
      <c r="X53" s="203"/>
      <c r="Y53" s="203"/>
      <c r="Z53" s="203">
        <f t="shared" si="72"/>
        <v>100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>
        <f t="shared" si="73"/>
        <v>15619.68</v>
      </c>
      <c r="AM53" s="204">
        <f t="shared" si="74"/>
        <v>37220.32</v>
      </c>
      <c r="AN53" s="291"/>
      <c r="AO53" s="211"/>
      <c r="AP53" s="207"/>
      <c r="AQ53" s="212">
        <f t="shared" si="75"/>
        <v>0</v>
      </c>
      <c r="AR53" s="213">
        <f t="shared" si="76"/>
        <v>37220.32</v>
      </c>
      <c r="AS53" s="213"/>
      <c r="AT53" s="213"/>
      <c r="AU53" s="213">
        <f t="shared" si="77"/>
        <v>545.49</v>
      </c>
      <c r="AV53" s="214"/>
      <c r="AW53" s="214" t="str">
        <f t="shared" si="78"/>
        <v>25%</v>
      </c>
      <c r="AX53" s="215">
        <v>22</v>
      </c>
      <c r="AY53" s="213">
        <v>150</v>
      </c>
      <c r="AZ53" s="214">
        <v>22</v>
      </c>
      <c r="BA53" s="213">
        <v>50</v>
      </c>
      <c r="BB53" s="213">
        <f t="shared" si="79"/>
        <v>0</v>
      </c>
      <c r="BC53" s="213">
        <f t="shared" si="80"/>
        <v>1100</v>
      </c>
      <c r="BD53" s="215"/>
    </row>
    <row r="54" spans="1:56" s="217" customFormat="1" ht="36.75" customHeight="1" x14ac:dyDescent="0.25">
      <c r="A54" s="290">
        <v>44</v>
      </c>
      <c r="B54" s="210"/>
      <c r="C54" s="230" t="s">
        <v>299</v>
      </c>
      <c r="D54" s="200">
        <v>16</v>
      </c>
      <c r="E54" s="201">
        <v>39672</v>
      </c>
      <c r="F54" s="201">
        <f t="shared" si="62"/>
        <v>100</v>
      </c>
      <c r="G54" s="201">
        <f t="shared" si="63"/>
        <v>4760.6400000000003</v>
      </c>
      <c r="H54" s="202">
        <f t="shared" si="64"/>
        <v>39672</v>
      </c>
      <c r="I54" s="202">
        <f t="shared" si="65"/>
        <v>2000</v>
      </c>
      <c r="J54" s="202">
        <f t="shared" si="66"/>
        <v>1100</v>
      </c>
      <c r="K54" s="202">
        <f t="shared" si="67"/>
        <v>150</v>
      </c>
      <c r="L54" s="202">
        <f t="shared" si="68"/>
        <v>9918</v>
      </c>
      <c r="M54" s="202">
        <f t="shared" si="69"/>
        <v>52840</v>
      </c>
      <c r="N54" s="202">
        <v>10755.76</v>
      </c>
      <c r="O54" s="202">
        <f t="shared" si="70"/>
        <v>793.44</v>
      </c>
      <c r="P54" s="203">
        <f t="shared" si="71"/>
        <v>3570.48</v>
      </c>
      <c r="Q54" s="203"/>
      <c r="R54" s="203"/>
      <c r="S54" s="203"/>
      <c r="T54" s="203"/>
      <c r="U54" s="203"/>
      <c r="V54" s="203"/>
      <c r="W54" s="203"/>
      <c r="X54" s="203"/>
      <c r="Y54" s="203"/>
      <c r="Z54" s="203">
        <f t="shared" si="72"/>
        <v>100</v>
      </c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>
        <f t="shared" si="73"/>
        <v>15219.68</v>
      </c>
      <c r="AM54" s="204">
        <f t="shared" si="74"/>
        <v>37620.32</v>
      </c>
      <c r="AN54" s="291"/>
      <c r="AO54" s="211"/>
      <c r="AP54" s="207"/>
      <c r="AQ54" s="212">
        <f t="shared" si="75"/>
        <v>0</v>
      </c>
      <c r="AR54" s="213">
        <f t="shared" si="76"/>
        <v>37620.32</v>
      </c>
      <c r="AS54" s="213"/>
      <c r="AT54" s="213"/>
      <c r="AU54" s="213">
        <f t="shared" si="77"/>
        <v>545.49</v>
      </c>
      <c r="AV54" s="214"/>
      <c r="AW54" s="214" t="str">
        <f t="shared" si="78"/>
        <v>25%</v>
      </c>
      <c r="AX54" s="215">
        <v>22</v>
      </c>
      <c r="AY54" s="213">
        <v>150</v>
      </c>
      <c r="AZ54" s="214">
        <v>22</v>
      </c>
      <c r="BA54" s="213">
        <v>50</v>
      </c>
      <c r="BB54" s="213">
        <f t="shared" si="79"/>
        <v>0</v>
      </c>
      <c r="BC54" s="213">
        <f t="shared" si="80"/>
        <v>1100</v>
      </c>
      <c r="BD54" s="215"/>
    </row>
    <row r="55" spans="1:56" s="217" customFormat="1" ht="36.75" customHeight="1" x14ac:dyDescent="0.25">
      <c r="A55" s="290">
        <v>45</v>
      </c>
      <c r="B55" s="210"/>
      <c r="C55" s="230" t="s">
        <v>300</v>
      </c>
      <c r="D55" s="200">
        <v>16</v>
      </c>
      <c r="E55" s="201">
        <v>39672</v>
      </c>
      <c r="F55" s="201">
        <f t="shared" si="62"/>
        <v>100</v>
      </c>
      <c r="G55" s="201">
        <f t="shared" si="63"/>
        <v>4760.6400000000003</v>
      </c>
      <c r="H55" s="202">
        <f t="shared" si="64"/>
        <v>39672</v>
      </c>
      <c r="I55" s="202">
        <f t="shared" si="65"/>
        <v>2000</v>
      </c>
      <c r="J55" s="202">
        <f t="shared" si="66"/>
        <v>1100</v>
      </c>
      <c r="K55" s="202">
        <f t="shared" si="67"/>
        <v>150</v>
      </c>
      <c r="L55" s="202">
        <f t="shared" si="68"/>
        <v>9918</v>
      </c>
      <c r="M55" s="202">
        <f t="shared" si="69"/>
        <v>52840</v>
      </c>
      <c r="N55" s="202">
        <v>10655.76</v>
      </c>
      <c r="O55" s="202">
        <f t="shared" si="70"/>
        <v>793.44</v>
      </c>
      <c r="P55" s="203">
        <f t="shared" si="71"/>
        <v>3570.48</v>
      </c>
      <c r="Q55" s="203"/>
      <c r="R55" s="203"/>
      <c r="S55" s="203"/>
      <c r="T55" s="203"/>
      <c r="U55" s="203"/>
      <c r="V55" s="203"/>
      <c r="W55" s="203"/>
      <c r="X55" s="203"/>
      <c r="Y55" s="203"/>
      <c r="Z55" s="203">
        <f t="shared" si="72"/>
        <v>100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>
        <f t="shared" si="73"/>
        <v>15119.68</v>
      </c>
      <c r="AM55" s="204">
        <f t="shared" si="74"/>
        <v>37720.32</v>
      </c>
      <c r="AN55" s="291"/>
      <c r="AO55" s="211"/>
      <c r="AP55" s="207"/>
      <c r="AQ55" s="212">
        <f t="shared" si="75"/>
        <v>0</v>
      </c>
      <c r="AR55" s="213">
        <f t="shared" si="76"/>
        <v>37720.32</v>
      </c>
      <c r="AS55" s="213"/>
      <c r="AT55" s="213"/>
      <c r="AU55" s="213">
        <f t="shared" si="77"/>
        <v>545.49</v>
      </c>
      <c r="AV55" s="214"/>
      <c r="AW55" s="214" t="str">
        <f t="shared" si="78"/>
        <v>25%</v>
      </c>
      <c r="AX55" s="215">
        <v>22</v>
      </c>
      <c r="AY55" s="213">
        <v>150</v>
      </c>
      <c r="AZ55" s="214">
        <v>22</v>
      </c>
      <c r="BA55" s="213">
        <v>50</v>
      </c>
      <c r="BB55" s="213">
        <f t="shared" si="79"/>
        <v>0</v>
      </c>
      <c r="BC55" s="213">
        <f t="shared" si="80"/>
        <v>1100</v>
      </c>
      <c r="BD55" s="215"/>
    </row>
    <row r="56" spans="1:56" s="217" customFormat="1" ht="36.75" customHeight="1" x14ac:dyDescent="0.25">
      <c r="A56" s="290">
        <v>46</v>
      </c>
      <c r="B56" s="210"/>
      <c r="C56" s="230" t="s">
        <v>301</v>
      </c>
      <c r="D56" s="200">
        <v>16</v>
      </c>
      <c r="E56" s="201">
        <v>39672</v>
      </c>
      <c r="F56" s="201">
        <f t="shared" si="62"/>
        <v>100</v>
      </c>
      <c r="G56" s="201">
        <f t="shared" si="63"/>
        <v>4760.6400000000003</v>
      </c>
      <c r="H56" s="202">
        <f t="shared" si="64"/>
        <v>39672</v>
      </c>
      <c r="I56" s="202">
        <f t="shared" si="65"/>
        <v>2000</v>
      </c>
      <c r="J56" s="202">
        <f t="shared" si="66"/>
        <v>1100</v>
      </c>
      <c r="K56" s="202">
        <f t="shared" si="67"/>
        <v>150</v>
      </c>
      <c r="L56" s="202">
        <f t="shared" si="68"/>
        <v>9918</v>
      </c>
      <c r="M56" s="202">
        <f t="shared" si="69"/>
        <v>52840</v>
      </c>
      <c r="N56" s="202">
        <v>11468.3</v>
      </c>
      <c r="O56" s="202">
        <f t="shared" si="70"/>
        <v>793.44</v>
      </c>
      <c r="P56" s="203">
        <f t="shared" si="71"/>
        <v>3570.48</v>
      </c>
      <c r="Q56" s="203"/>
      <c r="R56" s="203"/>
      <c r="S56" s="203"/>
      <c r="T56" s="203"/>
      <c r="U56" s="203"/>
      <c r="V56" s="203"/>
      <c r="W56" s="203"/>
      <c r="X56" s="203"/>
      <c r="Y56" s="203"/>
      <c r="Z56" s="203">
        <f t="shared" si="72"/>
        <v>100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>
        <f t="shared" si="73"/>
        <v>15932.22</v>
      </c>
      <c r="AM56" s="204">
        <f t="shared" si="74"/>
        <v>36907.78</v>
      </c>
      <c r="AN56" s="291"/>
      <c r="AO56" s="211"/>
      <c r="AP56" s="207"/>
      <c r="AQ56" s="212">
        <f t="shared" si="75"/>
        <v>0</v>
      </c>
      <c r="AR56" s="213">
        <f t="shared" si="76"/>
        <v>36907.78</v>
      </c>
      <c r="AS56" s="213"/>
      <c r="AT56" s="213"/>
      <c r="AU56" s="213">
        <f t="shared" si="77"/>
        <v>545.49</v>
      </c>
      <c r="AV56" s="214"/>
      <c r="AW56" s="214" t="str">
        <f t="shared" si="78"/>
        <v>25%</v>
      </c>
      <c r="AX56" s="215">
        <v>22</v>
      </c>
      <c r="AY56" s="213">
        <v>150</v>
      </c>
      <c r="AZ56" s="214">
        <v>22</v>
      </c>
      <c r="BA56" s="213">
        <v>50</v>
      </c>
      <c r="BB56" s="213">
        <f t="shared" si="79"/>
        <v>0</v>
      </c>
      <c r="BC56" s="213">
        <f t="shared" si="80"/>
        <v>1100</v>
      </c>
      <c r="BD56" s="215"/>
    </row>
    <row r="57" spans="1:56" s="217" customFormat="1" ht="36.75" customHeight="1" x14ac:dyDescent="0.25">
      <c r="A57" s="290">
        <v>47</v>
      </c>
      <c r="B57" s="210"/>
      <c r="C57" s="230" t="s">
        <v>302</v>
      </c>
      <c r="D57" s="200">
        <v>16</v>
      </c>
      <c r="E57" s="201">
        <v>39672</v>
      </c>
      <c r="F57" s="201">
        <f t="shared" si="62"/>
        <v>100</v>
      </c>
      <c r="G57" s="201">
        <f t="shared" si="63"/>
        <v>4760.6400000000003</v>
      </c>
      <c r="H57" s="202">
        <f t="shared" si="64"/>
        <v>39672</v>
      </c>
      <c r="I57" s="202">
        <f t="shared" si="65"/>
        <v>2000</v>
      </c>
      <c r="J57" s="202">
        <f t="shared" si="66"/>
        <v>1100</v>
      </c>
      <c r="K57" s="202">
        <f t="shared" si="67"/>
        <v>150</v>
      </c>
      <c r="L57" s="202">
        <f t="shared" si="68"/>
        <v>9918</v>
      </c>
      <c r="M57" s="202">
        <f t="shared" si="69"/>
        <v>52840</v>
      </c>
      <c r="N57" s="202">
        <v>11105.76</v>
      </c>
      <c r="O57" s="202">
        <f t="shared" si="70"/>
        <v>793.44</v>
      </c>
      <c r="P57" s="203">
        <f t="shared" si="71"/>
        <v>3570.48</v>
      </c>
      <c r="Q57" s="203"/>
      <c r="R57" s="203"/>
      <c r="S57" s="203"/>
      <c r="T57" s="203"/>
      <c r="U57" s="203"/>
      <c r="V57" s="203"/>
      <c r="W57" s="203"/>
      <c r="X57" s="203"/>
      <c r="Y57" s="203"/>
      <c r="Z57" s="203">
        <f t="shared" si="72"/>
        <v>100</v>
      </c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>
        <f t="shared" si="73"/>
        <v>15569.68</v>
      </c>
      <c r="AM57" s="204">
        <f t="shared" si="74"/>
        <v>37270.32</v>
      </c>
      <c r="AN57" s="291"/>
      <c r="AO57" s="211"/>
      <c r="AP57" s="207"/>
      <c r="AQ57" s="212">
        <f t="shared" si="75"/>
        <v>0</v>
      </c>
      <c r="AR57" s="213">
        <f t="shared" si="76"/>
        <v>37270.32</v>
      </c>
      <c r="AS57" s="213"/>
      <c r="AT57" s="213"/>
      <c r="AU57" s="213">
        <f t="shared" si="77"/>
        <v>545.49</v>
      </c>
      <c r="AV57" s="214"/>
      <c r="AW57" s="214" t="str">
        <f t="shared" si="78"/>
        <v>25%</v>
      </c>
      <c r="AX57" s="215">
        <v>22</v>
      </c>
      <c r="AY57" s="213">
        <v>150</v>
      </c>
      <c r="AZ57" s="214">
        <v>22</v>
      </c>
      <c r="BA57" s="213">
        <v>50</v>
      </c>
      <c r="BB57" s="213">
        <f t="shared" si="79"/>
        <v>0</v>
      </c>
      <c r="BC57" s="213">
        <f t="shared" si="80"/>
        <v>1100</v>
      </c>
      <c r="BD57" s="215"/>
    </row>
    <row r="58" spans="1:56" s="217" customFormat="1" ht="36.75" customHeight="1" x14ac:dyDescent="0.25">
      <c r="A58" s="290">
        <v>48</v>
      </c>
      <c r="B58" s="210"/>
      <c r="C58" s="230" t="s">
        <v>303</v>
      </c>
      <c r="D58" s="200">
        <v>16</v>
      </c>
      <c r="E58" s="201">
        <v>39672</v>
      </c>
      <c r="F58" s="201">
        <f t="shared" si="62"/>
        <v>100</v>
      </c>
      <c r="G58" s="201">
        <f t="shared" si="63"/>
        <v>4760.6400000000003</v>
      </c>
      <c r="H58" s="202">
        <f t="shared" si="64"/>
        <v>39672</v>
      </c>
      <c r="I58" s="202">
        <f t="shared" si="65"/>
        <v>2000</v>
      </c>
      <c r="J58" s="202">
        <f t="shared" si="66"/>
        <v>1100</v>
      </c>
      <c r="K58" s="202">
        <f t="shared" si="67"/>
        <v>150</v>
      </c>
      <c r="L58" s="202">
        <f t="shared" si="68"/>
        <v>9918</v>
      </c>
      <c r="M58" s="202">
        <f t="shared" si="69"/>
        <v>52840</v>
      </c>
      <c r="N58" s="202">
        <v>11268.3</v>
      </c>
      <c r="O58" s="202">
        <f t="shared" si="70"/>
        <v>793.44</v>
      </c>
      <c r="P58" s="203">
        <f t="shared" si="71"/>
        <v>3570.48</v>
      </c>
      <c r="Q58" s="203"/>
      <c r="R58" s="203"/>
      <c r="S58" s="203"/>
      <c r="T58" s="203"/>
      <c r="U58" s="203"/>
      <c r="V58" s="203"/>
      <c r="W58" s="203"/>
      <c r="X58" s="203"/>
      <c r="Y58" s="203"/>
      <c r="Z58" s="203">
        <f t="shared" si="72"/>
        <v>100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>
        <f t="shared" si="73"/>
        <v>15732.22</v>
      </c>
      <c r="AM58" s="204">
        <f t="shared" si="74"/>
        <v>37107.78</v>
      </c>
      <c r="AN58" s="291"/>
      <c r="AO58" s="211"/>
      <c r="AP58" s="207"/>
      <c r="AQ58" s="212">
        <f t="shared" si="75"/>
        <v>0</v>
      </c>
      <c r="AR58" s="213">
        <f t="shared" si="76"/>
        <v>37107.78</v>
      </c>
      <c r="AS58" s="213"/>
      <c r="AT58" s="213"/>
      <c r="AU58" s="213">
        <f t="shared" si="77"/>
        <v>545.49</v>
      </c>
      <c r="AV58" s="214"/>
      <c r="AW58" s="214" t="str">
        <f t="shared" si="78"/>
        <v>25%</v>
      </c>
      <c r="AX58" s="215">
        <v>22</v>
      </c>
      <c r="AY58" s="213">
        <v>150</v>
      </c>
      <c r="AZ58" s="214">
        <v>22</v>
      </c>
      <c r="BA58" s="213">
        <v>50</v>
      </c>
      <c r="BB58" s="213">
        <f t="shared" si="79"/>
        <v>0</v>
      </c>
      <c r="BC58" s="213">
        <f t="shared" si="80"/>
        <v>1100</v>
      </c>
      <c r="BD58" s="215"/>
    </row>
    <row r="59" spans="1:56" s="217" customFormat="1" ht="37.5" customHeight="1" x14ac:dyDescent="0.25">
      <c r="A59" s="290">
        <v>49</v>
      </c>
      <c r="B59" s="210"/>
      <c r="C59" s="230" t="s">
        <v>304</v>
      </c>
      <c r="D59" s="200">
        <v>16</v>
      </c>
      <c r="E59" s="201">
        <v>39672</v>
      </c>
      <c r="F59" s="201">
        <f t="shared" si="62"/>
        <v>100</v>
      </c>
      <c r="G59" s="201">
        <f t="shared" si="63"/>
        <v>4760.6400000000003</v>
      </c>
      <c r="H59" s="202">
        <f t="shared" si="64"/>
        <v>39672</v>
      </c>
      <c r="I59" s="202">
        <f t="shared" si="65"/>
        <v>2000</v>
      </c>
      <c r="J59" s="202">
        <f t="shared" si="66"/>
        <v>1100</v>
      </c>
      <c r="K59" s="202">
        <f t="shared" si="67"/>
        <v>150</v>
      </c>
      <c r="L59" s="202">
        <f t="shared" si="68"/>
        <v>9918</v>
      </c>
      <c r="M59" s="202">
        <f t="shared" si="69"/>
        <v>52840</v>
      </c>
      <c r="N59" s="202">
        <v>11355.76</v>
      </c>
      <c r="O59" s="202">
        <f t="shared" si="70"/>
        <v>793.44</v>
      </c>
      <c r="P59" s="203">
        <f t="shared" si="71"/>
        <v>3570.48</v>
      </c>
      <c r="Q59" s="203"/>
      <c r="R59" s="203"/>
      <c r="S59" s="203"/>
      <c r="T59" s="203"/>
      <c r="U59" s="203"/>
      <c r="V59" s="203"/>
      <c r="W59" s="203"/>
      <c r="X59" s="203"/>
      <c r="Y59" s="203"/>
      <c r="Z59" s="203">
        <f t="shared" si="72"/>
        <v>100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>
        <f t="shared" si="73"/>
        <v>15819.68</v>
      </c>
      <c r="AM59" s="204">
        <f t="shared" si="74"/>
        <v>37020.32</v>
      </c>
      <c r="AN59" s="291"/>
      <c r="AO59" s="211"/>
      <c r="AP59" s="207"/>
      <c r="AQ59" s="212">
        <f t="shared" si="75"/>
        <v>0</v>
      </c>
      <c r="AR59" s="213">
        <f t="shared" si="76"/>
        <v>37020.32</v>
      </c>
      <c r="AS59" s="213"/>
      <c r="AT59" s="213"/>
      <c r="AU59" s="213">
        <f t="shared" si="77"/>
        <v>545.49</v>
      </c>
      <c r="AV59" s="214"/>
      <c r="AW59" s="214" t="str">
        <f t="shared" si="78"/>
        <v>25%</v>
      </c>
      <c r="AX59" s="215">
        <v>22</v>
      </c>
      <c r="AY59" s="213">
        <v>150</v>
      </c>
      <c r="AZ59" s="214">
        <v>22</v>
      </c>
      <c r="BA59" s="213">
        <v>50</v>
      </c>
      <c r="BB59" s="213">
        <f t="shared" si="79"/>
        <v>0</v>
      </c>
      <c r="BC59" s="213">
        <f t="shared" si="80"/>
        <v>1100</v>
      </c>
      <c r="BD59" s="215"/>
    </row>
    <row r="60" spans="1:56" s="217" customFormat="1" ht="36.75" customHeight="1" x14ac:dyDescent="0.25">
      <c r="A60" s="290">
        <v>50</v>
      </c>
      <c r="B60" s="210"/>
      <c r="C60" s="230" t="s">
        <v>305</v>
      </c>
      <c r="D60" s="200">
        <v>16</v>
      </c>
      <c r="E60" s="201">
        <v>39672</v>
      </c>
      <c r="F60" s="201">
        <f t="shared" si="62"/>
        <v>100</v>
      </c>
      <c r="G60" s="201">
        <f t="shared" si="63"/>
        <v>4760.6400000000003</v>
      </c>
      <c r="H60" s="202">
        <f t="shared" si="64"/>
        <v>39672</v>
      </c>
      <c r="I60" s="202">
        <f t="shared" si="65"/>
        <v>2000</v>
      </c>
      <c r="J60" s="202">
        <f t="shared" si="66"/>
        <v>1100</v>
      </c>
      <c r="K60" s="202">
        <f t="shared" si="67"/>
        <v>150</v>
      </c>
      <c r="L60" s="202">
        <f t="shared" si="68"/>
        <v>9918</v>
      </c>
      <c r="M60" s="202">
        <f t="shared" si="69"/>
        <v>52840</v>
      </c>
      <c r="N60" s="202">
        <v>11655.76</v>
      </c>
      <c r="O60" s="202">
        <f t="shared" si="70"/>
        <v>793.44</v>
      </c>
      <c r="P60" s="203">
        <f t="shared" si="71"/>
        <v>3570.48</v>
      </c>
      <c r="Q60" s="203"/>
      <c r="R60" s="203"/>
      <c r="S60" s="203"/>
      <c r="T60" s="203"/>
      <c r="U60" s="203"/>
      <c r="V60" s="203"/>
      <c r="W60" s="203"/>
      <c r="X60" s="203"/>
      <c r="Y60" s="203"/>
      <c r="Z60" s="203">
        <f t="shared" si="72"/>
        <v>100</v>
      </c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>
        <f t="shared" si="73"/>
        <v>16119.68</v>
      </c>
      <c r="AM60" s="204">
        <f t="shared" si="74"/>
        <v>36720.32</v>
      </c>
      <c r="AN60" s="291"/>
      <c r="AO60" s="211"/>
      <c r="AP60" s="207"/>
      <c r="AQ60" s="212">
        <f t="shared" si="75"/>
        <v>0</v>
      </c>
      <c r="AR60" s="213">
        <f t="shared" si="76"/>
        <v>36720.32</v>
      </c>
      <c r="AS60" s="213"/>
      <c r="AT60" s="213"/>
      <c r="AU60" s="213">
        <f t="shared" si="77"/>
        <v>545.49</v>
      </c>
      <c r="AV60" s="214"/>
      <c r="AW60" s="214" t="str">
        <f t="shared" si="78"/>
        <v>25%</v>
      </c>
      <c r="AX60" s="215">
        <v>22</v>
      </c>
      <c r="AY60" s="213">
        <v>150</v>
      </c>
      <c r="AZ60" s="214">
        <v>22</v>
      </c>
      <c r="BA60" s="213">
        <v>50</v>
      </c>
      <c r="BB60" s="213">
        <f t="shared" si="79"/>
        <v>0</v>
      </c>
      <c r="BC60" s="213">
        <f t="shared" si="80"/>
        <v>1100</v>
      </c>
      <c r="BD60" s="215"/>
    </row>
    <row r="61" spans="1:56" s="217" customFormat="1" ht="36.75" customHeight="1" x14ac:dyDescent="0.25">
      <c r="A61" s="290">
        <v>51</v>
      </c>
      <c r="B61" s="210"/>
      <c r="C61" s="230" t="s">
        <v>306</v>
      </c>
      <c r="D61" s="200">
        <v>16</v>
      </c>
      <c r="E61" s="201">
        <v>39672</v>
      </c>
      <c r="F61" s="201">
        <f t="shared" si="62"/>
        <v>100</v>
      </c>
      <c r="G61" s="201">
        <f t="shared" si="63"/>
        <v>4760.6400000000003</v>
      </c>
      <c r="H61" s="202">
        <f t="shared" si="64"/>
        <v>39672</v>
      </c>
      <c r="I61" s="202">
        <f t="shared" si="65"/>
        <v>2000</v>
      </c>
      <c r="J61" s="202">
        <f t="shared" si="66"/>
        <v>1100</v>
      </c>
      <c r="K61" s="202">
        <f t="shared" si="67"/>
        <v>150</v>
      </c>
      <c r="L61" s="202">
        <f t="shared" si="68"/>
        <v>9918</v>
      </c>
      <c r="M61" s="202">
        <f t="shared" si="69"/>
        <v>52840</v>
      </c>
      <c r="N61" s="202">
        <v>11268.3</v>
      </c>
      <c r="O61" s="202">
        <f t="shared" si="70"/>
        <v>793.44</v>
      </c>
      <c r="P61" s="203">
        <f t="shared" si="71"/>
        <v>3570.48</v>
      </c>
      <c r="Q61" s="203"/>
      <c r="R61" s="203"/>
      <c r="S61" s="203"/>
      <c r="T61" s="203"/>
      <c r="U61" s="203"/>
      <c r="V61" s="203"/>
      <c r="W61" s="203"/>
      <c r="X61" s="203"/>
      <c r="Y61" s="203"/>
      <c r="Z61" s="203">
        <f t="shared" si="72"/>
        <v>100</v>
      </c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>
        <f t="shared" si="73"/>
        <v>15732.22</v>
      </c>
      <c r="AM61" s="204">
        <f t="shared" si="74"/>
        <v>37107.78</v>
      </c>
      <c r="AN61" s="291"/>
      <c r="AO61" s="211"/>
      <c r="AP61" s="207"/>
      <c r="AQ61" s="212">
        <f t="shared" si="75"/>
        <v>0</v>
      </c>
      <c r="AR61" s="213">
        <f t="shared" si="76"/>
        <v>37107.78</v>
      </c>
      <c r="AS61" s="213"/>
      <c r="AT61" s="213"/>
      <c r="AU61" s="213">
        <f t="shared" si="77"/>
        <v>545.49</v>
      </c>
      <c r="AV61" s="214"/>
      <c r="AW61" s="214" t="str">
        <f t="shared" si="78"/>
        <v>25%</v>
      </c>
      <c r="AX61" s="215">
        <v>22</v>
      </c>
      <c r="AY61" s="213">
        <v>150</v>
      </c>
      <c r="AZ61" s="214">
        <v>22</v>
      </c>
      <c r="BA61" s="213">
        <v>50</v>
      </c>
      <c r="BB61" s="213">
        <f t="shared" si="79"/>
        <v>0</v>
      </c>
      <c r="BC61" s="213">
        <f t="shared" si="80"/>
        <v>1100</v>
      </c>
      <c r="BD61" s="215"/>
    </row>
    <row r="62" spans="1:56" s="217" customFormat="1" ht="36.75" customHeight="1" x14ac:dyDescent="0.25">
      <c r="A62" s="290">
        <v>52</v>
      </c>
      <c r="B62" s="210"/>
      <c r="C62" s="230" t="s">
        <v>308</v>
      </c>
      <c r="D62" s="200">
        <v>16</v>
      </c>
      <c r="E62" s="201">
        <v>39672</v>
      </c>
      <c r="F62" s="201">
        <f t="shared" si="62"/>
        <v>100</v>
      </c>
      <c r="G62" s="201">
        <f t="shared" si="63"/>
        <v>4760.6400000000003</v>
      </c>
      <c r="H62" s="202">
        <f t="shared" si="64"/>
        <v>39672</v>
      </c>
      <c r="I62" s="202">
        <f t="shared" si="65"/>
        <v>2000</v>
      </c>
      <c r="J62" s="202">
        <f t="shared" si="66"/>
        <v>850</v>
      </c>
      <c r="K62" s="202">
        <f t="shared" si="67"/>
        <v>150</v>
      </c>
      <c r="L62" s="202">
        <f t="shared" si="68"/>
        <v>9918</v>
      </c>
      <c r="M62" s="202">
        <f t="shared" si="69"/>
        <v>52590</v>
      </c>
      <c r="N62" s="202">
        <v>11355.76</v>
      </c>
      <c r="O62" s="202">
        <f t="shared" si="70"/>
        <v>793.44</v>
      </c>
      <c r="P62" s="203">
        <f t="shared" si="71"/>
        <v>3570.48</v>
      </c>
      <c r="Q62" s="203"/>
      <c r="R62" s="203"/>
      <c r="S62" s="203"/>
      <c r="T62" s="203"/>
      <c r="U62" s="203"/>
      <c r="V62" s="203"/>
      <c r="W62" s="203"/>
      <c r="X62" s="203"/>
      <c r="Y62" s="203"/>
      <c r="Z62" s="203">
        <f t="shared" si="72"/>
        <v>100</v>
      </c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>
        <f t="shared" si="73"/>
        <v>15819.68</v>
      </c>
      <c r="AM62" s="204">
        <f t="shared" si="74"/>
        <v>36770.32</v>
      </c>
      <c r="AN62" s="338" t="s">
        <v>474</v>
      </c>
      <c r="AO62" s="211"/>
      <c r="AP62" s="207"/>
      <c r="AQ62" s="212">
        <f t="shared" si="75"/>
        <v>0</v>
      </c>
      <c r="AR62" s="213">
        <f t="shared" si="76"/>
        <v>36770.32</v>
      </c>
      <c r="AS62" s="213"/>
      <c r="AT62" s="213"/>
      <c r="AU62" s="213">
        <f t="shared" si="77"/>
        <v>545.49</v>
      </c>
      <c r="AV62" s="214"/>
      <c r="AW62" s="214" t="str">
        <f t="shared" si="78"/>
        <v>25%</v>
      </c>
      <c r="AX62" s="215">
        <v>22</v>
      </c>
      <c r="AY62" s="213">
        <v>150</v>
      </c>
      <c r="AZ62" s="214">
        <v>22</v>
      </c>
      <c r="BA62" s="213">
        <v>50</v>
      </c>
      <c r="BB62" s="213">
        <f t="shared" si="79"/>
        <v>250</v>
      </c>
      <c r="BC62" s="213">
        <f t="shared" si="80"/>
        <v>1100</v>
      </c>
      <c r="BD62" s="215">
        <v>5</v>
      </c>
    </row>
    <row r="63" spans="1:56" s="217" customFormat="1" ht="36.75" customHeight="1" x14ac:dyDescent="0.25">
      <c r="A63" s="290">
        <v>53</v>
      </c>
      <c r="B63" s="210"/>
      <c r="C63" s="230" t="s">
        <v>307</v>
      </c>
      <c r="D63" s="200">
        <v>16</v>
      </c>
      <c r="E63" s="201">
        <v>39672</v>
      </c>
      <c r="F63" s="201">
        <f t="shared" si="62"/>
        <v>100</v>
      </c>
      <c r="G63" s="201">
        <f t="shared" si="63"/>
        <v>4760.6400000000003</v>
      </c>
      <c r="H63" s="202">
        <f t="shared" si="64"/>
        <v>39672</v>
      </c>
      <c r="I63" s="202">
        <f t="shared" si="65"/>
        <v>2000</v>
      </c>
      <c r="J63" s="202">
        <f t="shared" si="66"/>
        <v>1100</v>
      </c>
      <c r="K63" s="202">
        <f t="shared" ref="K63" si="81">IF(AND(H63&gt;0,AX63&gt;11)=TRUE,150,0)</f>
        <v>150</v>
      </c>
      <c r="L63" s="202">
        <f t="shared" ref="L63" si="82">ROUND(IF(AND($H63&gt;0,AX63&gt;11)=TRUE,$AW63*$E63,0),2)</f>
        <v>9918</v>
      </c>
      <c r="M63" s="202">
        <f t="shared" si="69"/>
        <v>52840</v>
      </c>
      <c r="N63" s="202">
        <v>10791.83</v>
      </c>
      <c r="O63" s="202">
        <f t="shared" si="70"/>
        <v>793.44</v>
      </c>
      <c r="P63" s="203">
        <f t="shared" si="71"/>
        <v>3570.48</v>
      </c>
      <c r="Q63" s="203"/>
      <c r="R63" s="203"/>
      <c r="S63" s="203"/>
      <c r="T63" s="203"/>
      <c r="U63" s="203"/>
      <c r="V63" s="203"/>
      <c r="W63" s="203"/>
      <c r="X63" s="203"/>
      <c r="Y63" s="203"/>
      <c r="Z63" s="203">
        <f t="shared" si="72"/>
        <v>100</v>
      </c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>
        <f t="shared" si="73"/>
        <v>15255.75</v>
      </c>
      <c r="AM63" s="204">
        <f t="shared" si="74"/>
        <v>37584.25</v>
      </c>
      <c r="AN63" s="291"/>
      <c r="AO63" s="211"/>
      <c r="AP63" s="207"/>
      <c r="AQ63" s="212">
        <f t="shared" si="75"/>
        <v>0</v>
      </c>
      <c r="AR63" s="213">
        <f t="shared" si="76"/>
        <v>37584.25</v>
      </c>
      <c r="AS63" s="213"/>
      <c r="AT63" s="213"/>
      <c r="AU63" s="213">
        <f t="shared" si="77"/>
        <v>545.49</v>
      </c>
      <c r="AV63" s="214"/>
      <c r="AW63" s="214" t="str">
        <f t="shared" si="78"/>
        <v>25%</v>
      </c>
      <c r="AX63" s="215">
        <v>22</v>
      </c>
      <c r="AY63" s="213">
        <v>150</v>
      </c>
      <c r="AZ63" s="214">
        <v>22</v>
      </c>
      <c r="BA63" s="213">
        <v>50</v>
      </c>
      <c r="BB63" s="213">
        <f t="shared" si="79"/>
        <v>0</v>
      </c>
      <c r="BC63" s="213">
        <f t="shared" si="80"/>
        <v>1100</v>
      </c>
      <c r="BD63" s="215"/>
    </row>
    <row r="64" spans="1:56" s="217" customFormat="1" ht="36.75" customHeight="1" x14ac:dyDescent="0.25">
      <c r="A64" s="290">
        <v>54</v>
      </c>
      <c r="B64" s="210"/>
      <c r="C64" s="230" t="s">
        <v>309</v>
      </c>
      <c r="D64" s="200">
        <v>16</v>
      </c>
      <c r="E64" s="201">
        <v>39672</v>
      </c>
      <c r="F64" s="201">
        <f t="shared" si="62"/>
        <v>100</v>
      </c>
      <c r="G64" s="201">
        <f t="shared" si="63"/>
        <v>4760.6400000000003</v>
      </c>
      <c r="H64" s="202">
        <f t="shared" si="64"/>
        <v>39672</v>
      </c>
      <c r="I64" s="202">
        <f t="shared" si="65"/>
        <v>2000</v>
      </c>
      <c r="J64" s="202">
        <f t="shared" si="66"/>
        <v>1100</v>
      </c>
      <c r="K64" s="202">
        <f t="shared" si="67"/>
        <v>150</v>
      </c>
      <c r="L64" s="202">
        <f t="shared" si="68"/>
        <v>9918</v>
      </c>
      <c r="M64" s="202">
        <f t="shared" si="69"/>
        <v>52840</v>
      </c>
      <c r="N64" s="202">
        <v>11355.76</v>
      </c>
      <c r="O64" s="202">
        <f t="shared" si="70"/>
        <v>793.44</v>
      </c>
      <c r="P64" s="203">
        <f t="shared" si="71"/>
        <v>3570.48</v>
      </c>
      <c r="Q64" s="203"/>
      <c r="R64" s="203"/>
      <c r="S64" s="203"/>
      <c r="T64" s="203"/>
      <c r="U64" s="203"/>
      <c r="V64" s="203"/>
      <c r="W64" s="203"/>
      <c r="X64" s="203"/>
      <c r="Y64" s="203"/>
      <c r="Z64" s="203">
        <f t="shared" si="72"/>
        <v>100</v>
      </c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>
        <f t="shared" si="73"/>
        <v>15819.68</v>
      </c>
      <c r="AM64" s="204">
        <f t="shared" si="74"/>
        <v>37020.32</v>
      </c>
      <c r="AN64" s="291"/>
      <c r="AO64" s="211"/>
      <c r="AP64" s="207"/>
      <c r="AQ64" s="212">
        <f t="shared" si="75"/>
        <v>0</v>
      </c>
      <c r="AR64" s="213">
        <f t="shared" si="76"/>
        <v>37020.32</v>
      </c>
      <c r="AS64" s="213"/>
      <c r="AT64" s="213"/>
      <c r="AU64" s="213">
        <f t="shared" si="77"/>
        <v>545.49</v>
      </c>
      <c r="AV64" s="214"/>
      <c r="AW64" s="214" t="str">
        <f t="shared" si="78"/>
        <v>25%</v>
      </c>
      <c r="AX64" s="215">
        <v>22</v>
      </c>
      <c r="AY64" s="213">
        <v>150</v>
      </c>
      <c r="AZ64" s="214">
        <v>22</v>
      </c>
      <c r="BA64" s="213">
        <v>50</v>
      </c>
      <c r="BB64" s="213">
        <f t="shared" si="79"/>
        <v>0</v>
      </c>
      <c r="BC64" s="213">
        <f t="shared" si="80"/>
        <v>1100</v>
      </c>
      <c r="BD64" s="215"/>
    </row>
    <row r="65" spans="1:56" s="217" customFormat="1" ht="36.75" customHeight="1" x14ac:dyDescent="0.25">
      <c r="A65" s="290">
        <v>55</v>
      </c>
      <c r="B65" s="210"/>
      <c r="C65" s="230" t="s">
        <v>310</v>
      </c>
      <c r="D65" s="200">
        <v>16</v>
      </c>
      <c r="E65" s="201">
        <v>39672</v>
      </c>
      <c r="F65" s="201">
        <f t="shared" si="62"/>
        <v>100</v>
      </c>
      <c r="G65" s="201">
        <f t="shared" si="63"/>
        <v>4760.6400000000003</v>
      </c>
      <c r="H65" s="202">
        <f t="shared" si="64"/>
        <v>39672</v>
      </c>
      <c r="I65" s="202">
        <f t="shared" si="65"/>
        <v>2000</v>
      </c>
      <c r="J65" s="202">
        <f t="shared" si="66"/>
        <v>850</v>
      </c>
      <c r="K65" s="202">
        <f t="shared" si="67"/>
        <v>150</v>
      </c>
      <c r="L65" s="202">
        <f t="shared" si="68"/>
        <v>9918</v>
      </c>
      <c r="M65" s="202">
        <f t="shared" si="69"/>
        <v>52590</v>
      </c>
      <c r="N65" s="202">
        <v>11355.76</v>
      </c>
      <c r="O65" s="202">
        <f t="shared" si="70"/>
        <v>793.44</v>
      </c>
      <c r="P65" s="203">
        <f t="shared" si="71"/>
        <v>3570.48</v>
      </c>
      <c r="Q65" s="203"/>
      <c r="R65" s="203"/>
      <c r="S65" s="203"/>
      <c r="T65" s="203"/>
      <c r="U65" s="203"/>
      <c r="V65" s="203"/>
      <c r="W65" s="203"/>
      <c r="X65" s="203"/>
      <c r="Y65" s="203"/>
      <c r="Z65" s="203">
        <f t="shared" si="72"/>
        <v>100</v>
      </c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>
        <f t="shared" si="73"/>
        <v>15819.68</v>
      </c>
      <c r="AM65" s="204">
        <f t="shared" si="74"/>
        <v>36770.32</v>
      </c>
      <c r="AN65" s="338" t="s">
        <v>475</v>
      </c>
      <c r="AO65" s="211"/>
      <c r="AP65" s="207"/>
      <c r="AQ65" s="212">
        <f t="shared" si="75"/>
        <v>0</v>
      </c>
      <c r="AR65" s="213">
        <f t="shared" si="76"/>
        <v>36770.32</v>
      </c>
      <c r="AS65" s="213"/>
      <c r="AT65" s="213"/>
      <c r="AU65" s="213">
        <f t="shared" si="77"/>
        <v>545.49</v>
      </c>
      <c r="AV65" s="214"/>
      <c r="AW65" s="214" t="str">
        <f t="shared" si="78"/>
        <v>25%</v>
      </c>
      <c r="AX65" s="215">
        <v>22</v>
      </c>
      <c r="AY65" s="213">
        <v>150</v>
      </c>
      <c r="AZ65" s="214">
        <v>22</v>
      </c>
      <c r="BA65" s="213">
        <v>50</v>
      </c>
      <c r="BB65" s="213">
        <f t="shared" si="79"/>
        <v>250</v>
      </c>
      <c r="BC65" s="213">
        <f t="shared" si="80"/>
        <v>1100</v>
      </c>
      <c r="BD65" s="215">
        <v>5</v>
      </c>
    </row>
    <row r="66" spans="1:56" s="217" customFormat="1" ht="36.75" customHeight="1" x14ac:dyDescent="0.25">
      <c r="A66" s="290">
        <v>56</v>
      </c>
      <c r="B66" s="210"/>
      <c r="C66" s="230" t="s">
        <v>311</v>
      </c>
      <c r="D66" s="200">
        <v>16</v>
      </c>
      <c r="E66" s="201">
        <v>39672</v>
      </c>
      <c r="F66" s="201">
        <f t="shared" si="62"/>
        <v>100</v>
      </c>
      <c r="G66" s="201">
        <f t="shared" si="63"/>
        <v>4760.6400000000003</v>
      </c>
      <c r="H66" s="202">
        <f t="shared" si="64"/>
        <v>39672</v>
      </c>
      <c r="I66" s="202">
        <f t="shared" si="65"/>
        <v>2000</v>
      </c>
      <c r="J66" s="202">
        <f t="shared" si="66"/>
        <v>1100</v>
      </c>
      <c r="K66" s="202">
        <f t="shared" si="67"/>
        <v>150</v>
      </c>
      <c r="L66" s="202">
        <f t="shared" si="68"/>
        <v>9918</v>
      </c>
      <c r="M66" s="202">
        <f t="shared" si="69"/>
        <v>52840</v>
      </c>
      <c r="N66" s="202">
        <v>11355.76</v>
      </c>
      <c r="O66" s="202">
        <f t="shared" si="70"/>
        <v>793.44</v>
      </c>
      <c r="P66" s="203">
        <f t="shared" si="71"/>
        <v>3570.48</v>
      </c>
      <c r="Q66" s="203"/>
      <c r="R66" s="203"/>
      <c r="S66" s="203"/>
      <c r="T66" s="203"/>
      <c r="U66" s="203"/>
      <c r="V66" s="203"/>
      <c r="W66" s="203"/>
      <c r="X66" s="203"/>
      <c r="Y66" s="203"/>
      <c r="Z66" s="203">
        <f t="shared" si="72"/>
        <v>100</v>
      </c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>
        <f t="shared" si="73"/>
        <v>15819.68</v>
      </c>
      <c r="AM66" s="204">
        <f t="shared" si="74"/>
        <v>37020.32</v>
      </c>
      <c r="AN66" s="291"/>
      <c r="AO66" s="211"/>
      <c r="AP66" s="207"/>
      <c r="AQ66" s="212">
        <f t="shared" si="75"/>
        <v>0</v>
      </c>
      <c r="AR66" s="213">
        <f t="shared" si="76"/>
        <v>37020.32</v>
      </c>
      <c r="AS66" s="213"/>
      <c r="AT66" s="213"/>
      <c r="AU66" s="213">
        <f t="shared" si="77"/>
        <v>545.49</v>
      </c>
      <c r="AV66" s="214"/>
      <c r="AW66" s="214" t="str">
        <f t="shared" si="78"/>
        <v>25%</v>
      </c>
      <c r="AX66" s="215">
        <v>22</v>
      </c>
      <c r="AY66" s="213">
        <v>150</v>
      </c>
      <c r="AZ66" s="214">
        <v>22</v>
      </c>
      <c r="BA66" s="213">
        <v>50</v>
      </c>
      <c r="BB66" s="213">
        <f t="shared" si="79"/>
        <v>0</v>
      </c>
      <c r="BC66" s="213">
        <f t="shared" si="80"/>
        <v>1100</v>
      </c>
      <c r="BD66" s="215"/>
    </row>
    <row r="67" spans="1:56" s="217" customFormat="1" ht="36.75" customHeight="1" x14ac:dyDescent="0.25">
      <c r="A67" s="290">
        <v>57</v>
      </c>
      <c r="B67" s="210"/>
      <c r="C67" s="230" t="s">
        <v>312</v>
      </c>
      <c r="D67" s="200">
        <v>16</v>
      </c>
      <c r="E67" s="201">
        <v>39672</v>
      </c>
      <c r="F67" s="201">
        <f t="shared" si="62"/>
        <v>100</v>
      </c>
      <c r="G67" s="201">
        <f t="shared" si="63"/>
        <v>4760.6400000000003</v>
      </c>
      <c r="H67" s="202">
        <f t="shared" si="64"/>
        <v>39672</v>
      </c>
      <c r="I67" s="202">
        <f t="shared" si="65"/>
        <v>2000</v>
      </c>
      <c r="J67" s="202">
        <f t="shared" si="66"/>
        <v>1100</v>
      </c>
      <c r="K67" s="202">
        <f t="shared" si="67"/>
        <v>150</v>
      </c>
      <c r="L67" s="202">
        <f t="shared" si="68"/>
        <v>9918</v>
      </c>
      <c r="M67" s="202">
        <f t="shared" si="69"/>
        <v>52840</v>
      </c>
      <c r="N67" s="202">
        <v>11355.76</v>
      </c>
      <c r="O67" s="202">
        <f t="shared" si="70"/>
        <v>793.44</v>
      </c>
      <c r="P67" s="203">
        <f t="shared" si="71"/>
        <v>3570.48</v>
      </c>
      <c r="Q67" s="203"/>
      <c r="R67" s="203"/>
      <c r="S67" s="203"/>
      <c r="T67" s="203"/>
      <c r="U67" s="203"/>
      <c r="V67" s="203"/>
      <c r="W67" s="203"/>
      <c r="X67" s="203"/>
      <c r="Y67" s="203"/>
      <c r="Z67" s="203">
        <f t="shared" si="72"/>
        <v>100</v>
      </c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>
        <f t="shared" si="73"/>
        <v>15819.68</v>
      </c>
      <c r="AM67" s="204">
        <f t="shared" si="74"/>
        <v>37020.32</v>
      </c>
      <c r="AN67" s="291"/>
      <c r="AO67" s="242"/>
      <c r="AP67" s="207"/>
      <c r="AQ67" s="212">
        <f t="shared" si="75"/>
        <v>0</v>
      </c>
      <c r="AR67" s="213">
        <f t="shared" si="76"/>
        <v>37020.32</v>
      </c>
      <c r="AS67" s="213"/>
      <c r="AT67" s="213"/>
      <c r="AU67" s="213">
        <f t="shared" si="77"/>
        <v>545.49</v>
      </c>
      <c r="AV67" s="214"/>
      <c r="AW67" s="214" t="str">
        <f t="shared" si="78"/>
        <v>25%</v>
      </c>
      <c r="AX67" s="215">
        <v>22</v>
      </c>
      <c r="AY67" s="213">
        <v>150</v>
      </c>
      <c r="AZ67" s="214">
        <v>22</v>
      </c>
      <c r="BA67" s="213">
        <v>50</v>
      </c>
      <c r="BB67" s="213">
        <f t="shared" si="79"/>
        <v>0</v>
      </c>
      <c r="BC67" s="213">
        <f t="shared" si="80"/>
        <v>1100</v>
      </c>
      <c r="BD67" s="215"/>
    </row>
    <row r="68" spans="1:56" s="217" customFormat="1" ht="36.75" customHeight="1" x14ac:dyDescent="0.25">
      <c r="A68" s="290">
        <v>58</v>
      </c>
      <c r="B68" s="210"/>
      <c r="C68" s="230" t="s">
        <v>313</v>
      </c>
      <c r="D68" s="200">
        <v>16</v>
      </c>
      <c r="E68" s="201">
        <v>39672</v>
      </c>
      <c r="F68" s="201">
        <f t="shared" si="62"/>
        <v>100</v>
      </c>
      <c r="G68" s="201">
        <f t="shared" si="63"/>
        <v>4760.6400000000003</v>
      </c>
      <c r="H68" s="202">
        <f t="shared" si="64"/>
        <v>39672</v>
      </c>
      <c r="I68" s="202">
        <f t="shared" si="65"/>
        <v>2000</v>
      </c>
      <c r="J68" s="202">
        <f t="shared" si="66"/>
        <v>1100</v>
      </c>
      <c r="K68" s="202">
        <f t="shared" si="67"/>
        <v>150</v>
      </c>
      <c r="L68" s="202">
        <f t="shared" si="68"/>
        <v>9918</v>
      </c>
      <c r="M68" s="202">
        <f t="shared" si="69"/>
        <v>52840</v>
      </c>
      <c r="N68" s="202">
        <v>11355.76</v>
      </c>
      <c r="O68" s="202">
        <f t="shared" si="70"/>
        <v>793.44</v>
      </c>
      <c r="P68" s="203">
        <f t="shared" si="71"/>
        <v>3570.48</v>
      </c>
      <c r="Q68" s="203"/>
      <c r="R68" s="203"/>
      <c r="S68" s="203"/>
      <c r="T68" s="203"/>
      <c r="U68" s="203"/>
      <c r="V68" s="203"/>
      <c r="W68" s="203"/>
      <c r="X68" s="203"/>
      <c r="Y68" s="203"/>
      <c r="Z68" s="203">
        <f t="shared" si="72"/>
        <v>100</v>
      </c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>
        <f t="shared" si="73"/>
        <v>15819.68</v>
      </c>
      <c r="AM68" s="204">
        <f t="shared" si="74"/>
        <v>37020.32</v>
      </c>
      <c r="AN68" s="291"/>
      <c r="AO68" s="242"/>
      <c r="AP68" s="207"/>
      <c r="AQ68" s="212">
        <f t="shared" si="75"/>
        <v>0</v>
      </c>
      <c r="AR68" s="213">
        <f t="shared" si="76"/>
        <v>37020.32</v>
      </c>
      <c r="AS68" s="213"/>
      <c r="AT68" s="213"/>
      <c r="AU68" s="213">
        <f t="shared" si="77"/>
        <v>545.49</v>
      </c>
      <c r="AV68" s="214"/>
      <c r="AW68" s="214" t="str">
        <f t="shared" si="78"/>
        <v>25%</v>
      </c>
      <c r="AX68" s="215">
        <v>22</v>
      </c>
      <c r="AY68" s="213">
        <v>150</v>
      </c>
      <c r="AZ68" s="214">
        <v>22</v>
      </c>
      <c r="BA68" s="213">
        <v>50</v>
      </c>
      <c r="BB68" s="213">
        <f t="shared" si="79"/>
        <v>0</v>
      </c>
      <c r="BC68" s="213">
        <f t="shared" si="80"/>
        <v>1100</v>
      </c>
      <c r="BD68" s="215"/>
    </row>
    <row r="69" spans="1:56" s="217" customFormat="1" ht="36.75" customHeight="1" x14ac:dyDescent="0.25">
      <c r="A69" s="290">
        <v>59</v>
      </c>
      <c r="B69" s="210"/>
      <c r="C69" s="230" t="s">
        <v>314</v>
      </c>
      <c r="D69" s="200">
        <v>16</v>
      </c>
      <c r="E69" s="201">
        <v>39672</v>
      </c>
      <c r="F69" s="201">
        <f>IF(H69&gt;0,100,0)</f>
        <v>100</v>
      </c>
      <c r="G69" s="201">
        <f>+ROUND(H69*12%,2)</f>
        <v>4760.6400000000003</v>
      </c>
      <c r="H69" s="202">
        <f>ROUND(IF(AX69&gt;22,0,IF(AX69=22,E69,IF(AX69&lt;22,E69*(AX69/AZ69),IF(OR(AX69=0,AX69=" ")=TRUE,0)))),2)</f>
        <v>39672</v>
      </c>
      <c r="I69" s="202">
        <f>ROUND(IF(AND(H69&gt;0,AX69=22)=TRUE,2000,IF(AND(H69&gt;0,AX69&lt;22,AX69&gt;0)=TRUE,2000*(AX69/AZ69),IF(AX69&lt;0,0,0))),2)</f>
        <v>2000</v>
      </c>
      <c r="J69" s="202">
        <f>IF(H69&gt;0,BC69-BB69,0)</f>
        <v>1050</v>
      </c>
      <c r="K69" s="202">
        <f>IF(AND(H69&gt;0,AX69&gt;11)=TRUE,150,0)</f>
        <v>150</v>
      </c>
      <c r="L69" s="202">
        <f>ROUND(IF(AND($H69&gt;0,AX69&gt;11)=TRUE,$AW69*$E69,0),2)</f>
        <v>9918</v>
      </c>
      <c r="M69" s="202">
        <f>ROUND(SUM(H69:L69),2)</f>
        <v>52790</v>
      </c>
      <c r="N69" s="202">
        <v>11355.76</v>
      </c>
      <c r="O69" s="202">
        <f>E69*0.04/2</f>
        <v>793.44</v>
      </c>
      <c r="P69" s="203">
        <f>ROUND($H69*9%,2)</f>
        <v>3570.48</v>
      </c>
      <c r="Q69" s="203"/>
      <c r="R69" s="203"/>
      <c r="S69" s="203"/>
      <c r="T69" s="203"/>
      <c r="U69" s="203"/>
      <c r="V69" s="203"/>
      <c r="W69" s="203"/>
      <c r="X69" s="203"/>
      <c r="Y69" s="203"/>
      <c r="Z69" s="203">
        <f>ROUND(IF(H69&gt;0,100,0),2)</f>
        <v>100</v>
      </c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>
        <f>SUM(N69:AK69)</f>
        <v>15819.68</v>
      </c>
      <c r="AM69" s="204">
        <f>ROUND(M69-AL69,2)</f>
        <v>36970.32</v>
      </c>
      <c r="AN69" s="338" t="s">
        <v>476</v>
      </c>
      <c r="AO69" s="211"/>
      <c r="AP69" s="207"/>
      <c r="AQ69" s="212">
        <f>SUM(AO69:AP69)</f>
        <v>0</v>
      </c>
      <c r="AR69" s="213">
        <f>+AM69-AQ69</f>
        <v>36970.32</v>
      </c>
      <c r="AS69" s="213"/>
      <c r="AT69" s="213"/>
      <c r="AU69" s="213">
        <f>IF(E69=0,0,IF(E69&lt;=10000,137.5,IF(AND(E69&gt;10000,E69&lt;40000)=TRUE,E69*2.75%*50%,IF(E69&gt;=40000,550,0))))</f>
        <v>545.49</v>
      </c>
      <c r="AV69" s="214"/>
      <c r="AW69" s="214" t="str">
        <f>IF(AND($D69&gt;=1,$D69&lt;=19)=TRUE,"25%",IF($D69=20,"15%",IF($D69=21,"13%",IF($D69=22,"12%",IF($D69=23,"11%",IF(OR($D69=24,$D69=25)=TRUE,"10%",IF($D69=26,"9%",IF($D69=27,"8%",IF($D69=28,"7%",IF(OR($D69=29,$D69=30)=TRUE,"6%",IF($D69=31,"5%","0%")))))))))))</f>
        <v>25%</v>
      </c>
      <c r="AX69" s="215">
        <v>22</v>
      </c>
      <c r="AY69" s="213">
        <v>150</v>
      </c>
      <c r="AZ69" s="214">
        <v>22</v>
      </c>
      <c r="BA69" s="213">
        <v>50</v>
      </c>
      <c r="BB69" s="213">
        <f>IF(AX69&gt;0,(AZ69-AX69+BD69)*BA69,0)</f>
        <v>50</v>
      </c>
      <c r="BC69" s="213">
        <f>IF(AX69&gt;0,1100,0)</f>
        <v>1100</v>
      </c>
      <c r="BD69" s="215">
        <v>1</v>
      </c>
    </row>
    <row r="70" spans="1:56" s="217" customFormat="1" ht="36.75" customHeight="1" x14ac:dyDescent="0.25">
      <c r="A70" s="290">
        <v>60</v>
      </c>
      <c r="B70" s="210"/>
      <c r="C70" s="230" t="s">
        <v>315</v>
      </c>
      <c r="D70" s="200">
        <v>16</v>
      </c>
      <c r="E70" s="201">
        <v>39672</v>
      </c>
      <c r="F70" s="201">
        <f t="shared" ref="F70" si="83">IF(H70&gt;0,100,0)</f>
        <v>100</v>
      </c>
      <c r="G70" s="201">
        <f t="shared" ref="G70" si="84">+ROUND(H70*12%,2)</f>
        <v>4760.6400000000003</v>
      </c>
      <c r="H70" s="202">
        <f t="shared" ref="H70" si="85">ROUND(IF(AX70&gt;22,0,IF(AX70=22,E70,IF(AX70&lt;22,E70*(AX70/AZ70),IF(OR(AX70=0,AX70=" ")=TRUE,0)))),2)</f>
        <v>39672</v>
      </c>
      <c r="I70" s="202">
        <f t="shared" ref="I70" si="86">ROUND(IF(AND(H70&gt;0,AX70=22)=TRUE,2000,IF(AND(H70&gt;0,AX70&lt;22,AX70&gt;0)=TRUE,2000*(AX70/AZ70),IF(AX70&lt;0,0,0))),2)</f>
        <v>2000</v>
      </c>
      <c r="J70" s="202">
        <f t="shared" ref="J70" si="87">IF(H70&gt;0,BC70-BB70,0)</f>
        <v>1100</v>
      </c>
      <c r="K70" s="202">
        <f t="shared" ref="K70" si="88">IF(AND(H70&gt;0,AX70&gt;11)=TRUE,150,0)</f>
        <v>150</v>
      </c>
      <c r="L70" s="202">
        <f>ROUND(IF(AND($H70&gt;0,AX70&gt;11)=TRUE,$AW70*$E70,0),2)</f>
        <v>9918</v>
      </c>
      <c r="M70" s="202">
        <f t="shared" ref="M70" si="89">ROUND(SUM(H70:L70),2)</f>
        <v>52840</v>
      </c>
      <c r="N70" s="202">
        <v>11468.3</v>
      </c>
      <c r="O70" s="202">
        <f t="shared" ref="O70" si="90">E70*0.04/2</f>
        <v>793.44</v>
      </c>
      <c r="P70" s="203">
        <f>ROUND($H70*9%,2)</f>
        <v>3570.48</v>
      </c>
      <c r="Q70" s="203"/>
      <c r="R70" s="203"/>
      <c r="S70" s="203"/>
      <c r="T70" s="203"/>
      <c r="U70" s="203"/>
      <c r="V70" s="203"/>
      <c r="W70" s="203"/>
      <c r="X70" s="203"/>
      <c r="Y70" s="203"/>
      <c r="Z70" s="203">
        <f t="shared" ref="Z70" si="91">ROUND(IF(H70&gt;0,100,0),2)</f>
        <v>100</v>
      </c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>
        <f t="shared" ref="AL70" si="92">SUM(N70:AK70)</f>
        <v>15932.22</v>
      </c>
      <c r="AM70" s="204">
        <f t="shared" ref="AM70" si="93">ROUND(M70-AL70,2)</f>
        <v>36907.78</v>
      </c>
      <c r="AN70" s="291"/>
      <c r="AO70" s="211"/>
      <c r="AP70" s="207"/>
      <c r="AQ70" s="212">
        <f t="shared" ref="AQ70" si="94">SUM(AO70:AP70)</f>
        <v>0</v>
      </c>
      <c r="AR70" s="213">
        <f t="shared" ref="AR70" si="95">+AM70-AQ70</f>
        <v>36907.78</v>
      </c>
      <c r="AS70" s="213"/>
      <c r="AT70" s="213"/>
      <c r="AU70" s="213">
        <f t="shared" ref="AU70" si="96">IF(E70=0,0,IF(E70&lt;=10000,137.5,IF(AND(E70&gt;10000,E70&lt;40000)=TRUE,E70*2.75%*50%,IF(E70&gt;=40000,550,0))))</f>
        <v>545.49</v>
      </c>
      <c r="AV70" s="214"/>
      <c r="AW70" s="214" t="str">
        <f>IF(AND($D70&gt;=1,$D70&lt;=19)=TRUE,"25%",IF($D70=20,"15%",IF($D70=21,"13%",IF($D70=22,"12%",IF($D70=23,"11%",IF(OR($D70=24,$D70=25)=TRUE,"10%",IF($D70=26,"9%",IF($D70=27,"8%",IF($D70=28,"7%",IF(OR($D70=29,$D70=30)=TRUE,"6%",IF($D70=31,"5%","0%")))))))))))</f>
        <v>25%</v>
      </c>
      <c r="AX70" s="215">
        <v>22</v>
      </c>
      <c r="AY70" s="213">
        <v>150</v>
      </c>
      <c r="AZ70" s="214">
        <v>22</v>
      </c>
      <c r="BA70" s="213">
        <v>50</v>
      </c>
      <c r="BB70" s="213">
        <f t="shared" ref="BB70" si="97">IF(AX70&gt;0,(AZ70-AX70+BD70)*BA70,0)</f>
        <v>0</v>
      </c>
      <c r="BC70" s="213">
        <f t="shared" ref="BC70" si="98">IF(AX70&gt;0,1100,0)</f>
        <v>1100</v>
      </c>
      <c r="BD70" s="215"/>
    </row>
    <row r="71" spans="1:56" s="356" customFormat="1" ht="36.75" customHeight="1" x14ac:dyDescent="0.25">
      <c r="A71" s="357"/>
      <c r="B71" s="358"/>
      <c r="C71" s="359" t="s">
        <v>102</v>
      </c>
      <c r="D71" s="360"/>
      <c r="E71" s="355">
        <f>ROUND(SUM(E51:E70),2)</f>
        <v>793440</v>
      </c>
      <c r="F71" s="355">
        <f t="shared" ref="F71:BD71" si="99">ROUND(SUM(F51:F70),2)</f>
        <v>2000</v>
      </c>
      <c r="G71" s="355">
        <f t="shared" si="99"/>
        <v>95212.800000000003</v>
      </c>
      <c r="H71" s="355">
        <f t="shared" si="99"/>
        <v>793440</v>
      </c>
      <c r="I71" s="355">
        <f t="shared" si="99"/>
        <v>40000</v>
      </c>
      <c r="J71" s="355">
        <f t="shared" si="99"/>
        <v>21450</v>
      </c>
      <c r="K71" s="355">
        <f t="shared" si="99"/>
        <v>3000</v>
      </c>
      <c r="L71" s="355">
        <f t="shared" si="99"/>
        <v>198360</v>
      </c>
      <c r="M71" s="355">
        <f t="shared" si="99"/>
        <v>1056250</v>
      </c>
      <c r="N71" s="355">
        <f t="shared" si="99"/>
        <v>224126.43</v>
      </c>
      <c r="O71" s="355">
        <f t="shared" si="99"/>
        <v>15868.8</v>
      </c>
      <c r="P71" s="355">
        <f t="shared" si="99"/>
        <v>71409.600000000006</v>
      </c>
      <c r="Q71" s="355">
        <f t="shared" si="99"/>
        <v>0</v>
      </c>
      <c r="R71" s="355">
        <f t="shared" si="99"/>
        <v>0</v>
      </c>
      <c r="S71" s="355">
        <f t="shared" si="99"/>
        <v>0</v>
      </c>
      <c r="T71" s="355">
        <f t="shared" si="99"/>
        <v>0</v>
      </c>
      <c r="U71" s="355">
        <f t="shared" si="99"/>
        <v>0</v>
      </c>
      <c r="V71" s="355">
        <f t="shared" si="99"/>
        <v>0</v>
      </c>
      <c r="W71" s="355">
        <f t="shared" si="99"/>
        <v>0</v>
      </c>
      <c r="X71" s="355">
        <f t="shared" si="99"/>
        <v>0</v>
      </c>
      <c r="Y71" s="355">
        <f t="shared" si="99"/>
        <v>0</v>
      </c>
      <c r="Z71" s="355">
        <f t="shared" si="99"/>
        <v>2000</v>
      </c>
      <c r="AA71" s="355">
        <f t="shared" si="99"/>
        <v>0</v>
      </c>
      <c r="AB71" s="355">
        <f t="shared" si="99"/>
        <v>0</v>
      </c>
      <c r="AC71" s="355">
        <f t="shared" si="99"/>
        <v>0</v>
      </c>
      <c r="AD71" s="355">
        <f t="shared" si="99"/>
        <v>0</v>
      </c>
      <c r="AE71" s="355">
        <f t="shared" si="99"/>
        <v>0</v>
      </c>
      <c r="AF71" s="355">
        <f t="shared" si="99"/>
        <v>0</v>
      </c>
      <c r="AG71" s="355">
        <f t="shared" si="99"/>
        <v>0</v>
      </c>
      <c r="AH71" s="355">
        <f t="shared" si="99"/>
        <v>0</v>
      </c>
      <c r="AI71" s="355">
        <f t="shared" si="99"/>
        <v>0</v>
      </c>
      <c r="AJ71" s="355">
        <f t="shared" si="99"/>
        <v>0</v>
      </c>
      <c r="AK71" s="355">
        <f t="shared" si="99"/>
        <v>0</v>
      </c>
      <c r="AL71" s="355">
        <f t="shared" si="99"/>
        <v>313404.83</v>
      </c>
      <c r="AM71" s="355">
        <f t="shared" si="99"/>
        <v>742845.17</v>
      </c>
      <c r="AN71" s="355">
        <f t="shared" si="99"/>
        <v>0</v>
      </c>
      <c r="AO71" s="355">
        <f t="shared" si="99"/>
        <v>0</v>
      </c>
      <c r="AP71" s="355">
        <f t="shared" si="99"/>
        <v>0</v>
      </c>
      <c r="AQ71" s="355">
        <f t="shared" si="99"/>
        <v>0</v>
      </c>
      <c r="AR71" s="355">
        <f t="shared" si="99"/>
        <v>742845.17</v>
      </c>
      <c r="AS71" s="355">
        <f t="shared" si="99"/>
        <v>0</v>
      </c>
      <c r="AT71" s="355">
        <f t="shared" si="99"/>
        <v>0</v>
      </c>
      <c r="AU71" s="355">
        <f t="shared" si="99"/>
        <v>10909.8</v>
      </c>
      <c r="AV71" s="355">
        <f t="shared" si="99"/>
        <v>0</v>
      </c>
      <c r="AW71" s="355">
        <f t="shared" si="99"/>
        <v>0</v>
      </c>
      <c r="AX71" s="355">
        <f t="shared" si="99"/>
        <v>440</v>
      </c>
      <c r="AY71" s="355">
        <f t="shared" si="99"/>
        <v>3000</v>
      </c>
      <c r="AZ71" s="355">
        <f t="shared" si="99"/>
        <v>440</v>
      </c>
      <c r="BA71" s="355">
        <f t="shared" si="99"/>
        <v>1000</v>
      </c>
      <c r="BB71" s="355">
        <f t="shared" si="99"/>
        <v>550</v>
      </c>
      <c r="BC71" s="355">
        <f t="shared" si="99"/>
        <v>22000</v>
      </c>
      <c r="BD71" s="355">
        <f t="shared" si="99"/>
        <v>11</v>
      </c>
    </row>
    <row r="72" spans="1:56" s="217" customFormat="1" ht="36.75" customHeight="1" x14ac:dyDescent="0.25">
      <c r="A72" s="290">
        <v>61</v>
      </c>
      <c r="B72" s="210"/>
      <c r="C72" s="230" t="s">
        <v>439</v>
      </c>
      <c r="D72" s="200">
        <v>16</v>
      </c>
      <c r="E72" s="201">
        <v>39672</v>
      </c>
      <c r="F72" s="201">
        <f t="shared" ref="F72:F89" si="100">IF(H72&gt;0,100,0)</f>
        <v>100</v>
      </c>
      <c r="G72" s="201">
        <f t="shared" ref="G72:G89" si="101">+ROUND(H72*12%,2)</f>
        <v>4760.6400000000003</v>
      </c>
      <c r="H72" s="202">
        <f t="shared" ref="H72:H89" si="102">ROUND(IF(AX72&gt;22,0,IF(AX72=22,E72,IF(AX72&lt;22,E72*(AX72/AZ72),IF(OR(AX72=0,AX72=" ")=TRUE,0)))),2)</f>
        <v>39672</v>
      </c>
      <c r="I72" s="202">
        <f t="shared" ref="I72:I89" si="103">ROUND(IF(AND(H72&gt;0,AX72=22)=TRUE,2000,IF(AND(H72&gt;0,AX72&lt;22,AX72&gt;0)=TRUE,2000*(AX72/AZ72),IF(AX72&lt;0,0,0))),2)</f>
        <v>2000</v>
      </c>
      <c r="J72" s="202">
        <f t="shared" ref="J72:J89" si="104">IF(H72&gt;0,BC72-BB72,0)</f>
        <v>950</v>
      </c>
      <c r="K72" s="202">
        <f t="shared" ref="K72:K89" si="105">IF(AND(H72&gt;0,AX72&gt;11)=TRUE,150,0)</f>
        <v>150</v>
      </c>
      <c r="L72" s="202">
        <f t="shared" ref="L72:L89" si="106">ROUND(IF(AND($H72&gt;0,AX72&gt;11)=TRUE,$AW72*$E72,0),2)</f>
        <v>9918</v>
      </c>
      <c r="M72" s="202">
        <f t="shared" ref="M72:M89" si="107">ROUND(SUM(H72:L72),2)</f>
        <v>52690</v>
      </c>
      <c r="N72" s="202">
        <v>3425</v>
      </c>
      <c r="O72" s="202">
        <f t="shared" ref="O72:O89" si="108">E72*0.04/2</f>
        <v>793.44</v>
      </c>
      <c r="P72" s="203">
        <f t="shared" ref="P72:P89" si="109">ROUND($H72*9%,2)</f>
        <v>3570.48</v>
      </c>
      <c r="Q72" s="203"/>
      <c r="R72" s="203"/>
      <c r="S72" s="203"/>
      <c r="T72" s="203"/>
      <c r="U72" s="203"/>
      <c r="V72" s="203"/>
      <c r="W72" s="203"/>
      <c r="X72" s="203"/>
      <c r="Y72" s="203"/>
      <c r="Z72" s="203">
        <f t="shared" ref="Z72:Z89" si="110">ROUND(IF(H72&gt;0,100,0),2)</f>
        <v>100</v>
      </c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>
        <f t="shared" ref="AL72:AL89" si="111">SUM(N72:AK72)</f>
        <v>7888.92</v>
      </c>
      <c r="AM72" s="204">
        <f t="shared" ref="AM72:AM89" si="112">ROUND(M72-AL72,2)</f>
        <v>44801.08</v>
      </c>
      <c r="AN72" s="338" t="s">
        <v>479</v>
      </c>
      <c r="AO72" s="211"/>
      <c r="AP72" s="207"/>
      <c r="AQ72" s="212">
        <f t="shared" ref="AQ72:AQ89" si="113">SUM(AO72:AP72)</f>
        <v>0</v>
      </c>
      <c r="AR72" s="213">
        <f t="shared" ref="AR72:AR89" si="114">+AM72-AQ72</f>
        <v>44801.08</v>
      </c>
      <c r="AS72" s="213"/>
      <c r="AT72" s="213"/>
      <c r="AU72" s="213">
        <f t="shared" ref="AU72:AU89" si="115">IF(E72=0,0,IF(E72&lt;=10000,137.5,IF(AND(E72&gt;10000,E72&lt;40000)=TRUE,E72*2.75%*50%,IF(E72&gt;=40000,550,0))))</f>
        <v>545.49</v>
      </c>
      <c r="AV72" s="214"/>
      <c r="AW72" s="214" t="str">
        <f t="shared" ref="AW72:AW89" si="116">IF(AND($D72&gt;=1,$D72&lt;=19)=TRUE,"25%",IF($D72=20,"15%",IF($D72=21,"13%",IF($D72=22,"12%",IF($D72=23,"11%",IF(OR($D72=24,$D72=25)=TRUE,"10%",IF($D72=26,"9%",IF($D72=27,"8%",IF($D72=28,"7%",IF(OR($D72=29,$D72=30)=TRUE,"6%",IF($D72=31,"5%","0%")))))))))))</f>
        <v>25%</v>
      </c>
      <c r="AX72" s="215">
        <v>22</v>
      </c>
      <c r="AY72" s="213">
        <v>150</v>
      </c>
      <c r="AZ72" s="214">
        <v>22</v>
      </c>
      <c r="BA72" s="213">
        <v>50</v>
      </c>
      <c r="BB72" s="213">
        <f t="shared" ref="BB72:BB89" si="117">IF(AX72&gt;0,(AZ72-AX72+BD72)*BA72,0)</f>
        <v>150</v>
      </c>
      <c r="BC72" s="213">
        <f t="shared" ref="BC72:BC89" si="118">IF(AX72&gt;0,1100,0)</f>
        <v>1100</v>
      </c>
      <c r="BD72" s="215">
        <v>3</v>
      </c>
    </row>
    <row r="73" spans="1:56" s="217" customFormat="1" ht="36.75" customHeight="1" x14ac:dyDescent="0.25">
      <c r="A73" s="290">
        <v>62</v>
      </c>
      <c r="B73" s="210"/>
      <c r="C73" s="230" t="s">
        <v>316</v>
      </c>
      <c r="D73" s="200">
        <v>16</v>
      </c>
      <c r="E73" s="201">
        <v>39672</v>
      </c>
      <c r="F73" s="201">
        <f t="shared" si="100"/>
        <v>100</v>
      </c>
      <c r="G73" s="201">
        <f t="shared" si="101"/>
        <v>4760.6400000000003</v>
      </c>
      <c r="H73" s="202">
        <f t="shared" si="102"/>
        <v>39672</v>
      </c>
      <c r="I73" s="202">
        <f t="shared" si="103"/>
        <v>2000</v>
      </c>
      <c r="J73" s="202">
        <f t="shared" si="104"/>
        <v>1100</v>
      </c>
      <c r="K73" s="202">
        <f t="shared" si="105"/>
        <v>150</v>
      </c>
      <c r="L73" s="202">
        <f t="shared" si="106"/>
        <v>9918</v>
      </c>
      <c r="M73" s="202">
        <f t="shared" si="107"/>
        <v>52840</v>
      </c>
      <c r="N73" s="202">
        <v>11355.76</v>
      </c>
      <c r="O73" s="202">
        <f t="shared" si="108"/>
        <v>793.44</v>
      </c>
      <c r="P73" s="203">
        <f t="shared" si="109"/>
        <v>3570.48</v>
      </c>
      <c r="Q73" s="203"/>
      <c r="R73" s="203"/>
      <c r="S73" s="203"/>
      <c r="T73" s="203"/>
      <c r="U73" s="203"/>
      <c r="V73" s="203"/>
      <c r="W73" s="203"/>
      <c r="X73" s="203"/>
      <c r="Y73" s="203"/>
      <c r="Z73" s="203">
        <f t="shared" si="110"/>
        <v>100</v>
      </c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>
        <f t="shared" si="111"/>
        <v>15819.68</v>
      </c>
      <c r="AM73" s="204">
        <f t="shared" si="112"/>
        <v>37020.32</v>
      </c>
      <c r="AN73" s="291"/>
      <c r="AO73" s="211"/>
      <c r="AP73" s="207"/>
      <c r="AQ73" s="212">
        <f t="shared" si="113"/>
        <v>0</v>
      </c>
      <c r="AR73" s="213">
        <f t="shared" si="114"/>
        <v>37020.32</v>
      </c>
      <c r="AS73" s="213"/>
      <c r="AT73" s="213"/>
      <c r="AU73" s="213">
        <f t="shared" si="115"/>
        <v>545.49</v>
      </c>
      <c r="AV73" s="214"/>
      <c r="AW73" s="214" t="str">
        <f t="shared" si="116"/>
        <v>25%</v>
      </c>
      <c r="AX73" s="215">
        <v>22</v>
      </c>
      <c r="AY73" s="213">
        <v>150</v>
      </c>
      <c r="AZ73" s="214">
        <v>22</v>
      </c>
      <c r="BA73" s="213">
        <v>50</v>
      </c>
      <c r="BB73" s="213">
        <f t="shared" si="117"/>
        <v>0</v>
      </c>
      <c r="BC73" s="213">
        <f t="shared" si="118"/>
        <v>1100</v>
      </c>
      <c r="BD73" s="215"/>
    </row>
    <row r="74" spans="1:56" s="217" customFormat="1" ht="36.75" customHeight="1" x14ac:dyDescent="0.25">
      <c r="A74" s="290">
        <v>63</v>
      </c>
      <c r="B74" s="210"/>
      <c r="C74" s="230" t="s">
        <v>317</v>
      </c>
      <c r="D74" s="200">
        <v>16</v>
      </c>
      <c r="E74" s="201">
        <v>39672</v>
      </c>
      <c r="F74" s="201">
        <f t="shared" si="100"/>
        <v>100</v>
      </c>
      <c r="G74" s="201">
        <f t="shared" si="101"/>
        <v>4760.6400000000003</v>
      </c>
      <c r="H74" s="202">
        <f t="shared" si="102"/>
        <v>39672</v>
      </c>
      <c r="I74" s="202">
        <f t="shared" si="103"/>
        <v>2000</v>
      </c>
      <c r="J74" s="202">
        <f t="shared" si="104"/>
        <v>1100</v>
      </c>
      <c r="K74" s="202">
        <f t="shared" si="105"/>
        <v>150</v>
      </c>
      <c r="L74" s="202">
        <f t="shared" si="106"/>
        <v>9918</v>
      </c>
      <c r="M74" s="202">
        <f t="shared" si="107"/>
        <v>52840</v>
      </c>
      <c r="N74" s="202">
        <v>10255.76</v>
      </c>
      <c r="O74" s="202">
        <f t="shared" si="108"/>
        <v>793.44</v>
      </c>
      <c r="P74" s="203">
        <f t="shared" si="109"/>
        <v>3570.48</v>
      </c>
      <c r="Q74" s="203"/>
      <c r="R74" s="203"/>
      <c r="S74" s="203"/>
      <c r="T74" s="203"/>
      <c r="U74" s="203"/>
      <c r="V74" s="203"/>
      <c r="W74" s="203"/>
      <c r="X74" s="203"/>
      <c r="Y74" s="203"/>
      <c r="Z74" s="203">
        <f t="shared" si="110"/>
        <v>100</v>
      </c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>
        <f t="shared" si="111"/>
        <v>14719.68</v>
      </c>
      <c r="AM74" s="204">
        <f t="shared" si="112"/>
        <v>38120.32</v>
      </c>
      <c r="AN74" s="291"/>
      <c r="AO74" s="211"/>
      <c r="AP74" s="207"/>
      <c r="AQ74" s="212">
        <f t="shared" si="113"/>
        <v>0</v>
      </c>
      <c r="AR74" s="213">
        <f t="shared" si="114"/>
        <v>38120.32</v>
      </c>
      <c r="AS74" s="213"/>
      <c r="AT74" s="213"/>
      <c r="AU74" s="213">
        <f t="shared" si="115"/>
        <v>545.49</v>
      </c>
      <c r="AV74" s="214"/>
      <c r="AW74" s="214" t="str">
        <f t="shared" si="116"/>
        <v>25%</v>
      </c>
      <c r="AX74" s="215">
        <v>22</v>
      </c>
      <c r="AY74" s="213">
        <v>150</v>
      </c>
      <c r="AZ74" s="214">
        <v>22</v>
      </c>
      <c r="BA74" s="213">
        <v>50</v>
      </c>
      <c r="BB74" s="213">
        <f t="shared" si="117"/>
        <v>0</v>
      </c>
      <c r="BC74" s="213">
        <f t="shared" si="118"/>
        <v>1100</v>
      </c>
      <c r="BD74" s="215"/>
    </row>
    <row r="75" spans="1:56" s="217" customFormat="1" ht="36.75" customHeight="1" x14ac:dyDescent="0.25">
      <c r="A75" s="290">
        <v>64</v>
      </c>
      <c r="B75" s="210"/>
      <c r="C75" s="230" t="s">
        <v>318</v>
      </c>
      <c r="D75" s="200">
        <v>16</v>
      </c>
      <c r="E75" s="201">
        <v>39672</v>
      </c>
      <c r="F75" s="201">
        <f t="shared" si="100"/>
        <v>100</v>
      </c>
      <c r="G75" s="201">
        <f t="shared" si="101"/>
        <v>4760.6400000000003</v>
      </c>
      <c r="H75" s="202">
        <f t="shared" si="102"/>
        <v>39672</v>
      </c>
      <c r="I75" s="202">
        <f t="shared" si="103"/>
        <v>2000</v>
      </c>
      <c r="J75" s="202">
        <f t="shared" si="104"/>
        <v>1100</v>
      </c>
      <c r="K75" s="202">
        <f t="shared" si="105"/>
        <v>150</v>
      </c>
      <c r="L75" s="202">
        <f t="shared" si="106"/>
        <v>9918</v>
      </c>
      <c r="M75" s="202">
        <f t="shared" si="107"/>
        <v>52840</v>
      </c>
      <c r="N75" s="202">
        <v>11468.3</v>
      </c>
      <c r="O75" s="202">
        <f t="shared" si="108"/>
        <v>793.44</v>
      </c>
      <c r="P75" s="203">
        <f t="shared" si="109"/>
        <v>3570.48</v>
      </c>
      <c r="Q75" s="203"/>
      <c r="R75" s="203"/>
      <c r="S75" s="203"/>
      <c r="T75" s="203"/>
      <c r="U75" s="203"/>
      <c r="V75" s="203"/>
      <c r="W75" s="203"/>
      <c r="X75" s="203"/>
      <c r="Y75" s="203"/>
      <c r="Z75" s="203">
        <f t="shared" si="110"/>
        <v>100</v>
      </c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>
        <f t="shared" si="111"/>
        <v>15932.22</v>
      </c>
      <c r="AM75" s="204">
        <f t="shared" si="112"/>
        <v>36907.78</v>
      </c>
      <c r="AN75" s="291"/>
      <c r="AO75" s="211"/>
      <c r="AP75" s="207"/>
      <c r="AQ75" s="212">
        <f t="shared" si="113"/>
        <v>0</v>
      </c>
      <c r="AR75" s="213">
        <f t="shared" si="114"/>
        <v>36907.78</v>
      </c>
      <c r="AS75" s="213"/>
      <c r="AT75" s="213"/>
      <c r="AU75" s="213">
        <f t="shared" si="115"/>
        <v>545.49</v>
      </c>
      <c r="AV75" s="214"/>
      <c r="AW75" s="214" t="str">
        <f t="shared" si="116"/>
        <v>25%</v>
      </c>
      <c r="AX75" s="215">
        <v>22</v>
      </c>
      <c r="AY75" s="213">
        <v>150</v>
      </c>
      <c r="AZ75" s="214">
        <v>22</v>
      </c>
      <c r="BA75" s="213">
        <v>50</v>
      </c>
      <c r="BB75" s="213">
        <f t="shared" si="117"/>
        <v>0</v>
      </c>
      <c r="BC75" s="213">
        <f t="shared" si="118"/>
        <v>1100</v>
      </c>
      <c r="BD75" s="215"/>
    </row>
    <row r="76" spans="1:56" s="217" customFormat="1" ht="36.75" customHeight="1" x14ac:dyDescent="0.25">
      <c r="A76" s="290">
        <v>65</v>
      </c>
      <c r="B76" s="210"/>
      <c r="C76" s="230" t="s">
        <v>319</v>
      </c>
      <c r="D76" s="200">
        <v>16</v>
      </c>
      <c r="E76" s="201">
        <v>39672</v>
      </c>
      <c r="F76" s="201">
        <f t="shared" si="100"/>
        <v>100</v>
      </c>
      <c r="G76" s="201">
        <f t="shared" si="101"/>
        <v>4760.6400000000003</v>
      </c>
      <c r="H76" s="202">
        <f t="shared" si="102"/>
        <v>39672</v>
      </c>
      <c r="I76" s="202">
        <f t="shared" si="103"/>
        <v>2000</v>
      </c>
      <c r="J76" s="202">
        <f t="shared" si="104"/>
        <v>1100</v>
      </c>
      <c r="K76" s="202">
        <f t="shared" si="105"/>
        <v>150</v>
      </c>
      <c r="L76" s="202">
        <f t="shared" si="106"/>
        <v>9918</v>
      </c>
      <c r="M76" s="202">
        <f t="shared" si="107"/>
        <v>52840</v>
      </c>
      <c r="N76" s="202">
        <v>11268.3</v>
      </c>
      <c r="O76" s="202">
        <f t="shared" si="108"/>
        <v>793.44</v>
      </c>
      <c r="P76" s="203">
        <f t="shared" si="109"/>
        <v>3570.48</v>
      </c>
      <c r="Q76" s="203"/>
      <c r="R76" s="203"/>
      <c r="S76" s="203"/>
      <c r="T76" s="203"/>
      <c r="U76" s="203"/>
      <c r="V76" s="203"/>
      <c r="W76" s="203"/>
      <c r="X76" s="203"/>
      <c r="Y76" s="203"/>
      <c r="Z76" s="203">
        <f t="shared" si="110"/>
        <v>100</v>
      </c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>
        <f t="shared" si="111"/>
        <v>15732.22</v>
      </c>
      <c r="AM76" s="204">
        <f t="shared" si="112"/>
        <v>37107.78</v>
      </c>
      <c r="AN76" s="291"/>
      <c r="AO76" s="243"/>
      <c r="AP76" s="207"/>
      <c r="AQ76" s="212">
        <f t="shared" si="113"/>
        <v>0</v>
      </c>
      <c r="AR76" s="213">
        <f t="shared" si="114"/>
        <v>37107.78</v>
      </c>
      <c r="AS76" s="213"/>
      <c r="AT76" s="213"/>
      <c r="AU76" s="213">
        <f t="shared" si="115"/>
        <v>545.49</v>
      </c>
      <c r="AV76" s="214"/>
      <c r="AW76" s="214" t="str">
        <f t="shared" si="116"/>
        <v>25%</v>
      </c>
      <c r="AX76" s="215">
        <v>22</v>
      </c>
      <c r="AY76" s="213">
        <v>150</v>
      </c>
      <c r="AZ76" s="214">
        <v>22</v>
      </c>
      <c r="BA76" s="213">
        <v>50</v>
      </c>
      <c r="BB76" s="213">
        <f t="shared" si="117"/>
        <v>0</v>
      </c>
      <c r="BC76" s="213">
        <f t="shared" si="118"/>
        <v>1100</v>
      </c>
      <c r="BD76" s="215"/>
    </row>
    <row r="77" spans="1:56" s="217" customFormat="1" ht="36.75" customHeight="1" x14ac:dyDescent="0.25">
      <c r="A77" s="290">
        <v>66</v>
      </c>
      <c r="B77" s="210"/>
      <c r="C77" s="230" t="s">
        <v>320</v>
      </c>
      <c r="D77" s="200">
        <v>16</v>
      </c>
      <c r="E77" s="201">
        <v>39672</v>
      </c>
      <c r="F77" s="201">
        <f t="shared" si="100"/>
        <v>100</v>
      </c>
      <c r="G77" s="201">
        <f t="shared" si="101"/>
        <v>4760.6400000000003</v>
      </c>
      <c r="H77" s="202">
        <f t="shared" si="102"/>
        <v>39672</v>
      </c>
      <c r="I77" s="202">
        <f t="shared" si="103"/>
        <v>2000</v>
      </c>
      <c r="J77" s="202">
        <f t="shared" si="104"/>
        <v>1100</v>
      </c>
      <c r="K77" s="202">
        <f t="shared" si="105"/>
        <v>150</v>
      </c>
      <c r="L77" s="202">
        <f t="shared" si="106"/>
        <v>9918</v>
      </c>
      <c r="M77" s="202">
        <f t="shared" si="107"/>
        <v>52840</v>
      </c>
      <c r="N77" s="202">
        <v>11268.3</v>
      </c>
      <c r="O77" s="202">
        <f t="shared" si="108"/>
        <v>793.44</v>
      </c>
      <c r="P77" s="203">
        <f t="shared" si="109"/>
        <v>3570.48</v>
      </c>
      <c r="Q77" s="203"/>
      <c r="R77" s="203"/>
      <c r="S77" s="203"/>
      <c r="T77" s="203"/>
      <c r="U77" s="203"/>
      <c r="V77" s="203"/>
      <c r="W77" s="203"/>
      <c r="X77" s="203"/>
      <c r="Y77" s="203"/>
      <c r="Z77" s="203">
        <f t="shared" si="110"/>
        <v>100</v>
      </c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>
        <f t="shared" si="111"/>
        <v>15732.22</v>
      </c>
      <c r="AM77" s="204">
        <f t="shared" si="112"/>
        <v>37107.78</v>
      </c>
      <c r="AN77" s="291"/>
      <c r="AO77" s="211"/>
      <c r="AP77" s="207"/>
      <c r="AQ77" s="212">
        <f t="shared" si="113"/>
        <v>0</v>
      </c>
      <c r="AR77" s="213">
        <f t="shared" si="114"/>
        <v>37107.78</v>
      </c>
      <c r="AS77" s="213"/>
      <c r="AT77" s="213"/>
      <c r="AU77" s="213">
        <f t="shared" si="115"/>
        <v>545.49</v>
      </c>
      <c r="AV77" s="214"/>
      <c r="AW77" s="214" t="str">
        <f t="shared" si="116"/>
        <v>25%</v>
      </c>
      <c r="AX77" s="215">
        <v>22</v>
      </c>
      <c r="AY77" s="213">
        <v>150</v>
      </c>
      <c r="AZ77" s="214">
        <v>22</v>
      </c>
      <c r="BA77" s="213">
        <v>50</v>
      </c>
      <c r="BB77" s="213">
        <f t="shared" si="117"/>
        <v>0</v>
      </c>
      <c r="BC77" s="213">
        <f t="shared" si="118"/>
        <v>1100</v>
      </c>
      <c r="BD77" s="215"/>
    </row>
    <row r="78" spans="1:56" s="217" customFormat="1" ht="36.75" customHeight="1" x14ac:dyDescent="0.25">
      <c r="A78" s="290">
        <v>67</v>
      </c>
      <c r="B78" s="210"/>
      <c r="C78" s="230" t="s">
        <v>321</v>
      </c>
      <c r="D78" s="200">
        <v>16</v>
      </c>
      <c r="E78" s="201">
        <v>39672</v>
      </c>
      <c r="F78" s="201">
        <f t="shared" si="100"/>
        <v>100</v>
      </c>
      <c r="G78" s="201">
        <f t="shared" si="101"/>
        <v>4760.6400000000003</v>
      </c>
      <c r="H78" s="202">
        <f t="shared" si="102"/>
        <v>39672</v>
      </c>
      <c r="I78" s="202">
        <f t="shared" si="103"/>
        <v>2000</v>
      </c>
      <c r="J78" s="202">
        <f t="shared" si="104"/>
        <v>1100</v>
      </c>
      <c r="K78" s="202">
        <f t="shared" si="105"/>
        <v>150</v>
      </c>
      <c r="L78" s="202">
        <f t="shared" si="106"/>
        <v>9918</v>
      </c>
      <c r="M78" s="202">
        <f t="shared" si="107"/>
        <v>52840</v>
      </c>
      <c r="N78" s="202">
        <v>11355.76</v>
      </c>
      <c r="O78" s="202">
        <f t="shared" si="108"/>
        <v>793.44</v>
      </c>
      <c r="P78" s="203">
        <f t="shared" si="109"/>
        <v>3570.48</v>
      </c>
      <c r="Q78" s="203"/>
      <c r="R78" s="203"/>
      <c r="S78" s="203"/>
      <c r="T78" s="203"/>
      <c r="U78" s="203"/>
      <c r="V78" s="203"/>
      <c r="W78" s="203"/>
      <c r="X78" s="203"/>
      <c r="Y78" s="203"/>
      <c r="Z78" s="203">
        <f t="shared" si="110"/>
        <v>100</v>
      </c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>
        <f t="shared" si="111"/>
        <v>15819.68</v>
      </c>
      <c r="AM78" s="204">
        <f t="shared" si="112"/>
        <v>37020.32</v>
      </c>
      <c r="AN78" s="291"/>
      <c r="AO78" s="211"/>
      <c r="AP78" s="207"/>
      <c r="AQ78" s="212">
        <f t="shared" si="113"/>
        <v>0</v>
      </c>
      <c r="AR78" s="213">
        <f t="shared" si="114"/>
        <v>37020.32</v>
      </c>
      <c r="AS78" s="213"/>
      <c r="AT78" s="213"/>
      <c r="AU78" s="213">
        <f t="shared" si="115"/>
        <v>545.49</v>
      </c>
      <c r="AV78" s="214"/>
      <c r="AW78" s="214" t="str">
        <f t="shared" si="116"/>
        <v>25%</v>
      </c>
      <c r="AX78" s="215">
        <v>22</v>
      </c>
      <c r="AY78" s="213">
        <v>150</v>
      </c>
      <c r="AZ78" s="214">
        <v>22</v>
      </c>
      <c r="BA78" s="213">
        <v>50</v>
      </c>
      <c r="BB78" s="213">
        <f t="shared" si="117"/>
        <v>0</v>
      </c>
      <c r="BC78" s="213">
        <f t="shared" si="118"/>
        <v>1100</v>
      </c>
      <c r="BD78" s="215"/>
    </row>
    <row r="79" spans="1:56" s="217" customFormat="1" ht="36.75" customHeight="1" x14ac:dyDescent="0.25">
      <c r="A79" s="290">
        <v>68</v>
      </c>
      <c r="B79" s="210"/>
      <c r="C79" s="230" t="s">
        <v>322</v>
      </c>
      <c r="D79" s="200">
        <v>16</v>
      </c>
      <c r="E79" s="201">
        <v>39672</v>
      </c>
      <c r="F79" s="201">
        <f t="shared" si="100"/>
        <v>100</v>
      </c>
      <c r="G79" s="201">
        <f t="shared" si="101"/>
        <v>4760.6400000000003</v>
      </c>
      <c r="H79" s="202">
        <f t="shared" si="102"/>
        <v>39672</v>
      </c>
      <c r="I79" s="202">
        <f t="shared" si="103"/>
        <v>2000</v>
      </c>
      <c r="J79" s="202">
        <f t="shared" si="104"/>
        <v>1100</v>
      </c>
      <c r="K79" s="202">
        <f t="shared" si="105"/>
        <v>150</v>
      </c>
      <c r="L79" s="202">
        <f t="shared" si="106"/>
        <v>9918</v>
      </c>
      <c r="M79" s="202">
        <f t="shared" si="107"/>
        <v>52840</v>
      </c>
      <c r="N79" s="202">
        <v>11355.76</v>
      </c>
      <c r="O79" s="202">
        <f t="shared" si="108"/>
        <v>793.44</v>
      </c>
      <c r="P79" s="203">
        <f t="shared" si="109"/>
        <v>3570.48</v>
      </c>
      <c r="Q79" s="203"/>
      <c r="R79" s="203"/>
      <c r="S79" s="203"/>
      <c r="T79" s="203"/>
      <c r="U79" s="203"/>
      <c r="V79" s="203"/>
      <c r="W79" s="203"/>
      <c r="X79" s="203"/>
      <c r="Y79" s="203"/>
      <c r="Z79" s="203">
        <f t="shared" si="110"/>
        <v>100</v>
      </c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>
        <f t="shared" si="111"/>
        <v>15819.68</v>
      </c>
      <c r="AM79" s="204">
        <f t="shared" si="112"/>
        <v>37020.32</v>
      </c>
      <c r="AN79" s="291"/>
      <c r="AO79" s="211"/>
      <c r="AP79" s="207"/>
      <c r="AQ79" s="212">
        <f t="shared" si="113"/>
        <v>0</v>
      </c>
      <c r="AR79" s="213">
        <f t="shared" si="114"/>
        <v>37020.32</v>
      </c>
      <c r="AS79" s="213"/>
      <c r="AT79" s="213"/>
      <c r="AU79" s="213">
        <f t="shared" si="115"/>
        <v>545.49</v>
      </c>
      <c r="AV79" s="214"/>
      <c r="AW79" s="214" t="str">
        <f t="shared" si="116"/>
        <v>25%</v>
      </c>
      <c r="AX79" s="215">
        <v>22</v>
      </c>
      <c r="AY79" s="213">
        <v>150</v>
      </c>
      <c r="AZ79" s="214">
        <v>22</v>
      </c>
      <c r="BA79" s="213">
        <v>50</v>
      </c>
      <c r="BB79" s="213">
        <f t="shared" si="117"/>
        <v>0</v>
      </c>
      <c r="BC79" s="213">
        <f t="shared" si="118"/>
        <v>1100</v>
      </c>
      <c r="BD79" s="215"/>
    </row>
    <row r="80" spans="1:56" s="217" customFormat="1" ht="39.75" customHeight="1" x14ac:dyDescent="0.25">
      <c r="A80" s="290">
        <v>69</v>
      </c>
      <c r="B80" s="210"/>
      <c r="C80" s="230" t="s">
        <v>323</v>
      </c>
      <c r="D80" s="200">
        <v>16</v>
      </c>
      <c r="E80" s="201">
        <v>39672</v>
      </c>
      <c r="F80" s="201">
        <f t="shared" si="100"/>
        <v>100</v>
      </c>
      <c r="G80" s="201">
        <f t="shared" si="101"/>
        <v>4760.6400000000003</v>
      </c>
      <c r="H80" s="202">
        <f t="shared" si="102"/>
        <v>39672</v>
      </c>
      <c r="I80" s="202">
        <f t="shared" si="103"/>
        <v>2000</v>
      </c>
      <c r="J80" s="202">
        <f t="shared" si="104"/>
        <v>1100</v>
      </c>
      <c r="K80" s="202">
        <f t="shared" si="105"/>
        <v>150</v>
      </c>
      <c r="L80" s="202">
        <f t="shared" si="106"/>
        <v>9918</v>
      </c>
      <c r="M80" s="202">
        <f t="shared" si="107"/>
        <v>52840</v>
      </c>
      <c r="N80" s="202">
        <v>11955.76</v>
      </c>
      <c r="O80" s="202">
        <f t="shared" si="108"/>
        <v>793.44</v>
      </c>
      <c r="P80" s="203">
        <f t="shared" si="109"/>
        <v>3570.48</v>
      </c>
      <c r="Q80" s="203"/>
      <c r="R80" s="203"/>
      <c r="S80" s="203"/>
      <c r="T80" s="203"/>
      <c r="U80" s="203"/>
      <c r="V80" s="203"/>
      <c r="W80" s="203"/>
      <c r="X80" s="203"/>
      <c r="Y80" s="203"/>
      <c r="Z80" s="203">
        <f t="shared" si="110"/>
        <v>100</v>
      </c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>
        <f t="shared" si="111"/>
        <v>16419.68</v>
      </c>
      <c r="AM80" s="204">
        <f t="shared" si="112"/>
        <v>36420.32</v>
      </c>
      <c r="AN80" s="291"/>
      <c r="AO80" s="211"/>
      <c r="AP80" s="207"/>
      <c r="AQ80" s="212">
        <f t="shared" si="113"/>
        <v>0</v>
      </c>
      <c r="AR80" s="213">
        <f t="shared" si="114"/>
        <v>36420.32</v>
      </c>
      <c r="AS80" s="213"/>
      <c r="AT80" s="213"/>
      <c r="AU80" s="213">
        <f t="shared" si="115"/>
        <v>545.49</v>
      </c>
      <c r="AV80" s="214"/>
      <c r="AW80" s="214" t="str">
        <f t="shared" si="116"/>
        <v>25%</v>
      </c>
      <c r="AX80" s="215">
        <v>22</v>
      </c>
      <c r="AY80" s="213">
        <v>150</v>
      </c>
      <c r="AZ80" s="214">
        <v>22</v>
      </c>
      <c r="BA80" s="213">
        <v>50</v>
      </c>
      <c r="BB80" s="213">
        <f t="shared" si="117"/>
        <v>0</v>
      </c>
      <c r="BC80" s="213">
        <f t="shared" si="118"/>
        <v>1100</v>
      </c>
      <c r="BD80" s="215"/>
    </row>
    <row r="81" spans="1:56" s="217" customFormat="1" ht="36.75" customHeight="1" x14ac:dyDescent="0.25">
      <c r="A81" s="290">
        <v>70</v>
      </c>
      <c r="B81" s="210"/>
      <c r="C81" s="230" t="s">
        <v>324</v>
      </c>
      <c r="D81" s="200">
        <v>16</v>
      </c>
      <c r="E81" s="201">
        <v>39672</v>
      </c>
      <c r="F81" s="201">
        <f t="shared" si="100"/>
        <v>100</v>
      </c>
      <c r="G81" s="201">
        <f t="shared" si="101"/>
        <v>4760.6400000000003</v>
      </c>
      <c r="H81" s="202">
        <f t="shared" si="102"/>
        <v>39672</v>
      </c>
      <c r="I81" s="202">
        <f t="shared" si="103"/>
        <v>2000</v>
      </c>
      <c r="J81" s="202">
        <f t="shared" si="104"/>
        <v>1100</v>
      </c>
      <c r="K81" s="202">
        <f t="shared" si="105"/>
        <v>150</v>
      </c>
      <c r="L81" s="202">
        <f t="shared" si="106"/>
        <v>9918</v>
      </c>
      <c r="M81" s="202">
        <f t="shared" si="107"/>
        <v>52840</v>
      </c>
      <c r="N81" s="202">
        <v>11355.76</v>
      </c>
      <c r="O81" s="202">
        <f t="shared" si="108"/>
        <v>793.44</v>
      </c>
      <c r="P81" s="203">
        <f t="shared" si="109"/>
        <v>3570.48</v>
      </c>
      <c r="Q81" s="203"/>
      <c r="R81" s="203"/>
      <c r="S81" s="203"/>
      <c r="T81" s="203"/>
      <c r="U81" s="203"/>
      <c r="V81" s="203"/>
      <c r="W81" s="203"/>
      <c r="X81" s="203"/>
      <c r="Y81" s="203"/>
      <c r="Z81" s="203">
        <f t="shared" si="110"/>
        <v>100</v>
      </c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>
        <f t="shared" si="111"/>
        <v>15819.68</v>
      </c>
      <c r="AM81" s="204">
        <f t="shared" si="112"/>
        <v>37020.32</v>
      </c>
      <c r="AN81" s="291"/>
      <c r="AO81" s="211"/>
      <c r="AP81" s="207"/>
      <c r="AQ81" s="212">
        <f t="shared" si="113"/>
        <v>0</v>
      </c>
      <c r="AR81" s="213">
        <f t="shared" si="114"/>
        <v>37020.32</v>
      </c>
      <c r="AS81" s="213"/>
      <c r="AT81" s="213"/>
      <c r="AU81" s="213">
        <f t="shared" si="115"/>
        <v>545.49</v>
      </c>
      <c r="AV81" s="214"/>
      <c r="AW81" s="214" t="str">
        <f t="shared" si="116"/>
        <v>25%</v>
      </c>
      <c r="AX81" s="215">
        <v>22</v>
      </c>
      <c r="AY81" s="213">
        <v>150</v>
      </c>
      <c r="AZ81" s="214">
        <v>22</v>
      </c>
      <c r="BA81" s="213">
        <v>50</v>
      </c>
      <c r="BB81" s="213">
        <f t="shared" si="117"/>
        <v>0</v>
      </c>
      <c r="BC81" s="213">
        <f t="shared" si="118"/>
        <v>1100</v>
      </c>
      <c r="BD81" s="215"/>
    </row>
    <row r="82" spans="1:56" s="217" customFormat="1" ht="36.75" customHeight="1" x14ac:dyDescent="0.25">
      <c r="A82" s="290">
        <v>71</v>
      </c>
      <c r="B82" s="210"/>
      <c r="C82" s="254" t="s">
        <v>414</v>
      </c>
      <c r="D82" s="200">
        <v>16</v>
      </c>
      <c r="E82" s="201">
        <v>39672</v>
      </c>
      <c r="F82" s="255">
        <f t="shared" si="100"/>
        <v>100</v>
      </c>
      <c r="G82" s="255">
        <f t="shared" si="101"/>
        <v>4760.6400000000003</v>
      </c>
      <c r="H82" s="256">
        <f t="shared" si="102"/>
        <v>39672</v>
      </c>
      <c r="I82" s="256">
        <f t="shared" si="103"/>
        <v>2000</v>
      </c>
      <c r="J82" s="256">
        <f t="shared" si="104"/>
        <v>1100</v>
      </c>
      <c r="K82" s="256">
        <f t="shared" si="105"/>
        <v>150</v>
      </c>
      <c r="L82" s="256">
        <f t="shared" si="106"/>
        <v>9918</v>
      </c>
      <c r="M82" s="256">
        <f t="shared" si="107"/>
        <v>52840</v>
      </c>
      <c r="N82" s="256">
        <v>7476.25</v>
      </c>
      <c r="O82" s="256">
        <f t="shared" si="108"/>
        <v>793.44</v>
      </c>
      <c r="P82" s="255">
        <f t="shared" si="109"/>
        <v>3570.48</v>
      </c>
      <c r="Q82" s="255"/>
      <c r="R82" s="255"/>
      <c r="S82" s="255"/>
      <c r="T82" s="255"/>
      <c r="U82" s="255"/>
      <c r="V82" s="255"/>
      <c r="W82" s="255"/>
      <c r="X82" s="255"/>
      <c r="Y82" s="255"/>
      <c r="Z82" s="255">
        <f t="shared" si="110"/>
        <v>100</v>
      </c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55">
        <f t="shared" si="111"/>
        <v>11940.17</v>
      </c>
      <c r="AM82" s="257">
        <f t="shared" si="112"/>
        <v>40899.83</v>
      </c>
      <c r="AN82" s="295"/>
      <c r="AO82" s="258"/>
      <c r="AP82" s="259"/>
      <c r="AQ82" s="260">
        <f t="shared" si="113"/>
        <v>0</v>
      </c>
      <c r="AR82" s="261">
        <f t="shared" si="114"/>
        <v>40899.83</v>
      </c>
      <c r="AS82" s="261"/>
      <c r="AT82" s="261"/>
      <c r="AU82" s="261">
        <f t="shared" si="115"/>
        <v>545.49</v>
      </c>
      <c r="AV82" s="215"/>
      <c r="AW82" s="215" t="str">
        <f t="shared" si="116"/>
        <v>25%</v>
      </c>
      <c r="AX82" s="215">
        <v>22</v>
      </c>
      <c r="AY82" s="261">
        <v>150</v>
      </c>
      <c r="AZ82" s="215">
        <v>22</v>
      </c>
      <c r="BA82" s="261">
        <v>50</v>
      </c>
      <c r="BB82" s="261">
        <f t="shared" si="117"/>
        <v>0</v>
      </c>
      <c r="BC82" s="261">
        <f t="shared" si="118"/>
        <v>1100</v>
      </c>
      <c r="BD82" s="215"/>
    </row>
    <row r="83" spans="1:56" s="217" customFormat="1" ht="36.75" customHeight="1" x14ac:dyDescent="0.25">
      <c r="A83" s="290">
        <v>72</v>
      </c>
      <c r="B83" s="210"/>
      <c r="C83" s="230" t="s">
        <v>325</v>
      </c>
      <c r="D83" s="200">
        <v>16</v>
      </c>
      <c r="E83" s="201">
        <v>39672</v>
      </c>
      <c r="F83" s="201">
        <f t="shared" ref="F83" si="119">IF(H83&gt;0,100,0)</f>
        <v>100</v>
      </c>
      <c r="G83" s="201">
        <f t="shared" si="101"/>
        <v>4760.6400000000003</v>
      </c>
      <c r="H83" s="202">
        <f t="shared" ref="H83" si="120">ROUND(IF(AX83&gt;22,0,IF(AX83=22,E83,IF(AX83&lt;22,E83*(AX83/AZ83),IF(OR(AX83=0,AX83=" ")=TRUE,0)))),2)</f>
        <v>39672</v>
      </c>
      <c r="I83" s="202">
        <f t="shared" ref="I83" si="121">ROUND(IF(AND(H83&gt;0,AX83=22)=TRUE,2000,IF(AND(H83&gt;0,AX83&lt;22,AX83&gt;0)=TRUE,2000*(AX83/AZ83),IF(AX83&lt;0,0,0))),2)</f>
        <v>2000</v>
      </c>
      <c r="J83" s="202">
        <f t="shared" ref="J83" si="122">IF(H83&gt;0,BC83-BB83,0)</f>
        <v>1100</v>
      </c>
      <c r="K83" s="202">
        <f t="shared" ref="K83" si="123">IF(AND(H83&gt;0,AX83&gt;11)=TRUE,150,0)</f>
        <v>150</v>
      </c>
      <c r="L83" s="202">
        <f t="shared" ref="L83" si="124">ROUND(IF(AND($H83&gt;0,AX83&gt;11)=TRUE,$AW83*$E83,0),2)</f>
        <v>9918</v>
      </c>
      <c r="M83" s="202">
        <f t="shared" ref="M83" si="125">ROUND(SUM(H83:L83),2)</f>
        <v>52840</v>
      </c>
      <c r="N83" s="202">
        <v>11355.76</v>
      </c>
      <c r="O83" s="202">
        <f t="shared" ref="O83" si="126">E83*0.04/2</f>
        <v>793.44</v>
      </c>
      <c r="P83" s="203">
        <f t="shared" si="109"/>
        <v>3570.48</v>
      </c>
      <c r="Q83" s="203"/>
      <c r="R83" s="203"/>
      <c r="S83" s="203"/>
      <c r="T83" s="203"/>
      <c r="U83" s="203"/>
      <c r="V83" s="203"/>
      <c r="W83" s="203"/>
      <c r="X83" s="203"/>
      <c r="Y83" s="203"/>
      <c r="Z83" s="203">
        <f t="shared" ref="Z83" si="127">ROUND(IF(H83&gt;0,100,0),2)</f>
        <v>100</v>
      </c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>
        <f t="shared" ref="AL83" si="128">SUM(N83:AK83)</f>
        <v>15819.68</v>
      </c>
      <c r="AM83" s="204">
        <f t="shared" ref="AM83" si="129">ROUND(M83-AL83,2)</f>
        <v>37020.32</v>
      </c>
      <c r="AN83" s="291"/>
      <c r="AO83" s="211"/>
      <c r="AP83" s="207"/>
      <c r="AQ83" s="212">
        <f t="shared" ref="AQ83" si="130">SUM(AO83:AP83)</f>
        <v>0</v>
      </c>
      <c r="AR83" s="213">
        <f t="shared" ref="AR83" si="131">+AM83-AQ83</f>
        <v>37020.32</v>
      </c>
      <c r="AS83" s="213"/>
      <c r="AT83" s="213"/>
      <c r="AU83" s="213">
        <f t="shared" ref="AU83" si="132">IF(E83=0,0,IF(E83&lt;=10000,137.5,IF(AND(E83&gt;10000,E83&lt;40000)=TRUE,E83*2.75%*50%,IF(E83&gt;=40000,550,0))))</f>
        <v>545.49</v>
      </c>
      <c r="AV83" s="214"/>
      <c r="AW83" s="214" t="str">
        <f t="shared" si="116"/>
        <v>25%</v>
      </c>
      <c r="AX83" s="215">
        <v>22</v>
      </c>
      <c r="AY83" s="213">
        <v>150</v>
      </c>
      <c r="AZ83" s="214">
        <v>22</v>
      </c>
      <c r="BA83" s="213">
        <v>50</v>
      </c>
      <c r="BB83" s="213">
        <f t="shared" ref="BB83" si="133">IF(AX83&gt;0,(AZ83-AX83+BD83)*BA83,0)</f>
        <v>0</v>
      </c>
      <c r="BC83" s="213">
        <f t="shared" ref="BC83" si="134">IF(AX83&gt;0,1100,0)</f>
        <v>1100</v>
      </c>
      <c r="BD83" s="215"/>
    </row>
    <row r="84" spans="1:56" s="217" customFormat="1" ht="36.75" customHeight="1" x14ac:dyDescent="0.25">
      <c r="A84" s="290">
        <v>73</v>
      </c>
      <c r="B84" s="210"/>
      <c r="C84" s="230" t="s">
        <v>326</v>
      </c>
      <c r="D84" s="200">
        <v>16</v>
      </c>
      <c r="E84" s="201">
        <v>39672</v>
      </c>
      <c r="F84" s="201">
        <f t="shared" si="100"/>
        <v>100</v>
      </c>
      <c r="G84" s="201">
        <f t="shared" si="101"/>
        <v>4760.6400000000003</v>
      </c>
      <c r="H84" s="202">
        <f t="shared" si="102"/>
        <v>39672</v>
      </c>
      <c r="I84" s="202">
        <f t="shared" si="103"/>
        <v>2000</v>
      </c>
      <c r="J84" s="202">
        <f t="shared" si="104"/>
        <v>1100</v>
      </c>
      <c r="K84" s="202">
        <f t="shared" si="105"/>
        <v>150</v>
      </c>
      <c r="L84" s="202">
        <f t="shared" si="106"/>
        <v>9918</v>
      </c>
      <c r="M84" s="202">
        <f t="shared" si="107"/>
        <v>52840</v>
      </c>
      <c r="N84" s="202">
        <v>8121.93</v>
      </c>
      <c r="O84" s="202">
        <f t="shared" si="108"/>
        <v>793.44</v>
      </c>
      <c r="P84" s="203">
        <f t="shared" si="109"/>
        <v>3570.48</v>
      </c>
      <c r="Q84" s="203"/>
      <c r="R84" s="203"/>
      <c r="S84" s="203"/>
      <c r="T84" s="203"/>
      <c r="U84" s="203"/>
      <c r="V84" s="203"/>
      <c r="W84" s="203"/>
      <c r="X84" s="203"/>
      <c r="Y84" s="203"/>
      <c r="Z84" s="203">
        <f t="shared" si="110"/>
        <v>100</v>
      </c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>
        <f t="shared" si="111"/>
        <v>12585.85</v>
      </c>
      <c r="AM84" s="204">
        <f t="shared" si="112"/>
        <v>40254.15</v>
      </c>
      <c r="AN84" s="291"/>
      <c r="AO84" s="211"/>
      <c r="AP84" s="207"/>
      <c r="AQ84" s="212">
        <f t="shared" si="113"/>
        <v>0</v>
      </c>
      <c r="AR84" s="213">
        <f t="shared" si="114"/>
        <v>40254.15</v>
      </c>
      <c r="AS84" s="213"/>
      <c r="AT84" s="213"/>
      <c r="AU84" s="213">
        <f t="shared" si="115"/>
        <v>545.49</v>
      </c>
      <c r="AV84" s="214"/>
      <c r="AW84" s="214" t="str">
        <f t="shared" si="116"/>
        <v>25%</v>
      </c>
      <c r="AX84" s="215">
        <v>22</v>
      </c>
      <c r="AY84" s="213">
        <v>150</v>
      </c>
      <c r="AZ84" s="214">
        <v>22</v>
      </c>
      <c r="BA84" s="213">
        <v>50</v>
      </c>
      <c r="BB84" s="213">
        <f t="shared" si="117"/>
        <v>0</v>
      </c>
      <c r="BC84" s="213">
        <f t="shared" si="118"/>
        <v>1100</v>
      </c>
      <c r="BD84" s="215"/>
    </row>
    <row r="85" spans="1:56" s="217" customFormat="1" ht="36.75" customHeight="1" x14ac:dyDescent="0.25">
      <c r="A85" s="290">
        <v>74</v>
      </c>
      <c r="B85" s="210"/>
      <c r="C85" s="230" t="s">
        <v>327</v>
      </c>
      <c r="D85" s="200">
        <v>16</v>
      </c>
      <c r="E85" s="201">
        <v>39672</v>
      </c>
      <c r="F85" s="201">
        <f t="shared" si="100"/>
        <v>100</v>
      </c>
      <c r="G85" s="201">
        <f t="shared" si="101"/>
        <v>4760.6400000000003</v>
      </c>
      <c r="H85" s="202">
        <f t="shared" si="102"/>
        <v>39672</v>
      </c>
      <c r="I85" s="202">
        <f t="shared" si="103"/>
        <v>2000</v>
      </c>
      <c r="J85" s="202">
        <f t="shared" si="104"/>
        <v>1100</v>
      </c>
      <c r="K85" s="202">
        <f t="shared" si="105"/>
        <v>150</v>
      </c>
      <c r="L85" s="202">
        <f t="shared" si="106"/>
        <v>9918</v>
      </c>
      <c r="M85" s="202">
        <f t="shared" si="107"/>
        <v>52840</v>
      </c>
      <c r="N85" s="202">
        <v>11355.76</v>
      </c>
      <c r="O85" s="202">
        <f t="shared" si="108"/>
        <v>793.44</v>
      </c>
      <c r="P85" s="203">
        <f t="shared" si="109"/>
        <v>3570.48</v>
      </c>
      <c r="Q85" s="203"/>
      <c r="R85" s="203"/>
      <c r="S85" s="203"/>
      <c r="T85" s="203"/>
      <c r="U85" s="203"/>
      <c r="V85" s="203"/>
      <c r="W85" s="203"/>
      <c r="X85" s="203"/>
      <c r="Y85" s="203"/>
      <c r="Z85" s="203">
        <f t="shared" si="110"/>
        <v>100</v>
      </c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>
        <f t="shared" si="111"/>
        <v>15819.68</v>
      </c>
      <c r="AM85" s="204">
        <f t="shared" si="112"/>
        <v>37020.32</v>
      </c>
      <c r="AN85" s="291"/>
      <c r="AO85" s="211"/>
      <c r="AP85" s="207"/>
      <c r="AQ85" s="212">
        <f t="shared" si="113"/>
        <v>0</v>
      </c>
      <c r="AR85" s="213">
        <f t="shared" si="114"/>
        <v>37020.32</v>
      </c>
      <c r="AS85" s="213"/>
      <c r="AT85" s="213"/>
      <c r="AU85" s="213">
        <f t="shared" si="115"/>
        <v>545.49</v>
      </c>
      <c r="AV85" s="214"/>
      <c r="AW85" s="214" t="str">
        <f t="shared" si="116"/>
        <v>25%</v>
      </c>
      <c r="AX85" s="215">
        <v>22</v>
      </c>
      <c r="AY85" s="213">
        <v>150</v>
      </c>
      <c r="AZ85" s="214">
        <v>22</v>
      </c>
      <c r="BA85" s="213">
        <v>50</v>
      </c>
      <c r="BB85" s="213">
        <f t="shared" si="117"/>
        <v>0</v>
      </c>
      <c r="BC85" s="213">
        <f t="shared" si="118"/>
        <v>1100</v>
      </c>
      <c r="BD85" s="215"/>
    </row>
    <row r="86" spans="1:56" s="217" customFormat="1" ht="36" customHeight="1" x14ac:dyDescent="0.25">
      <c r="A86" s="290">
        <v>75</v>
      </c>
      <c r="B86" s="210"/>
      <c r="C86" s="230" t="s">
        <v>328</v>
      </c>
      <c r="D86" s="200">
        <v>16</v>
      </c>
      <c r="E86" s="201">
        <v>39672</v>
      </c>
      <c r="F86" s="201">
        <f t="shared" si="100"/>
        <v>100</v>
      </c>
      <c r="G86" s="201">
        <f t="shared" si="101"/>
        <v>4760.6400000000003</v>
      </c>
      <c r="H86" s="202">
        <f t="shared" si="102"/>
        <v>39672</v>
      </c>
      <c r="I86" s="202">
        <f t="shared" si="103"/>
        <v>2000</v>
      </c>
      <c r="J86" s="202">
        <f t="shared" si="104"/>
        <v>1100</v>
      </c>
      <c r="K86" s="202">
        <f t="shared" si="105"/>
        <v>150</v>
      </c>
      <c r="L86" s="202">
        <f t="shared" si="106"/>
        <v>9918</v>
      </c>
      <c r="M86" s="202">
        <f t="shared" si="107"/>
        <v>52840</v>
      </c>
      <c r="N86" s="202">
        <v>11468.3</v>
      </c>
      <c r="O86" s="202">
        <f t="shared" si="108"/>
        <v>793.44</v>
      </c>
      <c r="P86" s="203">
        <f t="shared" si="109"/>
        <v>3570.48</v>
      </c>
      <c r="Q86" s="203"/>
      <c r="R86" s="203"/>
      <c r="S86" s="203"/>
      <c r="T86" s="203"/>
      <c r="U86" s="203"/>
      <c r="V86" s="203"/>
      <c r="W86" s="203"/>
      <c r="X86" s="203"/>
      <c r="Y86" s="203"/>
      <c r="Z86" s="203">
        <f t="shared" si="110"/>
        <v>100</v>
      </c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>
        <f t="shared" si="111"/>
        <v>15932.22</v>
      </c>
      <c r="AM86" s="204">
        <f t="shared" si="112"/>
        <v>36907.78</v>
      </c>
      <c r="AN86" s="291"/>
      <c r="AO86" s="211"/>
      <c r="AP86" s="207"/>
      <c r="AQ86" s="212">
        <f t="shared" si="113"/>
        <v>0</v>
      </c>
      <c r="AR86" s="213">
        <f t="shared" si="114"/>
        <v>36907.78</v>
      </c>
      <c r="AS86" s="213"/>
      <c r="AT86" s="213"/>
      <c r="AU86" s="213">
        <f t="shared" si="115"/>
        <v>545.49</v>
      </c>
      <c r="AV86" s="214"/>
      <c r="AW86" s="214" t="str">
        <f t="shared" si="116"/>
        <v>25%</v>
      </c>
      <c r="AX86" s="215">
        <v>22</v>
      </c>
      <c r="AY86" s="213">
        <v>150</v>
      </c>
      <c r="AZ86" s="214">
        <v>22</v>
      </c>
      <c r="BA86" s="213">
        <v>50</v>
      </c>
      <c r="BB86" s="213">
        <f t="shared" si="117"/>
        <v>0</v>
      </c>
      <c r="BC86" s="213">
        <f t="shared" si="118"/>
        <v>1100</v>
      </c>
      <c r="BD86" s="215"/>
    </row>
    <row r="87" spans="1:56" s="217" customFormat="1" ht="36" customHeight="1" x14ac:dyDescent="0.25">
      <c r="A87" s="290">
        <v>76</v>
      </c>
      <c r="B87" s="210"/>
      <c r="C87" s="230" t="s">
        <v>329</v>
      </c>
      <c r="D87" s="200">
        <v>16</v>
      </c>
      <c r="E87" s="201">
        <v>39672</v>
      </c>
      <c r="F87" s="201">
        <f t="shared" si="100"/>
        <v>100</v>
      </c>
      <c r="G87" s="201">
        <f t="shared" si="101"/>
        <v>4760.6400000000003</v>
      </c>
      <c r="H87" s="202">
        <f t="shared" si="102"/>
        <v>39672</v>
      </c>
      <c r="I87" s="202">
        <f t="shared" si="103"/>
        <v>2000</v>
      </c>
      <c r="J87" s="202">
        <f t="shared" si="104"/>
        <v>1100</v>
      </c>
      <c r="K87" s="202">
        <f t="shared" si="105"/>
        <v>150</v>
      </c>
      <c r="L87" s="202">
        <f t="shared" si="106"/>
        <v>9918</v>
      </c>
      <c r="M87" s="202">
        <f t="shared" si="107"/>
        <v>52840</v>
      </c>
      <c r="N87" s="202">
        <v>11655.76</v>
      </c>
      <c r="O87" s="202">
        <f t="shared" si="108"/>
        <v>793.44</v>
      </c>
      <c r="P87" s="203">
        <f t="shared" si="109"/>
        <v>3570.48</v>
      </c>
      <c r="Q87" s="203"/>
      <c r="R87" s="203"/>
      <c r="S87" s="203"/>
      <c r="T87" s="203"/>
      <c r="U87" s="203"/>
      <c r="V87" s="203"/>
      <c r="W87" s="203"/>
      <c r="X87" s="203"/>
      <c r="Y87" s="203"/>
      <c r="Z87" s="203">
        <f t="shared" si="110"/>
        <v>100</v>
      </c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>
        <f t="shared" si="111"/>
        <v>16119.68</v>
      </c>
      <c r="AM87" s="204">
        <f t="shared" si="112"/>
        <v>36720.32</v>
      </c>
      <c r="AN87" s="291"/>
      <c r="AO87" s="211"/>
      <c r="AP87" s="207"/>
      <c r="AQ87" s="212">
        <f t="shared" si="113"/>
        <v>0</v>
      </c>
      <c r="AR87" s="213">
        <f t="shared" si="114"/>
        <v>36720.32</v>
      </c>
      <c r="AS87" s="213"/>
      <c r="AT87" s="213"/>
      <c r="AU87" s="213">
        <f t="shared" si="115"/>
        <v>545.49</v>
      </c>
      <c r="AV87" s="214"/>
      <c r="AW87" s="214" t="str">
        <f t="shared" si="116"/>
        <v>25%</v>
      </c>
      <c r="AX87" s="215">
        <v>22</v>
      </c>
      <c r="AY87" s="213">
        <v>150</v>
      </c>
      <c r="AZ87" s="214">
        <v>22</v>
      </c>
      <c r="BA87" s="213">
        <v>50</v>
      </c>
      <c r="BB87" s="213">
        <f t="shared" si="117"/>
        <v>0</v>
      </c>
      <c r="BC87" s="213">
        <f t="shared" si="118"/>
        <v>1100</v>
      </c>
      <c r="BD87" s="215"/>
    </row>
    <row r="88" spans="1:56" s="217" customFormat="1" ht="36" customHeight="1" x14ac:dyDescent="0.25">
      <c r="A88" s="290">
        <v>77</v>
      </c>
      <c r="B88" s="210"/>
      <c r="C88" s="230" t="s">
        <v>330</v>
      </c>
      <c r="D88" s="200">
        <v>16</v>
      </c>
      <c r="E88" s="201">
        <v>39672</v>
      </c>
      <c r="F88" s="201">
        <f t="shared" si="100"/>
        <v>100</v>
      </c>
      <c r="G88" s="201">
        <f t="shared" si="101"/>
        <v>4760.6400000000003</v>
      </c>
      <c r="H88" s="202">
        <f t="shared" si="102"/>
        <v>39672</v>
      </c>
      <c r="I88" s="202">
        <f t="shared" si="103"/>
        <v>2000</v>
      </c>
      <c r="J88" s="202">
        <f t="shared" si="104"/>
        <v>1100</v>
      </c>
      <c r="K88" s="202">
        <f t="shared" si="105"/>
        <v>150</v>
      </c>
      <c r="L88" s="202">
        <f t="shared" si="106"/>
        <v>9918</v>
      </c>
      <c r="M88" s="202">
        <f t="shared" si="107"/>
        <v>52840</v>
      </c>
      <c r="N88" s="202">
        <v>10189.09</v>
      </c>
      <c r="O88" s="202">
        <f t="shared" si="108"/>
        <v>793.44</v>
      </c>
      <c r="P88" s="203">
        <f t="shared" si="109"/>
        <v>3570.48</v>
      </c>
      <c r="Q88" s="203"/>
      <c r="R88" s="203"/>
      <c r="S88" s="203"/>
      <c r="T88" s="203"/>
      <c r="U88" s="203"/>
      <c r="V88" s="203"/>
      <c r="W88" s="203"/>
      <c r="X88" s="203"/>
      <c r="Y88" s="203"/>
      <c r="Z88" s="203">
        <f t="shared" si="110"/>
        <v>100</v>
      </c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>
        <f t="shared" si="111"/>
        <v>14653.01</v>
      </c>
      <c r="AM88" s="204">
        <f t="shared" si="112"/>
        <v>38186.99</v>
      </c>
      <c r="AN88" s="291"/>
      <c r="AO88" s="211"/>
      <c r="AP88" s="207"/>
      <c r="AQ88" s="212">
        <f t="shared" si="113"/>
        <v>0</v>
      </c>
      <c r="AR88" s="213">
        <f t="shared" si="114"/>
        <v>38186.99</v>
      </c>
      <c r="AS88" s="213"/>
      <c r="AT88" s="213"/>
      <c r="AU88" s="213">
        <f t="shared" si="115"/>
        <v>545.49</v>
      </c>
      <c r="AV88" s="214"/>
      <c r="AW88" s="214" t="str">
        <f t="shared" si="116"/>
        <v>25%</v>
      </c>
      <c r="AX88" s="215">
        <v>22</v>
      </c>
      <c r="AY88" s="213">
        <v>150</v>
      </c>
      <c r="AZ88" s="214">
        <v>22</v>
      </c>
      <c r="BA88" s="213">
        <v>50</v>
      </c>
      <c r="BB88" s="213">
        <f t="shared" si="117"/>
        <v>0</v>
      </c>
      <c r="BC88" s="213">
        <f t="shared" si="118"/>
        <v>1100</v>
      </c>
      <c r="BD88" s="215"/>
    </row>
    <row r="89" spans="1:56" s="217" customFormat="1" ht="36" customHeight="1" x14ac:dyDescent="0.25">
      <c r="A89" s="290">
        <v>78</v>
      </c>
      <c r="B89" s="210"/>
      <c r="C89" s="230" t="s">
        <v>331</v>
      </c>
      <c r="D89" s="200">
        <v>16</v>
      </c>
      <c r="E89" s="201">
        <v>39672</v>
      </c>
      <c r="F89" s="201">
        <f t="shared" si="100"/>
        <v>100</v>
      </c>
      <c r="G89" s="201">
        <f t="shared" si="101"/>
        <v>4760.6400000000003</v>
      </c>
      <c r="H89" s="202">
        <f t="shared" si="102"/>
        <v>39672</v>
      </c>
      <c r="I89" s="202">
        <f t="shared" si="103"/>
        <v>2000</v>
      </c>
      <c r="J89" s="202">
        <f t="shared" si="104"/>
        <v>1100</v>
      </c>
      <c r="K89" s="202">
        <f t="shared" si="105"/>
        <v>150</v>
      </c>
      <c r="L89" s="202">
        <f t="shared" si="106"/>
        <v>9918</v>
      </c>
      <c r="M89" s="202">
        <f t="shared" si="107"/>
        <v>52840</v>
      </c>
      <c r="N89" s="202">
        <v>6797.93</v>
      </c>
      <c r="O89" s="202">
        <f t="shared" si="108"/>
        <v>793.44</v>
      </c>
      <c r="P89" s="203">
        <f t="shared" si="109"/>
        <v>3570.48</v>
      </c>
      <c r="Q89" s="203"/>
      <c r="R89" s="203"/>
      <c r="S89" s="203"/>
      <c r="T89" s="203"/>
      <c r="U89" s="203"/>
      <c r="V89" s="203"/>
      <c r="W89" s="203"/>
      <c r="X89" s="203"/>
      <c r="Y89" s="203"/>
      <c r="Z89" s="203">
        <f t="shared" si="110"/>
        <v>100</v>
      </c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>
        <f t="shared" si="111"/>
        <v>11261.85</v>
      </c>
      <c r="AM89" s="204">
        <f t="shared" si="112"/>
        <v>41578.15</v>
      </c>
      <c r="AN89" s="291"/>
      <c r="AO89" s="211"/>
      <c r="AP89" s="207"/>
      <c r="AQ89" s="212">
        <f t="shared" si="113"/>
        <v>0</v>
      </c>
      <c r="AR89" s="213">
        <f t="shared" si="114"/>
        <v>41578.15</v>
      </c>
      <c r="AS89" s="213"/>
      <c r="AT89" s="213"/>
      <c r="AU89" s="213">
        <f t="shared" si="115"/>
        <v>545.49</v>
      </c>
      <c r="AV89" s="214"/>
      <c r="AW89" s="214" t="str">
        <f t="shared" si="116"/>
        <v>25%</v>
      </c>
      <c r="AX89" s="215">
        <v>22</v>
      </c>
      <c r="AY89" s="213">
        <v>150</v>
      </c>
      <c r="AZ89" s="214">
        <v>22</v>
      </c>
      <c r="BA89" s="213">
        <v>50</v>
      </c>
      <c r="BB89" s="213">
        <f t="shared" si="117"/>
        <v>0</v>
      </c>
      <c r="BC89" s="213">
        <f t="shared" si="118"/>
        <v>1100</v>
      </c>
      <c r="BD89" s="215"/>
    </row>
    <row r="90" spans="1:56" s="217" customFormat="1" ht="36" customHeight="1" x14ac:dyDescent="0.25">
      <c r="A90" s="290">
        <v>79</v>
      </c>
      <c r="B90" s="210"/>
      <c r="C90" s="230" t="s">
        <v>332</v>
      </c>
      <c r="D90" s="200">
        <v>16</v>
      </c>
      <c r="E90" s="201">
        <v>39672</v>
      </c>
      <c r="F90" s="201">
        <f>IF(H90&gt;0,100,0)</f>
        <v>100</v>
      </c>
      <c r="G90" s="201">
        <f>+ROUND(H90*12%,2)</f>
        <v>4760.6400000000003</v>
      </c>
      <c r="H90" s="202">
        <f>ROUND(IF(AX90&gt;22,0,IF(AX90=22,E90,IF(AX90&lt;22,E90*(AX90/AZ90),IF(OR(AX90=0,AX90=" ")=TRUE,0)))),2)</f>
        <v>39672</v>
      </c>
      <c r="I90" s="202">
        <f>ROUND(IF(AND(H90&gt;0,AX90=22)=TRUE,2000,IF(AND(H90&gt;0,AX90&lt;22,AX90&gt;0)=TRUE,2000*(AX90/AZ90),IF(AX90&lt;0,0,0))),2)</f>
        <v>2000</v>
      </c>
      <c r="J90" s="202">
        <f>IF(H90&gt;0,BC90-BB90,0)</f>
        <v>1100</v>
      </c>
      <c r="K90" s="202">
        <f>IF(AND(H90&gt;0,AX90&gt;11)=TRUE,150,0)</f>
        <v>150</v>
      </c>
      <c r="L90" s="202">
        <f>ROUND(IF(AND($H90&gt;0,AX90&gt;11)=TRUE,$AW90*$E90,0),2)</f>
        <v>9918</v>
      </c>
      <c r="M90" s="202">
        <f>ROUND(SUM(H90:L90),2)</f>
        <v>52840</v>
      </c>
      <c r="N90" s="202">
        <v>11355.76</v>
      </c>
      <c r="O90" s="202">
        <f>E90*0.04/2</f>
        <v>793.44</v>
      </c>
      <c r="P90" s="203">
        <f>ROUND($H90*9%,2)</f>
        <v>3570.48</v>
      </c>
      <c r="Q90" s="203"/>
      <c r="R90" s="203"/>
      <c r="S90" s="203"/>
      <c r="T90" s="203"/>
      <c r="U90" s="203"/>
      <c r="V90" s="203"/>
      <c r="W90" s="203"/>
      <c r="X90" s="203"/>
      <c r="Y90" s="203"/>
      <c r="Z90" s="203">
        <f>ROUND(IF(H90&gt;0,100,0),2)</f>
        <v>100</v>
      </c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>
        <f>SUM(N90:AK90)</f>
        <v>15819.68</v>
      </c>
      <c r="AM90" s="204">
        <f>ROUND(M90-AL90,2)</f>
        <v>37020.32</v>
      </c>
      <c r="AN90" s="291"/>
      <c r="AO90" s="211"/>
      <c r="AP90" s="207"/>
      <c r="AQ90" s="212">
        <f>SUM(AO90:AP90)</f>
        <v>0</v>
      </c>
      <c r="AR90" s="213">
        <f>+AM90-AQ90</f>
        <v>37020.32</v>
      </c>
      <c r="AS90" s="213"/>
      <c r="AT90" s="213"/>
      <c r="AU90" s="213">
        <f>IF(E90=0,0,IF(E90&lt;=10000,137.5,IF(AND(E90&gt;10000,E90&lt;40000)=TRUE,E90*2.75%*50%,IF(E90&gt;=40000,550,0))))</f>
        <v>545.49</v>
      </c>
      <c r="AV90" s="214"/>
      <c r="AW90" s="214" t="str">
        <f>IF(AND($D90&gt;=1,$D90&lt;=19)=TRUE,"25%",IF($D90=20,"15%",IF($D90=21,"13%",IF($D90=22,"12%",IF($D90=23,"11%",IF(OR($D90=24,$D90=25)=TRUE,"10%",IF($D90=26,"9%",IF($D90=27,"8%",IF($D90=28,"7%",IF(OR($D90=29,$D90=30)=TRUE,"6%",IF($D90=31,"5%","0%")))))))))))</f>
        <v>25%</v>
      </c>
      <c r="AX90" s="215">
        <v>22</v>
      </c>
      <c r="AY90" s="213">
        <v>150</v>
      </c>
      <c r="AZ90" s="214">
        <v>22</v>
      </c>
      <c r="BA90" s="213">
        <v>50</v>
      </c>
      <c r="BB90" s="213">
        <f>IF(AX90&gt;0,(AZ90-AX90+BD90)*BA90,0)</f>
        <v>0</v>
      </c>
      <c r="BC90" s="213">
        <f>IF(AX90&gt;0,1100,0)</f>
        <v>1100</v>
      </c>
      <c r="BD90" s="215"/>
    </row>
    <row r="91" spans="1:56" s="217" customFormat="1" ht="36.75" customHeight="1" x14ac:dyDescent="0.25">
      <c r="A91" s="290">
        <v>80</v>
      </c>
      <c r="B91" s="210"/>
      <c r="C91" s="247" t="s">
        <v>333</v>
      </c>
      <c r="D91" s="200">
        <v>16</v>
      </c>
      <c r="E91" s="201">
        <v>39672</v>
      </c>
      <c r="F91" s="201">
        <f t="shared" ref="F91" si="135">IF(H91&gt;0,100,0)</f>
        <v>100</v>
      </c>
      <c r="G91" s="201">
        <f>+ROUND(H91*12%,2)</f>
        <v>4760.6400000000003</v>
      </c>
      <c r="H91" s="202">
        <f t="shared" ref="H91" si="136">ROUND(IF(AX91&gt;22,0,IF(AX91=22,E91,IF(AX91&lt;22,E91*(AX91/AZ91),IF(OR(AX91=0,AX91=" ")=TRUE,0)))),2)</f>
        <v>39672</v>
      </c>
      <c r="I91" s="202">
        <f t="shared" ref="I91" si="137">ROUND(IF(AND(H91&gt;0,AX91=22)=TRUE,2000,IF(AND(H91&gt;0,AX91&lt;22,AX91&gt;0)=TRUE,2000*(AX91/AZ91),IF(AX91&lt;0,0,0))),2)</f>
        <v>2000</v>
      </c>
      <c r="J91" s="202">
        <f t="shared" ref="J91" si="138">IF(H91&gt;0,BC91-BB91,0)</f>
        <v>1100</v>
      </c>
      <c r="K91" s="202">
        <f t="shared" ref="K91" si="139">IF(AND(H91&gt;0,AX91&gt;11)=TRUE,150,0)</f>
        <v>150</v>
      </c>
      <c r="L91" s="202">
        <f>ROUND(IF(AND($H91&gt;0,AX91&gt;11)=TRUE,$AW91*$E91,0),2)</f>
        <v>9918</v>
      </c>
      <c r="M91" s="202">
        <f t="shared" ref="M91" si="140">ROUND(SUM(H91:L91),2)</f>
        <v>52840</v>
      </c>
      <c r="N91" s="202">
        <v>11255.76</v>
      </c>
      <c r="O91" s="202">
        <f t="shared" ref="O91" si="141">E91*0.04/2</f>
        <v>793.44</v>
      </c>
      <c r="P91" s="203">
        <f>ROUND($H91*9%,2)</f>
        <v>3570.48</v>
      </c>
      <c r="Q91" s="203"/>
      <c r="R91" s="203"/>
      <c r="S91" s="203"/>
      <c r="T91" s="203"/>
      <c r="U91" s="203"/>
      <c r="V91" s="203"/>
      <c r="W91" s="203"/>
      <c r="X91" s="203"/>
      <c r="Y91" s="203"/>
      <c r="Z91" s="203">
        <f t="shared" ref="Z91" si="142">ROUND(IF(H91&gt;0,100,0),2)</f>
        <v>100</v>
      </c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>
        <f t="shared" ref="AL91" si="143">SUM(N91:AK91)</f>
        <v>15719.68</v>
      </c>
      <c r="AM91" s="204">
        <f t="shared" ref="AM91" si="144">ROUND(M91-AL91,2)</f>
        <v>37120.32</v>
      </c>
      <c r="AN91" s="291"/>
      <c r="AO91" s="211"/>
      <c r="AP91" s="207"/>
      <c r="AQ91" s="212">
        <f t="shared" ref="AQ91" si="145">SUM(AO91:AP91)</f>
        <v>0</v>
      </c>
      <c r="AR91" s="213">
        <f t="shared" ref="AR91" si="146">+AM91-AQ91</f>
        <v>37120.32</v>
      </c>
      <c r="AS91" s="213"/>
      <c r="AT91" s="213"/>
      <c r="AU91" s="213">
        <f t="shared" ref="AU91" si="147">IF(E91=0,0,IF(E91&lt;=10000,137.5,IF(AND(E91&gt;10000,E91&lt;40000)=TRUE,E91*2.75%*50%,IF(E91&gt;=40000,550,0))))</f>
        <v>545.49</v>
      </c>
      <c r="AV91" s="214"/>
      <c r="AW91" s="214" t="str">
        <f>IF(AND($D91&gt;=1,$D91&lt;=19)=TRUE,"25%",IF($D91=20,"15%",IF($D91=21,"13%",IF($D91=22,"12%",IF($D91=23,"11%",IF(OR($D91=24,$D91=25)=TRUE,"10%",IF($D91=26,"9%",IF($D91=27,"8%",IF($D91=28,"7%",IF(OR($D91=29,$D91=30)=TRUE,"6%",IF($D91=31,"5%","0%")))))))))))</f>
        <v>25%</v>
      </c>
      <c r="AX91" s="215">
        <v>22</v>
      </c>
      <c r="AY91" s="213">
        <v>150</v>
      </c>
      <c r="AZ91" s="214">
        <v>22</v>
      </c>
      <c r="BA91" s="213">
        <v>50</v>
      </c>
      <c r="BB91" s="213">
        <f t="shared" ref="BB91" si="148">IF(AX91&gt;0,(AZ91-AX91+BD91)*BA91,0)</f>
        <v>0</v>
      </c>
      <c r="BC91" s="213">
        <f t="shared" ref="BC91" si="149">IF(AX91&gt;0,1100,0)</f>
        <v>1100</v>
      </c>
      <c r="BD91" s="215"/>
    </row>
    <row r="92" spans="1:56" s="356" customFormat="1" ht="36" customHeight="1" x14ac:dyDescent="0.25">
      <c r="A92" s="357"/>
      <c r="B92" s="358"/>
      <c r="C92" s="359" t="s">
        <v>102</v>
      </c>
      <c r="D92" s="360"/>
      <c r="E92" s="355">
        <f>ROUND(SUM(E72:E91),2)</f>
        <v>793440</v>
      </c>
      <c r="F92" s="355">
        <f t="shared" ref="F92:BD92" si="150">ROUND(SUM(F72:F91),2)</f>
        <v>2000</v>
      </c>
      <c r="G92" s="355">
        <f t="shared" si="150"/>
        <v>95212.800000000003</v>
      </c>
      <c r="H92" s="355">
        <f t="shared" si="150"/>
        <v>793440</v>
      </c>
      <c r="I92" s="355">
        <f t="shared" si="150"/>
        <v>40000</v>
      </c>
      <c r="J92" s="355">
        <f t="shared" si="150"/>
        <v>21850</v>
      </c>
      <c r="K92" s="355">
        <f t="shared" si="150"/>
        <v>3000</v>
      </c>
      <c r="L92" s="355">
        <f t="shared" si="150"/>
        <v>198360</v>
      </c>
      <c r="M92" s="355">
        <f>ROUND(SUM(M72:M91),2)</f>
        <v>1056650</v>
      </c>
      <c r="N92" s="355">
        <f t="shared" si="150"/>
        <v>206096.76</v>
      </c>
      <c r="O92" s="355">
        <f t="shared" si="150"/>
        <v>15868.8</v>
      </c>
      <c r="P92" s="355">
        <f t="shared" si="150"/>
        <v>71409.600000000006</v>
      </c>
      <c r="Q92" s="355">
        <f t="shared" si="150"/>
        <v>0</v>
      </c>
      <c r="R92" s="355">
        <f t="shared" si="150"/>
        <v>0</v>
      </c>
      <c r="S92" s="355">
        <f t="shared" si="150"/>
        <v>0</v>
      </c>
      <c r="T92" s="355">
        <f t="shared" si="150"/>
        <v>0</v>
      </c>
      <c r="U92" s="355">
        <f t="shared" si="150"/>
        <v>0</v>
      </c>
      <c r="V92" s="355">
        <f t="shared" si="150"/>
        <v>0</v>
      </c>
      <c r="W92" s="355">
        <f t="shared" si="150"/>
        <v>0</v>
      </c>
      <c r="X92" s="355">
        <f t="shared" si="150"/>
        <v>0</v>
      </c>
      <c r="Y92" s="355">
        <f t="shared" si="150"/>
        <v>0</v>
      </c>
      <c r="Z92" s="355">
        <f t="shared" si="150"/>
        <v>2000</v>
      </c>
      <c r="AA92" s="355">
        <f t="shared" si="150"/>
        <v>0</v>
      </c>
      <c r="AB92" s="355">
        <f t="shared" si="150"/>
        <v>0</v>
      </c>
      <c r="AC92" s="355">
        <f t="shared" si="150"/>
        <v>0</v>
      </c>
      <c r="AD92" s="355">
        <f t="shared" si="150"/>
        <v>0</v>
      </c>
      <c r="AE92" s="355">
        <f t="shared" si="150"/>
        <v>0</v>
      </c>
      <c r="AF92" s="355">
        <f t="shared" si="150"/>
        <v>0</v>
      </c>
      <c r="AG92" s="355">
        <f t="shared" si="150"/>
        <v>0</v>
      </c>
      <c r="AH92" s="355">
        <f t="shared" si="150"/>
        <v>0</v>
      </c>
      <c r="AI92" s="355">
        <f t="shared" si="150"/>
        <v>0</v>
      </c>
      <c r="AJ92" s="355">
        <f t="shared" si="150"/>
        <v>0</v>
      </c>
      <c r="AK92" s="355">
        <f t="shared" si="150"/>
        <v>0</v>
      </c>
      <c r="AL92" s="355">
        <f t="shared" si="150"/>
        <v>295375.15999999997</v>
      </c>
      <c r="AM92" s="355">
        <f t="shared" si="150"/>
        <v>761274.84</v>
      </c>
      <c r="AN92" s="355">
        <f t="shared" si="150"/>
        <v>0</v>
      </c>
      <c r="AO92" s="355">
        <f t="shared" si="150"/>
        <v>0</v>
      </c>
      <c r="AP92" s="355">
        <f t="shared" si="150"/>
        <v>0</v>
      </c>
      <c r="AQ92" s="355">
        <f t="shared" si="150"/>
        <v>0</v>
      </c>
      <c r="AR92" s="355">
        <f t="shared" si="150"/>
        <v>761274.84</v>
      </c>
      <c r="AS92" s="355">
        <f t="shared" si="150"/>
        <v>0</v>
      </c>
      <c r="AT92" s="355">
        <f t="shared" si="150"/>
        <v>0</v>
      </c>
      <c r="AU92" s="355">
        <f t="shared" si="150"/>
        <v>10909.8</v>
      </c>
      <c r="AV92" s="355">
        <f t="shared" si="150"/>
        <v>0</v>
      </c>
      <c r="AW92" s="355">
        <f t="shared" si="150"/>
        <v>0</v>
      </c>
      <c r="AX92" s="355">
        <f t="shared" si="150"/>
        <v>440</v>
      </c>
      <c r="AY92" s="355">
        <f t="shared" si="150"/>
        <v>3000</v>
      </c>
      <c r="AZ92" s="355">
        <f t="shared" si="150"/>
        <v>440</v>
      </c>
      <c r="BA92" s="355">
        <f t="shared" si="150"/>
        <v>1000</v>
      </c>
      <c r="BB92" s="355">
        <f t="shared" si="150"/>
        <v>150</v>
      </c>
      <c r="BC92" s="355">
        <f t="shared" si="150"/>
        <v>22000</v>
      </c>
      <c r="BD92" s="355">
        <f t="shared" si="150"/>
        <v>3</v>
      </c>
    </row>
    <row r="93" spans="1:56" s="217" customFormat="1" ht="36" customHeight="1" x14ac:dyDescent="0.25">
      <c r="A93" s="290"/>
      <c r="B93" s="210"/>
      <c r="C93" s="230" t="s">
        <v>334</v>
      </c>
      <c r="D93" s="200">
        <v>16</v>
      </c>
      <c r="E93" s="201">
        <v>39672</v>
      </c>
      <c r="F93" s="201">
        <f t="shared" ref="F93:F110" si="151">IF(H93&gt;0,100,0)</f>
        <v>0</v>
      </c>
      <c r="G93" s="201">
        <f t="shared" ref="G93:G110" si="152">+ROUND(H93*12%,2)</f>
        <v>0</v>
      </c>
      <c r="H93" s="202">
        <f t="shared" ref="H93:H110" si="153">ROUND(IF(AX93&gt;22,0,IF(AX93=22,E93,IF(AX93&lt;22,E93*(AX93/AZ93),IF(OR(AX93=0,AX93=" ")=TRUE,0)))),2)</f>
        <v>0</v>
      </c>
      <c r="I93" s="202">
        <f t="shared" ref="I93:I110" si="154">ROUND(IF(AND(H93&gt;0,AX93=22)=TRUE,2000,IF(AND(H93&gt;0,AX93&lt;22,AX93&gt;0)=TRUE,2000*(AX93/AZ93),IF(AX93&lt;0,0,0))),2)</f>
        <v>0</v>
      </c>
      <c r="J93" s="202">
        <f t="shared" ref="J93:J110" si="155">IF(H93&gt;0,BC93-BB93,0)</f>
        <v>0</v>
      </c>
      <c r="K93" s="202">
        <f t="shared" ref="K93:K110" si="156">IF(AND(H93&gt;0,AX93&gt;11)=TRUE,150,0)</f>
        <v>0</v>
      </c>
      <c r="L93" s="202">
        <f t="shared" ref="L93:L110" si="157">ROUND(IF(AND($H93&gt;0,AX93&gt;11)=TRUE,$AW93*$E93,0),2)</f>
        <v>0</v>
      </c>
      <c r="M93" s="202">
        <f t="shared" ref="M93:M110" si="158">ROUND(SUM(H93:L93),2)</f>
        <v>0</v>
      </c>
      <c r="N93" s="202"/>
      <c r="O93" s="202"/>
      <c r="P93" s="203">
        <f t="shared" ref="P93:P110" si="159">ROUND($H93*9%,2)</f>
        <v>0</v>
      </c>
      <c r="Q93" s="203"/>
      <c r="R93" s="203"/>
      <c r="S93" s="203"/>
      <c r="T93" s="203"/>
      <c r="U93" s="203"/>
      <c r="V93" s="203"/>
      <c r="W93" s="203"/>
      <c r="X93" s="203"/>
      <c r="Y93" s="203"/>
      <c r="Z93" s="203">
        <f t="shared" ref="Z93:Z110" si="160">ROUND(IF(H93&gt;0,100,0),2)</f>
        <v>0</v>
      </c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>
        <f t="shared" ref="AL93:AL110" si="161">SUM(N93:AK93)</f>
        <v>0</v>
      </c>
      <c r="AM93" s="204">
        <f t="shared" ref="AM93:AM110" si="162">ROUND(M93-AL93,2)</f>
        <v>0</v>
      </c>
      <c r="AN93" s="291" t="s">
        <v>466</v>
      </c>
      <c r="AO93" s="211"/>
      <c r="AP93" s="207"/>
      <c r="AQ93" s="212">
        <f t="shared" ref="AQ93:AQ110" si="163">SUM(AO93:AP93)</f>
        <v>0</v>
      </c>
      <c r="AR93" s="213">
        <f t="shared" ref="AR93:AR110" si="164">+AM93-AQ93</f>
        <v>0</v>
      </c>
      <c r="AS93" s="213"/>
      <c r="AT93" s="213"/>
      <c r="AU93" s="213">
        <f t="shared" ref="AU93:AU110" si="165">IF(E93=0,0,IF(E93&lt;=10000,137.5,IF(AND(E93&gt;10000,E93&lt;40000)=TRUE,E93*2.75%*50%,IF(E93&gt;=40000,550,0))))</f>
        <v>545.49</v>
      </c>
      <c r="AV93" s="214"/>
      <c r="AW93" s="214" t="str">
        <f t="shared" ref="AW93:AW110" si="166">IF(AND($D93&gt;=1,$D93&lt;=19)=TRUE,"25%",IF($D93=20,"15%",IF($D93=21,"13%",IF($D93=22,"12%",IF($D93=23,"11%",IF(OR($D93=24,$D93=25)=TRUE,"10%",IF($D93=26,"9%",IF($D93=27,"8%",IF($D93=28,"7%",IF(OR($D93=29,$D93=30)=TRUE,"6%",IF($D93=31,"5%","0%")))))))))))</f>
        <v>25%</v>
      </c>
      <c r="AX93" s="215"/>
      <c r="AY93" s="213">
        <v>150</v>
      </c>
      <c r="AZ93" s="214">
        <v>22</v>
      </c>
      <c r="BA93" s="213">
        <v>50</v>
      </c>
      <c r="BB93" s="213">
        <f t="shared" ref="BB93:BB110" si="167">IF(AX93&gt;0,(AZ93-AX93+BD93)*BA93,0)</f>
        <v>0</v>
      </c>
      <c r="BC93" s="213">
        <f t="shared" ref="BC93:BC110" si="168">IF(AX93&gt;0,1100,0)</f>
        <v>0</v>
      </c>
      <c r="BD93" s="215"/>
    </row>
    <row r="94" spans="1:56" s="217" customFormat="1" ht="36" customHeight="1" x14ac:dyDescent="0.25">
      <c r="A94" s="290">
        <v>81</v>
      </c>
      <c r="B94" s="210"/>
      <c r="C94" s="230" t="s">
        <v>335</v>
      </c>
      <c r="D94" s="200">
        <v>16</v>
      </c>
      <c r="E94" s="201">
        <v>39672</v>
      </c>
      <c r="F94" s="201">
        <f t="shared" si="151"/>
        <v>100</v>
      </c>
      <c r="G94" s="201">
        <f t="shared" si="152"/>
        <v>4760.6400000000003</v>
      </c>
      <c r="H94" s="202">
        <f t="shared" si="153"/>
        <v>39672</v>
      </c>
      <c r="I94" s="202">
        <f t="shared" si="154"/>
        <v>2000</v>
      </c>
      <c r="J94" s="202">
        <f t="shared" si="155"/>
        <v>1100</v>
      </c>
      <c r="K94" s="202">
        <f t="shared" si="156"/>
        <v>150</v>
      </c>
      <c r="L94" s="202">
        <f t="shared" si="157"/>
        <v>9918</v>
      </c>
      <c r="M94" s="202">
        <f t="shared" si="158"/>
        <v>52840</v>
      </c>
      <c r="N94" s="202">
        <v>11155.76</v>
      </c>
      <c r="O94" s="202">
        <f t="shared" ref="O94:O110" si="169">E94*0.04/2</f>
        <v>793.44</v>
      </c>
      <c r="P94" s="203">
        <f t="shared" si="159"/>
        <v>3570.48</v>
      </c>
      <c r="Q94" s="203"/>
      <c r="R94" s="203"/>
      <c r="S94" s="203"/>
      <c r="T94" s="203"/>
      <c r="U94" s="203"/>
      <c r="V94" s="203"/>
      <c r="W94" s="203"/>
      <c r="X94" s="203"/>
      <c r="Y94" s="203"/>
      <c r="Z94" s="203">
        <f t="shared" si="160"/>
        <v>100</v>
      </c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>
        <f t="shared" si="161"/>
        <v>15619.68</v>
      </c>
      <c r="AM94" s="204">
        <f t="shared" si="162"/>
        <v>37220.32</v>
      </c>
      <c r="AN94" s="291"/>
      <c r="AO94" s="211"/>
      <c r="AP94" s="207"/>
      <c r="AQ94" s="212">
        <f t="shared" si="163"/>
        <v>0</v>
      </c>
      <c r="AR94" s="213">
        <f t="shared" si="164"/>
        <v>37220.32</v>
      </c>
      <c r="AS94" s="213"/>
      <c r="AT94" s="213"/>
      <c r="AU94" s="213">
        <f t="shared" si="165"/>
        <v>545.49</v>
      </c>
      <c r="AV94" s="214"/>
      <c r="AW94" s="214" t="str">
        <f t="shared" si="166"/>
        <v>25%</v>
      </c>
      <c r="AX94" s="215">
        <v>22</v>
      </c>
      <c r="AY94" s="213">
        <v>150</v>
      </c>
      <c r="AZ94" s="214">
        <v>22</v>
      </c>
      <c r="BA94" s="213">
        <v>50</v>
      </c>
      <c r="BB94" s="213">
        <f t="shared" si="167"/>
        <v>0</v>
      </c>
      <c r="BC94" s="213">
        <f t="shared" si="168"/>
        <v>1100</v>
      </c>
      <c r="BD94" s="215"/>
    </row>
    <row r="95" spans="1:56" s="217" customFormat="1" ht="36" customHeight="1" x14ac:dyDescent="0.25">
      <c r="A95" s="290">
        <v>82</v>
      </c>
      <c r="B95" s="210"/>
      <c r="C95" s="230" t="s">
        <v>336</v>
      </c>
      <c r="D95" s="200">
        <v>16</v>
      </c>
      <c r="E95" s="201">
        <v>39672</v>
      </c>
      <c r="F95" s="201">
        <f t="shared" si="151"/>
        <v>100</v>
      </c>
      <c r="G95" s="201">
        <f t="shared" si="152"/>
        <v>4760.6400000000003</v>
      </c>
      <c r="H95" s="202">
        <f t="shared" si="153"/>
        <v>39672</v>
      </c>
      <c r="I95" s="202">
        <f t="shared" si="154"/>
        <v>2000</v>
      </c>
      <c r="J95" s="202">
        <f t="shared" si="155"/>
        <v>1100</v>
      </c>
      <c r="K95" s="202">
        <f t="shared" si="156"/>
        <v>150</v>
      </c>
      <c r="L95" s="202">
        <f t="shared" si="157"/>
        <v>9918</v>
      </c>
      <c r="M95" s="202">
        <f t="shared" si="158"/>
        <v>52840</v>
      </c>
      <c r="N95" s="202">
        <v>11355.76</v>
      </c>
      <c r="O95" s="202">
        <f t="shared" si="169"/>
        <v>793.44</v>
      </c>
      <c r="P95" s="203">
        <f t="shared" si="159"/>
        <v>3570.48</v>
      </c>
      <c r="Q95" s="203"/>
      <c r="R95" s="203"/>
      <c r="S95" s="203"/>
      <c r="T95" s="203"/>
      <c r="U95" s="203"/>
      <c r="V95" s="203"/>
      <c r="W95" s="203"/>
      <c r="X95" s="203"/>
      <c r="Y95" s="203"/>
      <c r="Z95" s="203">
        <f t="shared" si="160"/>
        <v>100</v>
      </c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>
        <f t="shared" si="161"/>
        <v>15819.68</v>
      </c>
      <c r="AM95" s="204">
        <f t="shared" si="162"/>
        <v>37020.32</v>
      </c>
      <c r="AN95" s="291"/>
      <c r="AO95" s="211"/>
      <c r="AP95" s="207"/>
      <c r="AQ95" s="212">
        <f t="shared" si="163"/>
        <v>0</v>
      </c>
      <c r="AR95" s="213">
        <f t="shared" si="164"/>
        <v>37020.32</v>
      </c>
      <c r="AS95" s="213"/>
      <c r="AT95" s="213"/>
      <c r="AU95" s="213">
        <f t="shared" si="165"/>
        <v>545.49</v>
      </c>
      <c r="AV95" s="214"/>
      <c r="AW95" s="214" t="str">
        <f t="shared" si="166"/>
        <v>25%</v>
      </c>
      <c r="AX95" s="215">
        <v>22</v>
      </c>
      <c r="AY95" s="213">
        <v>150</v>
      </c>
      <c r="AZ95" s="214">
        <v>22</v>
      </c>
      <c r="BA95" s="213">
        <v>50</v>
      </c>
      <c r="BB95" s="213">
        <f t="shared" si="167"/>
        <v>0</v>
      </c>
      <c r="BC95" s="213">
        <f t="shared" si="168"/>
        <v>1100</v>
      </c>
      <c r="BD95" s="215"/>
    </row>
    <row r="96" spans="1:56" s="217" customFormat="1" ht="36" customHeight="1" x14ac:dyDescent="0.25">
      <c r="A96" s="290">
        <v>83</v>
      </c>
      <c r="B96" s="210"/>
      <c r="C96" s="230" t="s">
        <v>337</v>
      </c>
      <c r="D96" s="200">
        <v>16</v>
      </c>
      <c r="E96" s="201">
        <v>39672</v>
      </c>
      <c r="F96" s="201">
        <f t="shared" si="151"/>
        <v>100</v>
      </c>
      <c r="G96" s="201">
        <f t="shared" si="152"/>
        <v>4760.6400000000003</v>
      </c>
      <c r="H96" s="202">
        <f t="shared" si="153"/>
        <v>39672</v>
      </c>
      <c r="I96" s="202">
        <f t="shared" si="154"/>
        <v>2000</v>
      </c>
      <c r="J96" s="202">
        <f t="shared" si="155"/>
        <v>1100</v>
      </c>
      <c r="K96" s="202">
        <f t="shared" si="156"/>
        <v>150</v>
      </c>
      <c r="L96" s="202">
        <f t="shared" si="157"/>
        <v>9918</v>
      </c>
      <c r="M96" s="202">
        <f t="shared" si="158"/>
        <v>52840</v>
      </c>
      <c r="N96" s="202">
        <v>11155.76</v>
      </c>
      <c r="O96" s="202">
        <f t="shared" si="169"/>
        <v>793.44</v>
      </c>
      <c r="P96" s="203">
        <f t="shared" si="159"/>
        <v>3570.48</v>
      </c>
      <c r="Q96" s="203"/>
      <c r="R96" s="203"/>
      <c r="S96" s="203"/>
      <c r="T96" s="203"/>
      <c r="U96" s="203"/>
      <c r="V96" s="203"/>
      <c r="W96" s="203"/>
      <c r="X96" s="203"/>
      <c r="Y96" s="203"/>
      <c r="Z96" s="203">
        <f t="shared" si="160"/>
        <v>100</v>
      </c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>
        <f t="shared" si="161"/>
        <v>15619.68</v>
      </c>
      <c r="AM96" s="204">
        <f t="shared" si="162"/>
        <v>37220.32</v>
      </c>
      <c r="AN96" s="291"/>
      <c r="AO96" s="211"/>
      <c r="AP96" s="207"/>
      <c r="AQ96" s="212">
        <f t="shared" si="163"/>
        <v>0</v>
      </c>
      <c r="AR96" s="213">
        <f t="shared" si="164"/>
        <v>37220.32</v>
      </c>
      <c r="AS96" s="213"/>
      <c r="AT96" s="213"/>
      <c r="AU96" s="213">
        <f t="shared" si="165"/>
        <v>545.49</v>
      </c>
      <c r="AV96" s="214"/>
      <c r="AW96" s="214" t="str">
        <f t="shared" si="166"/>
        <v>25%</v>
      </c>
      <c r="AX96" s="215">
        <v>22</v>
      </c>
      <c r="AY96" s="213">
        <v>150</v>
      </c>
      <c r="AZ96" s="214">
        <v>22</v>
      </c>
      <c r="BA96" s="213">
        <v>50</v>
      </c>
      <c r="BB96" s="213">
        <f t="shared" si="167"/>
        <v>0</v>
      </c>
      <c r="BC96" s="213">
        <f t="shared" si="168"/>
        <v>1100</v>
      </c>
      <c r="BD96" s="215"/>
    </row>
    <row r="97" spans="1:57" s="217" customFormat="1" ht="36" customHeight="1" x14ac:dyDescent="0.25">
      <c r="A97" s="290">
        <v>84</v>
      </c>
      <c r="B97" s="210"/>
      <c r="C97" s="230" t="s">
        <v>338</v>
      </c>
      <c r="D97" s="200">
        <v>16</v>
      </c>
      <c r="E97" s="201">
        <v>39672</v>
      </c>
      <c r="F97" s="201">
        <f t="shared" si="151"/>
        <v>100</v>
      </c>
      <c r="G97" s="201">
        <f t="shared" si="152"/>
        <v>4760.6400000000003</v>
      </c>
      <c r="H97" s="202">
        <f t="shared" si="153"/>
        <v>39672</v>
      </c>
      <c r="I97" s="202">
        <f t="shared" si="154"/>
        <v>2000</v>
      </c>
      <c r="J97" s="202">
        <f t="shared" si="155"/>
        <v>1100</v>
      </c>
      <c r="K97" s="202">
        <f t="shared" si="156"/>
        <v>150</v>
      </c>
      <c r="L97" s="202">
        <f t="shared" si="157"/>
        <v>9918</v>
      </c>
      <c r="M97" s="202">
        <f t="shared" si="158"/>
        <v>52840</v>
      </c>
      <c r="N97" s="202">
        <v>11355.76</v>
      </c>
      <c r="O97" s="202">
        <f t="shared" si="169"/>
        <v>793.44</v>
      </c>
      <c r="P97" s="203">
        <f t="shared" si="159"/>
        <v>3570.48</v>
      </c>
      <c r="Q97" s="203"/>
      <c r="R97" s="203"/>
      <c r="S97" s="203"/>
      <c r="T97" s="203"/>
      <c r="U97" s="203"/>
      <c r="V97" s="203"/>
      <c r="W97" s="203"/>
      <c r="X97" s="203"/>
      <c r="Y97" s="203"/>
      <c r="Z97" s="203">
        <f t="shared" si="160"/>
        <v>100</v>
      </c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>
        <f t="shared" si="161"/>
        <v>15819.68</v>
      </c>
      <c r="AM97" s="204">
        <f t="shared" si="162"/>
        <v>37020.32</v>
      </c>
      <c r="AN97" s="291"/>
      <c r="AO97" s="211"/>
      <c r="AP97" s="207"/>
      <c r="AQ97" s="212">
        <f t="shared" si="163"/>
        <v>0</v>
      </c>
      <c r="AR97" s="213">
        <f t="shared" si="164"/>
        <v>37020.32</v>
      </c>
      <c r="AS97" s="213"/>
      <c r="AT97" s="213"/>
      <c r="AU97" s="213">
        <f t="shared" si="165"/>
        <v>545.49</v>
      </c>
      <c r="AV97" s="214"/>
      <c r="AW97" s="214" t="str">
        <f t="shared" si="166"/>
        <v>25%</v>
      </c>
      <c r="AX97" s="215">
        <v>22</v>
      </c>
      <c r="AY97" s="213">
        <v>150</v>
      </c>
      <c r="AZ97" s="214">
        <v>22</v>
      </c>
      <c r="BA97" s="213">
        <v>50</v>
      </c>
      <c r="BB97" s="213">
        <f t="shared" si="167"/>
        <v>0</v>
      </c>
      <c r="BC97" s="213">
        <f t="shared" si="168"/>
        <v>1100</v>
      </c>
      <c r="BD97" s="215"/>
    </row>
    <row r="98" spans="1:57" s="217" customFormat="1" ht="36" customHeight="1" x14ac:dyDescent="0.25">
      <c r="A98" s="290">
        <v>85</v>
      </c>
      <c r="B98" s="210"/>
      <c r="C98" s="248" t="s">
        <v>339</v>
      </c>
      <c r="D98" s="200">
        <v>16</v>
      </c>
      <c r="E98" s="201">
        <v>39672</v>
      </c>
      <c r="F98" s="201">
        <f t="shared" si="151"/>
        <v>100</v>
      </c>
      <c r="G98" s="201">
        <f t="shared" si="152"/>
        <v>4760.6400000000003</v>
      </c>
      <c r="H98" s="202">
        <f t="shared" si="153"/>
        <v>39672</v>
      </c>
      <c r="I98" s="202">
        <f t="shared" si="154"/>
        <v>2000</v>
      </c>
      <c r="J98" s="202">
        <f t="shared" si="155"/>
        <v>1100</v>
      </c>
      <c r="K98" s="202">
        <f t="shared" si="156"/>
        <v>150</v>
      </c>
      <c r="L98" s="202">
        <f t="shared" si="157"/>
        <v>9918</v>
      </c>
      <c r="M98" s="202">
        <f t="shared" si="158"/>
        <v>52840</v>
      </c>
      <c r="N98" s="202">
        <v>11355.76</v>
      </c>
      <c r="O98" s="202">
        <f t="shared" si="169"/>
        <v>793.44</v>
      </c>
      <c r="P98" s="203">
        <f t="shared" si="159"/>
        <v>3570.48</v>
      </c>
      <c r="Q98" s="203"/>
      <c r="R98" s="203"/>
      <c r="S98" s="203"/>
      <c r="T98" s="203"/>
      <c r="U98" s="203"/>
      <c r="V98" s="203"/>
      <c r="W98" s="203"/>
      <c r="X98" s="203"/>
      <c r="Y98" s="203"/>
      <c r="Z98" s="203">
        <f t="shared" si="160"/>
        <v>100</v>
      </c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>
        <f t="shared" si="161"/>
        <v>15819.68</v>
      </c>
      <c r="AM98" s="204">
        <f t="shared" si="162"/>
        <v>37020.32</v>
      </c>
      <c r="AN98" s="291"/>
      <c r="AO98" s="211"/>
      <c r="AP98" s="207"/>
      <c r="AQ98" s="212">
        <f t="shared" si="163"/>
        <v>0</v>
      </c>
      <c r="AR98" s="213">
        <f t="shared" si="164"/>
        <v>37020.32</v>
      </c>
      <c r="AS98" s="213"/>
      <c r="AT98" s="213"/>
      <c r="AU98" s="213">
        <f t="shared" si="165"/>
        <v>545.49</v>
      </c>
      <c r="AV98" s="214"/>
      <c r="AW98" s="214" t="str">
        <f t="shared" si="166"/>
        <v>25%</v>
      </c>
      <c r="AX98" s="215">
        <v>22</v>
      </c>
      <c r="AY98" s="213">
        <v>150</v>
      </c>
      <c r="AZ98" s="214">
        <v>22</v>
      </c>
      <c r="BA98" s="213">
        <v>50</v>
      </c>
      <c r="BB98" s="213">
        <f t="shared" si="167"/>
        <v>0</v>
      </c>
      <c r="BC98" s="213">
        <f t="shared" si="168"/>
        <v>1100</v>
      </c>
      <c r="BD98" s="215"/>
    </row>
    <row r="99" spans="1:57" s="217" customFormat="1" ht="35.25" customHeight="1" x14ac:dyDescent="0.25">
      <c r="A99" s="290">
        <v>86</v>
      </c>
      <c r="B99" s="210"/>
      <c r="C99" s="230" t="s">
        <v>340</v>
      </c>
      <c r="D99" s="200">
        <v>16</v>
      </c>
      <c r="E99" s="201">
        <v>39672</v>
      </c>
      <c r="F99" s="201">
        <f t="shared" si="151"/>
        <v>100</v>
      </c>
      <c r="G99" s="201">
        <f t="shared" si="152"/>
        <v>4760.6400000000003</v>
      </c>
      <c r="H99" s="202">
        <f t="shared" si="153"/>
        <v>39672</v>
      </c>
      <c r="I99" s="202">
        <f t="shared" si="154"/>
        <v>2000</v>
      </c>
      <c r="J99" s="202">
        <f t="shared" si="155"/>
        <v>1100</v>
      </c>
      <c r="K99" s="202">
        <f t="shared" si="156"/>
        <v>150</v>
      </c>
      <c r="L99" s="202">
        <f t="shared" si="157"/>
        <v>9918</v>
      </c>
      <c r="M99" s="202">
        <f t="shared" si="158"/>
        <v>52840</v>
      </c>
      <c r="N99" s="202">
        <v>11355.76</v>
      </c>
      <c r="O99" s="202">
        <f t="shared" si="169"/>
        <v>793.44</v>
      </c>
      <c r="P99" s="203">
        <f t="shared" si="159"/>
        <v>3570.48</v>
      </c>
      <c r="Q99" s="203"/>
      <c r="R99" s="203"/>
      <c r="S99" s="203"/>
      <c r="T99" s="203"/>
      <c r="U99" s="203"/>
      <c r="V99" s="203"/>
      <c r="W99" s="203"/>
      <c r="X99" s="203"/>
      <c r="Y99" s="203"/>
      <c r="Z99" s="203">
        <f t="shared" si="160"/>
        <v>100</v>
      </c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>
        <f t="shared" si="161"/>
        <v>15819.68</v>
      </c>
      <c r="AM99" s="204">
        <f t="shared" si="162"/>
        <v>37020.32</v>
      </c>
      <c r="AN99" s="291"/>
      <c r="AO99" s="211"/>
      <c r="AP99" s="207"/>
      <c r="AQ99" s="212">
        <f t="shared" si="163"/>
        <v>0</v>
      </c>
      <c r="AR99" s="213">
        <f t="shared" si="164"/>
        <v>37020.32</v>
      </c>
      <c r="AS99" s="213"/>
      <c r="AT99" s="213"/>
      <c r="AU99" s="213">
        <f t="shared" si="165"/>
        <v>545.49</v>
      </c>
      <c r="AV99" s="214"/>
      <c r="AW99" s="214" t="str">
        <f t="shared" si="166"/>
        <v>25%</v>
      </c>
      <c r="AX99" s="215">
        <v>22</v>
      </c>
      <c r="AY99" s="213">
        <v>150</v>
      </c>
      <c r="AZ99" s="214">
        <v>22</v>
      </c>
      <c r="BA99" s="213">
        <v>50</v>
      </c>
      <c r="BB99" s="213">
        <f t="shared" si="167"/>
        <v>0</v>
      </c>
      <c r="BC99" s="213">
        <f t="shared" si="168"/>
        <v>1100</v>
      </c>
      <c r="BD99" s="215"/>
      <c r="BE99" s="216"/>
    </row>
    <row r="100" spans="1:57" s="217" customFormat="1" ht="36" customHeight="1" x14ac:dyDescent="0.25">
      <c r="A100" s="290">
        <v>87</v>
      </c>
      <c r="B100" s="210"/>
      <c r="C100" s="230" t="s">
        <v>341</v>
      </c>
      <c r="D100" s="200">
        <v>16</v>
      </c>
      <c r="E100" s="201">
        <v>39672</v>
      </c>
      <c r="F100" s="201">
        <f t="shared" si="151"/>
        <v>100</v>
      </c>
      <c r="G100" s="201">
        <f t="shared" si="152"/>
        <v>4760.6400000000003</v>
      </c>
      <c r="H100" s="202">
        <f t="shared" si="153"/>
        <v>39672</v>
      </c>
      <c r="I100" s="202">
        <f t="shared" si="154"/>
        <v>2000</v>
      </c>
      <c r="J100" s="202">
        <f t="shared" si="155"/>
        <v>1100</v>
      </c>
      <c r="K100" s="202">
        <f t="shared" si="156"/>
        <v>150</v>
      </c>
      <c r="L100" s="202">
        <f t="shared" si="157"/>
        <v>9918</v>
      </c>
      <c r="M100" s="202">
        <f t="shared" si="158"/>
        <v>52840</v>
      </c>
      <c r="N100" s="202">
        <v>11355.76</v>
      </c>
      <c r="O100" s="202">
        <f t="shared" si="169"/>
        <v>793.44</v>
      </c>
      <c r="P100" s="203">
        <f t="shared" si="159"/>
        <v>3570.48</v>
      </c>
      <c r="Q100" s="203"/>
      <c r="R100" s="203"/>
      <c r="S100" s="203"/>
      <c r="T100" s="203"/>
      <c r="U100" s="203"/>
      <c r="V100" s="203"/>
      <c r="W100" s="203"/>
      <c r="X100" s="203"/>
      <c r="Y100" s="203"/>
      <c r="Z100" s="203">
        <f t="shared" si="160"/>
        <v>100</v>
      </c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>
        <f t="shared" si="161"/>
        <v>15819.68</v>
      </c>
      <c r="AM100" s="204">
        <f t="shared" si="162"/>
        <v>37020.32</v>
      </c>
      <c r="AN100" s="291"/>
      <c r="AO100" s="211"/>
      <c r="AP100" s="207"/>
      <c r="AQ100" s="212">
        <f t="shared" si="163"/>
        <v>0</v>
      </c>
      <c r="AR100" s="213">
        <f t="shared" si="164"/>
        <v>37020.32</v>
      </c>
      <c r="AS100" s="213"/>
      <c r="AT100" s="213"/>
      <c r="AU100" s="213">
        <f t="shared" si="165"/>
        <v>545.49</v>
      </c>
      <c r="AV100" s="214"/>
      <c r="AW100" s="214" t="str">
        <f t="shared" si="166"/>
        <v>25%</v>
      </c>
      <c r="AX100" s="215">
        <v>22</v>
      </c>
      <c r="AY100" s="213">
        <v>150</v>
      </c>
      <c r="AZ100" s="214">
        <v>22</v>
      </c>
      <c r="BA100" s="213">
        <v>50</v>
      </c>
      <c r="BB100" s="213">
        <f t="shared" si="167"/>
        <v>0</v>
      </c>
      <c r="BC100" s="213">
        <f t="shared" si="168"/>
        <v>1100</v>
      </c>
      <c r="BD100" s="215"/>
    </row>
    <row r="101" spans="1:57" s="217" customFormat="1" ht="36.75" customHeight="1" x14ac:dyDescent="0.25">
      <c r="A101" s="290">
        <v>88</v>
      </c>
      <c r="B101" s="210"/>
      <c r="C101" s="230" t="s">
        <v>342</v>
      </c>
      <c r="D101" s="200">
        <v>16</v>
      </c>
      <c r="E101" s="201">
        <v>39672</v>
      </c>
      <c r="F101" s="201">
        <f t="shared" si="151"/>
        <v>100</v>
      </c>
      <c r="G101" s="201">
        <f t="shared" si="152"/>
        <v>4760.6400000000003</v>
      </c>
      <c r="H101" s="202">
        <f t="shared" si="153"/>
        <v>39672</v>
      </c>
      <c r="I101" s="202">
        <f t="shared" si="154"/>
        <v>2000</v>
      </c>
      <c r="J101" s="202">
        <f t="shared" si="155"/>
        <v>1100</v>
      </c>
      <c r="K101" s="202">
        <f t="shared" si="156"/>
        <v>150</v>
      </c>
      <c r="L101" s="202">
        <f t="shared" si="157"/>
        <v>9918</v>
      </c>
      <c r="M101" s="202">
        <f t="shared" si="158"/>
        <v>52840</v>
      </c>
      <c r="N101" s="202">
        <v>11355.76</v>
      </c>
      <c r="O101" s="202">
        <f t="shared" si="169"/>
        <v>793.44</v>
      </c>
      <c r="P101" s="203">
        <f t="shared" si="159"/>
        <v>3570.48</v>
      </c>
      <c r="Q101" s="203"/>
      <c r="R101" s="203"/>
      <c r="S101" s="203"/>
      <c r="T101" s="203"/>
      <c r="U101" s="203"/>
      <c r="V101" s="203"/>
      <c r="W101" s="203"/>
      <c r="X101" s="203"/>
      <c r="Y101" s="203"/>
      <c r="Z101" s="203">
        <f t="shared" si="160"/>
        <v>100</v>
      </c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>
        <f t="shared" si="161"/>
        <v>15819.68</v>
      </c>
      <c r="AM101" s="204">
        <f t="shared" si="162"/>
        <v>37020.32</v>
      </c>
      <c r="AN101" s="291"/>
      <c r="AO101" s="211"/>
      <c r="AP101" s="207"/>
      <c r="AQ101" s="212">
        <f t="shared" si="163"/>
        <v>0</v>
      </c>
      <c r="AR101" s="213">
        <f t="shared" si="164"/>
        <v>37020.32</v>
      </c>
      <c r="AS101" s="213"/>
      <c r="AT101" s="213"/>
      <c r="AU101" s="213">
        <f t="shared" si="165"/>
        <v>545.49</v>
      </c>
      <c r="AV101" s="214"/>
      <c r="AW101" s="214" t="str">
        <f t="shared" si="166"/>
        <v>25%</v>
      </c>
      <c r="AX101" s="215">
        <v>22</v>
      </c>
      <c r="AY101" s="213">
        <v>150</v>
      </c>
      <c r="AZ101" s="214">
        <v>22</v>
      </c>
      <c r="BA101" s="213">
        <v>50</v>
      </c>
      <c r="BB101" s="213">
        <f t="shared" si="167"/>
        <v>0</v>
      </c>
      <c r="BC101" s="213">
        <f t="shared" si="168"/>
        <v>1100</v>
      </c>
      <c r="BD101" s="215"/>
    </row>
    <row r="102" spans="1:57" s="217" customFormat="1" ht="36.75" customHeight="1" x14ac:dyDescent="0.25">
      <c r="A102" s="290">
        <v>89</v>
      </c>
      <c r="B102" s="210"/>
      <c r="C102" s="230" t="s">
        <v>343</v>
      </c>
      <c r="D102" s="200">
        <v>16</v>
      </c>
      <c r="E102" s="201">
        <v>39672</v>
      </c>
      <c r="F102" s="201">
        <f t="shared" si="151"/>
        <v>100</v>
      </c>
      <c r="G102" s="201">
        <f t="shared" si="152"/>
        <v>4760.6400000000003</v>
      </c>
      <c r="H102" s="202">
        <f t="shared" si="153"/>
        <v>39672</v>
      </c>
      <c r="I102" s="202">
        <f t="shared" si="154"/>
        <v>2000</v>
      </c>
      <c r="J102" s="202">
        <f t="shared" si="155"/>
        <v>1100</v>
      </c>
      <c r="K102" s="202">
        <f t="shared" si="156"/>
        <v>150</v>
      </c>
      <c r="L102" s="202">
        <f t="shared" si="157"/>
        <v>9918</v>
      </c>
      <c r="M102" s="202">
        <f t="shared" si="158"/>
        <v>52840</v>
      </c>
      <c r="N102" s="202">
        <v>11468.3</v>
      </c>
      <c r="O102" s="202">
        <f t="shared" si="169"/>
        <v>793.44</v>
      </c>
      <c r="P102" s="203">
        <f t="shared" si="159"/>
        <v>3570.48</v>
      </c>
      <c r="Q102" s="203"/>
      <c r="R102" s="203"/>
      <c r="S102" s="203"/>
      <c r="T102" s="203"/>
      <c r="U102" s="203"/>
      <c r="V102" s="203"/>
      <c r="W102" s="203"/>
      <c r="X102" s="203"/>
      <c r="Y102" s="203"/>
      <c r="Z102" s="203">
        <f t="shared" si="160"/>
        <v>100</v>
      </c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>
        <f t="shared" si="161"/>
        <v>15932.22</v>
      </c>
      <c r="AM102" s="204">
        <f t="shared" si="162"/>
        <v>36907.78</v>
      </c>
      <c r="AN102" s="291"/>
      <c r="AO102" s="211"/>
      <c r="AP102" s="207"/>
      <c r="AQ102" s="212">
        <f t="shared" si="163"/>
        <v>0</v>
      </c>
      <c r="AR102" s="213">
        <f t="shared" si="164"/>
        <v>36907.78</v>
      </c>
      <c r="AS102" s="213"/>
      <c r="AT102" s="213"/>
      <c r="AU102" s="213">
        <f t="shared" si="165"/>
        <v>545.49</v>
      </c>
      <c r="AV102" s="214"/>
      <c r="AW102" s="214" t="str">
        <f t="shared" si="166"/>
        <v>25%</v>
      </c>
      <c r="AX102" s="215">
        <v>22</v>
      </c>
      <c r="AY102" s="213">
        <v>150</v>
      </c>
      <c r="AZ102" s="214">
        <v>22</v>
      </c>
      <c r="BA102" s="213">
        <v>50</v>
      </c>
      <c r="BB102" s="213">
        <f t="shared" si="167"/>
        <v>0</v>
      </c>
      <c r="BC102" s="213">
        <f t="shared" si="168"/>
        <v>1100</v>
      </c>
      <c r="BD102" s="215"/>
    </row>
    <row r="103" spans="1:57" s="217" customFormat="1" ht="36.75" customHeight="1" x14ac:dyDescent="0.25">
      <c r="A103" s="290">
        <v>90</v>
      </c>
      <c r="B103" s="210"/>
      <c r="C103" s="230" t="s">
        <v>344</v>
      </c>
      <c r="D103" s="200">
        <v>16</v>
      </c>
      <c r="E103" s="201">
        <v>39672</v>
      </c>
      <c r="F103" s="201">
        <f t="shared" si="151"/>
        <v>100</v>
      </c>
      <c r="G103" s="201">
        <f t="shared" si="152"/>
        <v>4760.6400000000003</v>
      </c>
      <c r="H103" s="202">
        <f t="shared" si="153"/>
        <v>39672</v>
      </c>
      <c r="I103" s="202">
        <f t="shared" si="154"/>
        <v>2000</v>
      </c>
      <c r="J103" s="202">
        <f t="shared" si="155"/>
        <v>1100</v>
      </c>
      <c r="K103" s="202">
        <f t="shared" si="156"/>
        <v>150</v>
      </c>
      <c r="L103" s="202">
        <f t="shared" si="157"/>
        <v>9918</v>
      </c>
      <c r="M103" s="202">
        <f t="shared" si="158"/>
        <v>52840</v>
      </c>
      <c r="N103" s="202">
        <v>11355.76</v>
      </c>
      <c r="O103" s="202">
        <f t="shared" si="169"/>
        <v>793.44</v>
      </c>
      <c r="P103" s="203">
        <f t="shared" si="159"/>
        <v>3570.48</v>
      </c>
      <c r="Q103" s="203"/>
      <c r="R103" s="203"/>
      <c r="S103" s="203"/>
      <c r="T103" s="203"/>
      <c r="U103" s="203"/>
      <c r="V103" s="203"/>
      <c r="W103" s="203"/>
      <c r="X103" s="203"/>
      <c r="Y103" s="203"/>
      <c r="Z103" s="203">
        <f t="shared" si="160"/>
        <v>100</v>
      </c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>
        <f t="shared" si="161"/>
        <v>15819.68</v>
      </c>
      <c r="AM103" s="204">
        <f t="shared" si="162"/>
        <v>37020.32</v>
      </c>
      <c r="AN103" s="291"/>
      <c r="AO103" s="211"/>
      <c r="AP103" s="207"/>
      <c r="AQ103" s="212">
        <f t="shared" si="163"/>
        <v>0</v>
      </c>
      <c r="AR103" s="213">
        <f t="shared" si="164"/>
        <v>37020.32</v>
      </c>
      <c r="AS103" s="213"/>
      <c r="AT103" s="213"/>
      <c r="AU103" s="213">
        <f t="shared" si="165"/>
        <v>545.49</v>
      </c>
      <c r="AV103" s="214"/>
      <c r="AW103" s="214" t="str">
        <f t="shared" si="166"/>
        <v>25%</v>
      </c>
      <c r="AX103" s="215">
        <v>22</v>
      </c>
      <c r="AY103" s="213">
        <v>150</v>
      </c>
      <c r="AZ103" s="214">
        <v>22</v>
      </c>
      <c r="BA103" s="213">
        <v>50</v>
      </c>
      <c r="BB103" s="213">
        <f t="shared" si="167"/>
        <v>0</v>
      </c>
      <c r="BC103" s="213">
        <f t="shared" si="168"/>
        <v>1100</v>
      </c>
      <c r="BD103" s="215"/>
    </row>
    <row r="104" spans="1:57" s="217" customFormat="1" ht="36.75" customHeight="1" x14ac:dyDescent="0.25">
      <c r="A104" s="290">
        <v>91</v>
      </c>
      <c r="B104" s="210"/>
      <c r="C104" s="230" t="s">
        <v>345</v>
      </c>
      <c r="D104" s="200">
        <v>16</v>
      </c>
      <c r="E104" s="201">
        <v>39672</v>
      </c>
      <c r="F104" s="201">
        <f t="shared" si="151"/>
        <v>100</v>
      </c>
      <c r="G104" s="201">
        <f t="shared" si="152"/>
        <v>4760.6400000000003</v>
      </c>
      <c r="H104" s="202">
        <f t="shared" si="153"/>
        <v>39672</v>
      </c>
      <c r="I104" s="202">
        <f t="shared" si="154"/>
        <v>2000</v>
      </c>
      <c r="J104" s="202">
        <f t="shared" si="155"/>
        <v>1100</v>
      </c>
      <c r="K104" s="202">
        <f t="shared" si="156"/>
        <v>150</v>
      </c>
      <c r="L104" s="202">
        <f t="shared" si="157"/>
        <v>9918</v>
      </c>
      <c r="M104" s="202">
        <f t="shared" si="158"/>
        <v>52840</v>
      </c>
      <c r="N104" s="202">
        <v>8827.6299999999992</v>
      </c>
      <c r="O104" s="202">
        <f t="shared" si="169"/>
        <v>793.44</v>
      </c>
      <c r="P104" s="203">
        <f t="shared" si="159"/>
        <v>3570.48</v>
      </c>
      <c r="Q104" s="203"/>
      <c r="R104" s="203"/>
      <c r="S104" s="203"/>
      <c r="T104" s="203"/>
      <c r="U104" s="203"/>
      <c r="V104" s="203"/>
      <c r="W104" s="203"/>
      <c r="X104" s="203"/>
      <c r="Y104" s="203"/>
      <c r="Z104" s="203">
        <f t="shared" si="160"/>
        <v>100</v>
      </c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>
        <f t="shared" si="161"/>
        <v>13291.55</v>
      </c>
      <c r="AM104" s="204">
        <f t="shared" si="162"/>
        <v>39548.449999999997</v>
      </c>
      <c r="AN104" s="291"/>
      <c r="AO104" s="211"/>
      <c r="AP104" s="207"/>
      <c r="AQ104" s="212">
        <f t="shared" si="163"/>
        <v>0</v>
      </c>
      <c r="AR104" s="213">
        <f t="shared" si="164"/>
        <v>39548.449999999997</v>
      </c>
      <c r="AS104" s="213"/>
      <c r="AT104" s="213"/>
      <c r="AU104" s="213">
        <f t="shared" si="165"/>
        <v>545.49</v>
      </c>
      <c r="AV104" s="214"/>
      <c r="AW104" s="214" t="str">
        <f t="shared" si="166"/>
        <v>25%</v>
      </c>
      <c r="AX104" s="215">
        <v>22</v>
      </c>
      <c r="AY104" s="213">
        <v>150</v>
      </c>
      <c r="AZ104" s="214">
        <v>22</v>
      </c>
      <c r="BA104" s="213">
        <v>50</v>
      </c>
      <c r="BB104" s="213">
        <f t="shared" si="167"/>
        <v>0</v>
      </c>
      <c r="BC104" s="213">
        <f t="shared" si="168"/>
        <v>1100</v>
      </c>
      <c r="BD104" s="215"/>
    </row>
    <row r="105" spans="1:57" s="217" customFormat="1" ht="36.75" customHeight="1" x14ac:dyDescent="0.25">
      <c r="A105" s="290">
        <v>92</v>
      </c>
      <c r="B105" s="210"/>
      <c r="C105" s="230" t="s">
        <v>346</v>
      </c>
      <c r="D105" s="200">
        <v>16</v>
      </c>
      <c r="E105" s="201">
        <v>39672</v>
      </c>
      <c r="F105" s="201">
        <f t="shared" si="151"/>
        <v>100</v>
      </c>
      <c r="G105" s="201">
        <f t="shared" si="152"/>
        <v>4760.6400000000003</v>
      </c>
      <c r="H105" s="202">
        <f t="shared" si="153"/>
        <v>39672</v>
      </c>
      <c r="I105" s="202">
        <f t="shared" si="154"/>
        <v>2000</v>
      </c>
      <c r="J105" s="202">
        <f t="shared" si="155"/>
        <v>1100</v>
      </c>
      <c r="K105" s="202">
        <f t="shared" si="156"/>
        <v>150</v>
      </c>
      <c r="L105" s="202">
        <f t="shared" si="157"/>
        <v>9918</v>
      </c>
      <c r="M105" s="202">
        <f t="shared" si="158"/>
        <v>52840</v>
      </c>
      <c r="N105" s="202">
        <v>11180.76</v>
      </c>
      <c r="O105" s="202">
        <f t="shared" si="169"/>
        <v>793.44</v>
      </c>
      <c r="P105" s="203">
        <f t="shared" si="159"/>
        <v>3570.48</v>
      </c>
      <c r="Q105" s="203"/>
      <c r="R105" s="203"/>
      <c r="S105" s="203"/>
      <c r="T105" s="203"/>
      <c r="U105" s="203"/>
      <c r="V105" s="203"/>
      <c r="W105" s="203"/>
      <c r="X105" s="203"/>
      <c r="Y105" s="203"/>
      <c r="Z105" s="203">
        <f t="shared" si="160"/>
        <v>100</v>
      </c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>
        <f t="shared" si="161"/>
        <v>15644.68</v>
      </c>
      <c r="AM105" s="204">
        <f t="shared" si="162"/>
        <v>37195.32</v>
      </c>
      <c r="AN105" s="291"/>
      <c r="AO105" s="211"/>
      <c r="AP105" s="207"/>
      <c r="AQ105" s="212">
        <f t="shared" si="163"/>
        <v>0</v>
      </c>
      <c r="AR105" s="213">
        <f t="shared" si="164"/>
        <v>37195.32</v>
      </c>
      <c r="AS105" s="213"/>
      <c r="AT105" s="213"/>
      <c r="AU105" s="213">
        <f t="shared" si="165"/>
        <v>545.49</v>
      </c>
      <c r="AV105" s="214"/>
      <c r="AW105" s="214" t="str">
        <f t="shared" si="166"/>
        <v>25%</v>
      </c>
      <c r="AX105" s="215">
        <v>22</v>
      </c>
      <c r="AY105" s="213">
        <v>150</v>
      </c>
      <c r="AZ105" s="214">
        <v>22</v>
      </c>
      <c r="BA105" s="213">
        <v>50</v>
      </c>
      <c r="BB105" s="213">
        <f t="shared" si="167"/>
        <v>0</v>
      </c>
      <c r="BC105" s="213">
        <f t="shared" si="168"/>
        <v>1100</v>
      </c>
      <c r="BD105" s="215"/>
    </row>
    <row r="106" spans="1:57" s="217" customFormat="1" ht="36.75" customHeight="1" x14ac:dyDescent="0.25">
      <c r="A106" s="290">
        <v>93</v>
      </c>
      <c r="B106" s="210"/>
      <c r="C106" s="230" t="s">
        <v>347</v>
      </c>
      <c r="D106" s="200">
        <v>16</v>
      </c>
      <c r="E106" s="201">
        <v>39672</v>
      </c>
      <c r="F106" s="201">
        <f t="shared" si="151"/>
        <v>100</v>
      </c>
      <c r="G106" s="201">
        <f t="shared" si="152"/>
        <v>4760.6400000000003</v>
      </c>
      <c r="H106" s="202">
        <f t="shared" si="153"/>
        <v>39672</v>
      </c>
      <c r="I106" s="202">
        <f t="shared" si="154"/>
        <v>2000</v>
      </c>
      <c r="J106" s="202">
        <f t="shared" si="155"/>
        <v>1100</v>
      </c>
      <c r="K106" s="202">
        <f t="shared" si="156"/>
        <v>150</v>
      </c>
      <c r="L106" s="202">
        <f t="shared" si="157"/>
        <v>9918</v>
      </c>
      <c r="M106" s="202">
        <f t="shared" si="158"/>
        <v>52840</v>
      </c>
      <c r="N106" s="202">
        <v>11155.76</v>
      </c>
      <c r="O106" s="202">
        <f t="shared" si="169"/>
        <v>793.44</v>
      </c>
      <c r="P106" s="203">
        <f t="shared" si="159"/>
        <v>3570.48</v>
      </c>
      <c r="Q106" s="203"/>
      <c r="R106" s="203"/>
      <c r="S106" s="203"/>
      <c r="T106" s="203"/>
      <c r="U106" s="203"/>
      <c r="V106" s="203"/>
      <c r="W106" s="203"/>
      <c r="X106" s="203"/>
      <c r="Y106" s="203"/>
      <c r="Z106" s="203">
        <f t="shared" si="160"/>
        <v>100</v>
      </c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>
        <f t="shared" si="161"/>
        <v>15619.68</v>
      </c>
      <c r="AM106" s="204">
        <f t="shared" si="162"/>
        <v>37220.32</v>
      </c>
      <c r="AN106" s="291"/>
      <c r="AO106" s="211"/>
      <c r="AP106" s="207"/>
      <c r="AQ106" s="212">
        <f t="shared" si="163"/>
        <v>0</v>
      </c>
      <c r="AR106" s="213">
        <f t="shared" si="164"/>
        <v>37220.32</v>
      </c>
      <c r="AS106" s="213"/>
      <c r="AT106" s="213"/>
      <c r="AU106" s="213">
        <f t="shared" si="165"/>
        <v>545.49</v>
      </c>
      <c r="AV106" s="214"/>
      <c r="AW106" s="214" t="str">
        <f t="shared" si="166"/>
        <v>25%</v>
      </c>
      <c r="AX106" s="215">
        <v>22</v>
      </c>
      <c r="AY106" s="213">
        <v>150</v>
      </c>
      <c r="AZ106" s="214">
        <v>22</v>
      </c>
      <c r="BA106" s="213">
        <v>50</v>
      </c>
      <c r="BB106" s="213">
        <f t="shared" si="167"/>
        <v>0</v>
      </c>
      <c r="BC106" s="213">
        <f t="shared" si="168"/>
        <v>1100</v>
      </c>
      <c r="BD106" s="215"/>
    </row>
    <row r="107" spans="1:57" s="217" customFormat="1" ht="36.75" customHeight="1" x14ac:dyDescent="0.25">
      <c r="A107" s="290">
        <v>94</v>
      </c>
      <c r="B107" s="210"/>
      <c r="C107" s="230" t="s">
        <v>348</v>
      </c>
      <c r="D107" s="200">
        <v>16</v>
      </c>
      <c r="E107" s="201">
        <v>39672</v>
      </c>
      <c r="F107" s="201">
        <f t="shared" si="151"/>
        <v>100</v>
      </c>
      <c r="G107" s="201">
        <f t="shared" si="152"/>
        <v>4760.6400000000003</v>
      </c>
      <c r="H107" s="202">
        <f t="shared" si="153"/>
        <v>39672</v>
      </c>
      <c r="I107" s="202">
        <f t="shared" si="154"/>
        <v>2000</v>
      </c>
      <c r="J107" s="202">
        <f t="shared" si="155"/>
        <v>1100</v>
      </c>
      <c r="K107" s="202">
        <f t="shared" si="156"/>
        <v>150</v>
      </c>
      <c r="L107" s="202">
        <f t="shared" si="157"/>
        <v>9918</v>
      </c>
      <c r="M107" s="202">
        <f t="shared" si="158"/>
        <v>52840</v>
      </c>
      <c r="N107" s="202">
        <v>11355.76</v>
      </c>
      <c r="O107" s="202">
        <f t="shared" si="169"/>
        <v>793.44</v>
      </c>
      <c r="P107" s="203">
        <f t="shared" si="159"/>
        <v>3570.48</v>
      </c>
      <c r="Q107" s="203"/>
      <c r="R107" s="203"/>
      <c r="S107" s="203"/>
      <c r="T107" s="203"/>
      <c r="U107" s="203"/>
      <c r="V107" s="203"/>
      <c r="W107" s="203"/>
      <c r="X107" s="203"/>
      <c r="Y107" s="203"/>
      <c r="Z107" s="203">
        <f t="shared" si="160"/>
        <v>100</v>
      </c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>
        <f t="shared" si="161"/>
        <v>15819.68</v>
      </c>
      <c r="AM107" s="204">
        <f t="shared" si="162"/>
        <v>37020.32</v>
      </c>
      <c r="AN107" s="291"/>
      <c r="AO107" s="211"/>
      <c r="AP107" s="207"/>
      <c r="AQ107" s="212">
        <f t="shared" si="163"/>
        <v>0</v>
      </c>
      <c r="AR107" s="213">
        <f t="shared" si="164"/>
        <v>37020.32</v>
      </c>
      <c r="AS107" s="213"/>
      <c r="AT107" s="213"/>
      <c r="AU107" s="213">
        <f t="shared" si="165"/>
        <v>545.49</v>
      </c>
      <c r="AV107" s="214"/>
      <c r="AW107" s="214" t="str">
        <f t="shared" si="166"/>
        <v>25%</v>
      </c>
      <c r="AX107" s="215">
        <v>22</v>
      </c>
      <c r="AY107" s="213">
        <v>150</v>
      </c>
      <c r="AZ107" s="214">
        <v>22</v>
      </c>
      <c r="BA107" s="213">
        <v>50</v>
      </c>
      <c r="BB107" s="213">
        <f t="shared" si="167"/>
        <v>0</v>
      </c>
      <c r="BC107" s="213">
        <f t="shared" si="168"/>
        <v>1100</v>
      </c>
      <c r="BD107" s="215"/>
    </row>
    <row r="108" spans="1:57" s="217" customFormat="1" ht="36.75" customHeight="1" x14ac:dyDescent="0.25">
      <c r="A108" s="290">
        <v>95</v>
      </c>
      <c r="B108" s="210"/>
      <c r="C108" s="230" t="s">
        <v>440</v>
      </c>
      <c r="D108" s="200">
        <v>16</v>
      </c>
      <c r="E108" s="201">
        <v>39672</v>
      </c>
      <c r="F108" s="201">
        <f t="shared" ref="F108" si="170">IF(H108&gt;0,100,0)</f>
        <v>100</v>
      </c>
      <c r="G108" s="201">
        <f t="shared" ref="G108" si="171">+ROUND(H108*12%,2)</f>
        <v>4760.6400000000003</v>
      </c>
      <c r="H108" s="202">
        <f t="shared" ref="H108" si="172">ROUND(IF(AX108&gt;22,0,IF(AX108=22,E108,IF(AX108&lt;22,E108*(AX108/AZ108),IF(OR(AX108=0,AX108=" ")=TRUE,0)))),2)</f>
        <v>39672</v>
      </c>
      <c r="I108" s="202">
        <f t="shared" ref="I108" si="173">ROUND(IF(AND(H108&gt;0,AX108=22)=TRUE,2000,IF(AND(H108&gt;0,AX108&lt;22,AX108&gt;0)=TRUE,2000*(AX108/AZ108),IF(AX108&lt;0,0,0))),2)</f>
        <v>2000</v>
      </c>
      <c r="J108" s="202">
        <f t="shared" ref="J108" si="174">IF(H108&gt;0,BC108-BB108,0)</f>
        <v>1100</v>
      </c>
      <c r="K108" s="202">
        <f t="shared" ref="K108" si="175">IF(AND(H108&gt;0,AX108&gt;11)=TRUE,150,0)</f>
        <v>150</v>
      </c>
      <c r="L108" s="202">
        <f t="shared" ref="L108" si="176">ROUND(IF(AND($H108&gt;0,AX108&gt;11)=TRUE,$AW108*$E108,0),2)</f>
        <v>9918</v>
      </c>
      <c r="M108" s="202">
        <f t="shared" ref="M108" si="177">ROUND(SUM(H108:L108),2)</f>
        <v>52840</v>
      </c>
      <c r="N108" s="202">
        <v>6974.5</v>
      </c>
      <c r="O108" s="202">
        <f t="shared" ref="O108" si="178">E108*0.04/2</f>
        <v>793.44</v>
      </c>
      <c r="P108" s="203">
        <f t="shared" si="159"/>
        <v>3570.48</v>
      </c>
      <c r="Q108" s="203"/>
      <c r="R108" s="203"/>
      <c r="S108" s="203"/>
      <c r="T108" s="203"/>
      <c r="U108" s="203"/>
      <c r="V108" s="203"/>
      <c r="W108" s="203"/>
      <c r="X108" s="203"/>
      <c r="Y108" s="203"/>
      <c r="Z108" s="203">
        <f t="shared" ref="Z108" si="179">ROUND(IF(H108&gt;0,100,0),2)</f>
        <v>100</v>
      </c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>
        <f t="shared" ref="AL108" si="180">SUM(N108:AK108)</f>
        <v>11438.42</v>
      </c>
      <c r="AM108" s="204">
        <f t="shared" ref="AM108" si="181">ROUND(M108-AL108,2)</f>
        <v>41401.58</v>
      </c>
      <c r="AN108" s="291"/>
      <c r="AO108" s="211"/>
      <c r="AP108" s="207"/>
      <c r="AQ108" s="212">
        <f t="shared" ref="AQ108" si="182">SUM(AO108:AP108)</f>
        <v>0</v>
      </c>
      <c r="AR108" s="213">
        <f t="shared" ref="AR108" si="183">+AM108-AQ108</f>
        <v>41401.58</v>
      </c>
      <c r="AS108" s="213"/>
      <c r="AT108" s="213"/>
      <c r="AU108" s="213">
        <f t="shared" ref="AU108" si="184">IF(E108=0,0,IF(E108&lt;=10000,137.5,IF(AND(E108&gt;10000,E108&lt;40000)=TRUE,E108*2.75%*50%,IF(E108&gt;=40000,550,0))))</f>
        <v>545.49</v>
      </c>
      <c r="AV108" s="214"/>
      <c r="AW108" s="214" t="str">
        <f t="shared" si="166"/>
        <v>25%</v>
      </c>
      <c r="AX108" s="215">
        <v>22</v>
      </c>
      <c r="AY108" s="213">
        <v>150</v>
      </c>
      <c r="AZ108" s="214">
        <v>22</v>
      </c>
      <c r="BA108" s="213">
        <v>50</v>
      </c>
      <c r="BB108" s="213">
        <f t="shared" ref="BB108" si="185">IF(AX108&gt;0,(AZ108-AX108+BD108)*BA108,0)</f>
        <v>0</v>
      </c>
      <c r="BC108" s="213">
        <f t="shared" ref="BC108" si="186">IF(AX108&gt;0,1100,0)</f>
        <v>1100</v>
      </c>
      <c r="BD108" s="215"/>
    </row>
    <row r="109" spans="1:57" s="217" customFormat="1" ht="36.75" customHeight="1" x14ac:dyDescent="0.25">
      <c r="A109" s="290">
        <v>96</v>
      </c>
      <c r="B109" s="210"/>
      <c r="C109" s="230" t="s">
        <v>349</v>
      </c>
      <c r="D109" s="200">
        <v>16</v>
      </c>
      <c r="E109" s="201">
        <v>39672</v>
      </c>
      <c r="F109" s="201">
        <f t="shared" si="151"/>
        <v>100</v>
      </c>
      <c r="G109" s="201">
        <f t="shared" si="152"/>
        <v>4760.6400000000003</v>
      </c>
      <c r="H109" s="202">
        <f t="shared" si="153"/>
        <v>39672</v>
      </c>
      <c r="I109" s="202">
        <f t="shared" si="154"/>
        <v>2000</v>
      </c>
      <c r="J109" s="202">
        <f t="shared" si="155"/>
        <v>1100</v>
      </c>
      <c r="K109" s="202">
        <f t="shared" si="156"/>
        <v>150</v>
      </c>
      <c r="L109" s="202">
        <f t="shared" si="157"/>
        <v>9918</v>
      </c>
      <c r="M109" s="202">
        <f t="shared" si="158"/>
        <v>52840</v>
      </c>
      <c r="N109" s="202">
        <v>11355.76</v>
      </c>
      <c r="O109" s="202">
        <f t="shared" si="169"/>
        <v>793.44</v>
      </c>
      <c r="P109" s="203">
        <f t="shared" si="159"/>
        <v>3570.48</v>
      </c>
      <c r="Q109" s="203"/>
      <c r="R109" s="203"/>
      <c r="S109" s="203"/>
      <c r="T109" s="203"/>
      <c r="U109" s="203"/>
      <c r="V109" s="203"/>
      <c r="W109" s="203"/>
      <c r="X109" s="203"/>
      <c r="Y109" s="203"/>
      <c r="Z109" s="203">
        <f t="shared" si="160"/>
        <v>100</v>
      </c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>
        <f t="shared" si="161"/>
        <v>15819.68</v>
      </c>
      <c r="AM109" s="204">
        <f t="shared" si="162"/>
        <v>37020.32</v>
      </c>
      <c r="AN109" s="291"/>
      <c r="AO109" s="211"/>
      <c r="AP109" s="207"/>
      <c r="AQ109" s="212">
        <f t="shared" si="163"/>
        <v>0</v>
      </c>
      <c r="AR109" s="213">
        <f t="shared" si="164"/>
        <v>37020.32</v>
      </c>
      <c r="AS109" s="213"/>
      <c r="AT109" s="213"/>
      <c r="AU109" s="213">
        <f t="shared" si="165"/>
        <v>545.49</v>
      </c>
      <c r="AV109" s="214"/>
      <c r="AW109" s="214" t="str">
        <f t="shared" si="166"/>
        <v>25%</v>
      </c>
      <c r="AX109" s="215">
        <v>22</v>
      </c>
      <c r="AY109" s="213">
        <v>150</v>
      </c>
      <c r="AZ109" s="214">
        <v>22</v>
      </c>
      <c r="BA109" s="213">
        <v>50</v>
      </c>
      <c r="BB109" s="213">
        <f t="shared" si="167"/>
        <v>0</v>
      </c>
      <c r="BC109" s="213">
        <f t="shared" si="168"/>
        <v>1100</v>
      </c>
      <c r="BD109" s="215"/>
    </row>
    <row r="110" spans="1:57" s="217" customFormat="1" ht="36" customHeight="1" x14ac:dyDescent="0.25">
      <c r="A110" s="290">
        <v>97</v>
      </c>
      <c r="B110" s="210"/>
      <c r="C110" s="247" t="s">
        <v>415</v>
      </c>
      <c r="D110" s="200">
        <v>16</v>
      </c>
      <c r="E110" s="201">
        <v>39672</v>
      </c>
      <c r="F110" s="201">
        <f t="shared" si="151"/>
        <v>100</v>
      </c>
      <c r="G110" s="201">
        <f t="shared" si="152"/>
        <v>4760.6400000000003</v>
      </c>
      <c r="H110" s="202">
        <f t="shared" si="153"/>
        <v>39672</v>
      </c>
      <c r="I110" s="202">
        <f t="shared" si="154"/>
        <v>2000</v>
      </c>
      <c r="J110" s="202">
        <f t="shared" si="155"/>
        <v>1100</v>
      </c>
      <c r="K110" s="202">
        <f t="shared" si="156"/>
        <v>150</v>
      </c>
      <c r="L110" s="202">
        <f t="shared" si="157"/>
        <v>9918</v>
      </c>
      <c r="M110" s="202">
        <f t="shared" si="158"/>
        <v>52840</v>
      </c>
      <c r="N110" s="202">
        <v>11155.76</v>
      </c>
      <c r="O110" s="202">
        <f t="shared" si="169"/>
        <v>793.44</v>
      </c>
      <c r="P110" s="203">
        <f t="shared" si="159"/>
        <v>3570.48</v>
      </c>
      <c r="Q110" s="203"/>
      <c r="R110" s="203"/>
      <c r="S110" s="203"/>
      <c r="T110" s="203"/>
      <c r="U110" s="203"/>
      <c r="V110" s="203"/>
      <c r="W110" s="203"/>
      <c r="X110" s="203"/>
      <c r="Y110" s="203"/>
      <c r="Z110" s="203">
        <f t="shared" si="160"/>
        <v>100</v>
      </c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>
        <f t="shared" si="161"/>
        <v>15619.68</v>
      </c>
      <c r="AM110" s="204">
        <f t="shared" si="162"/>
        <v>37220.32</v>
      </c>
      <c r="AN110" s="291"/>
      <c r="AO110" s="211"/>
      <c r="AP110" s="207"/>
      <c r="AQ110" s="212">
        <f t="shared" si="163"/>
        <v>0</v>
      </c>
      <c r="AR110" s="213">
        <f t="shared" si="164"/>
        <v>37220.32</v>
      </c>
      <c r="AS110" s="213"/>
      <c r="AT110" s="213"/>
      <c r="AU110" s="213">
        <f t="shared" si="165"/>
        <v>545.49</v>
      </c>
      <c r="AV110" s="214"/>
      <c r="AW110" s="214" t="str">
        <f t="shared" si="166"/>
        <v>25%</v>
      </c>
      <c r="AX110" s="215">
        <v>22</v>
      </c>
      <c r="AY110" s="213">
        <v>150</v>
      </c>
      <c r="AZ110" s="214">
        <v>22</v>
      </c>
      <c r="BA110" s="213">
        <v>50</v>
      </c>
      <c r="BB110" s="213">
        <f t="shared" si="167"/>
        <v>0</v>
      </c>
      <c r="BC110" s="213">
        <f t="shared" si="168"/>
        <v>1100</v>
      </c>
      <c r="BD110" s="215"/>
    </row>
    <row r="111" spans="1:57" s="217" customFormat="1" ht="36.75" customHeight="1" x14ac:dyDescent="0.25">
      <c r="A111" s="290">
        <v>98</v>
      </c>
      <c r="B111" s="210"/>
      <c r="C111" s="230" t="s">
        <v>351</v>
      </c>
      <c r="D111" s="200">
        <v>16</v>
      </c>
      <c r="E111" s="201">
        <v>39672</v>
      </c>
      <c r="F111" s="201">
        <f>IF(H111&gt;0,100,0)</f>
        <v>100</v>
      </c>
      <c r="G111" s="201">
        <f>+ROUND(H111*12%,2)</f>
        <v>4760.6400000000003</v>
      </c>
      <c r="H111" s="202">
        <f>ROUND(IF(AX111&gt;22,0,IF(AX111=22,E111,IF(AX111&lt;22,E111*(AX111/AZ111),IF(OR(AX111=0,AX111=" ")=TRUE,0)))),2)</f>
        <v>39672</v>
      </c>
      <c r="I111" s="202">
        <f>ROUND(IF(AND(H111&gt;0,AX111=22)=TRUE,2000,IF(AND(H111&gt;0,AX111&lt;22,AX111&gt;0)=TRUE,2000*(AX111/AZ111),IF(AX111&lt;0,0,0))),2)</f>
        <v>2000</v>
      </c>
      <c r="J111" s="202">
        <f>IF(H111&gt;0,BC111-BB111,0)</f>
        <v>1100</v>
      </c>
      <c r="K111" s="202">
        <f>IF(AND(H111&gt;0,AX111&gt;11)=TRUE,150,0)</f>
        <v>150</v>
      </c>
      <c r="L111" s="202">
        <f>ROUND(IF(AND($H111&gt;0,AX111&gt;11)=TRUE,$AW111*$E111,0),2)</f>
        <v>9918</v>
      </c>
      <c r="M111" s="202">
        <f>ROUND(SUM(H111:L111),2)</f>
        <v>52840</v>
      </c>
      <c r="N111" s="202">
        <v>11468.3</v>
      </c>
      <c r="O111" s="202">
        <f>E111*0.04/2</f>
        <v>793.44</v>
      </c>
      <c r="P111" s="203">
        <f>ROUND($H111*9%,2)</f>
        <v>3570.48</v>
      </c>
      <c r="Q111" s="203"/>
      <c r="R111" s="203"/>
      <c r="S111" s="203"/>
      <c r="T111" s="203"/>
      <c r="U111" s="203"/>
      <c r="V111" s="203"/>
      <c r="W111" s="203"/>
      <c r="X111" s="203"/>
      <c r="Y111" s="203"/>
      <c r="Z111" s="203">
        <f>ROUND(IF(H111&gt;0,100,0),2)</f>
        <v>100</v>
      </c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>
        <f>SUM(N111:AK111)</f>
        <v>15932.22</v>
      </c>
      <c r="AM111" s="204">
        <f>ROUND(M111-AL111,2)</f>
        <v>36907.78</v>
      </c>
      <c r="AN111" s="291"/>
      <c r="AO111" s="211"/>
      <c r="AP111" s="207"/>
      <c r="AQ111" s="212">
        <f>SUM(AO111:AP111)</f>
        <v>0</v>
      </c>
      <c r="AR111" s="213">
        <f>+AM111-AQ111</f>
        <v>36907.78</v>
      </c>
      <c r="AS111" s="213"/>
      <c r="AT111" s="213"/>
      <c r="AU111" s="213">
        <f>IF(E111=0,0,IF(E111&lt;=10000,137.5,IF(AND(E111&gt;10000,E111&lt;40000)=TRUE,E111*2.75%*50%,IF(E111&gt;=40000,550,0))))</f>
        <v>545.49</v>
      </c>
      <c r="AV111" s="214"/>
      <c r="AW111" s="214" t="str">
        <f>IF(AND($D111&gt;=1,$D111&lt;=19)=TRUE,"25%",IF($D111=20,"15%",IF($D111=21,"13%",IF($D111=22,"12%",IF($D111=23,"11%",IF(OR($D111=24,$D111=25)=TRUE,"10%",IF($D111=26,"9%",IF($D111=27,"8%",IF($D111=28,"7%",IF(OR($D111=29,$D111=30)=TRUE,"6%",IF($D111=31,"5%","0%")))))))))))</f>
        <v>25%</v>
      </c>
      <c r="AX111" s="215">
        <v>22</v>
      </c>
      <c r="AY111" s="213">
        <v>150</v>
      </c>
      <c r="AZ111" s="214">
        <v>22</v>
      </c>
      <c r="BA111" s="213">
        <v>50</v>
      </c>
      <c r="BB111" s="213">
        <f>IF(AX111&gt;0,(AZ111-AX111+BD111)*BA111,0)</f>
        <v>0</v>
      </c>
      <c r="BC111" s="213">
        <f>IF(AX111&gt;0,1100,0)</f>
        <v>1100</v>
      </c>
      <c r="BD111" s="215"/>
    </row>
    <row r="112" spans="1:57" s="217" customFormat="1" ht="36" customHeight="1" x14ac:dyDescent="0.25">
      <c r="A112" s="290">
        <v>99</v>
      </c>
      <c r="B112" s="210"/>
      <c r="C112" s="249" t="s">
        <v>352</v>
      </c>
      <c r="D112" s="200">
        <v>16</v>
      </c>
      <c r="E112" s="201">
        <v>39672</v>
      </c>
      <c r="F112" s="201">
        <f>IF(H112&gt;0,100,0)</f>
        <v>100</v>
      </c>
      <c r="G112" s="201">
        <f>+ROUND(H112*12%,2)</f>
        <v>4760.6400000000003</v>
      </c>
      <c r="H112" s="202">
        <f>ROUND(IF(AX112&gt;22,0,IF(AX112=22,E112,IF(AX112&lt;22,E112*(AX112/AZ112),IF(OR(AX112=0,AX112=" ")=TRUE,0)))),2)</f>
        <v>39672</v>
      </c>
      <c r="I112" s="202">
        <f>ROUND(IF(AND(H112&gt;0,AX112=22)=TRUE,2000,IF(AND(H112&gt;0,AX112&lt;22,AX112&gt;0)=TRUE,2000*(AX112/AZ112),IF(AX112&lt;0,0,0))),2)</f>
        <v>2000</v>
      </c>
      <c r="J112" s="202">
        <f>IF(H112&gt;0,BC112-BB112,0)</f>
        <v>1100</v>
      </c>
      <c r="K112" s="202">
        <f>IF(AND(H112&gt;0,AX112&gt;11)=TRUE,150,0)</f>
        <v>150</v>
      </c>
      <c r="L112" s="202">
        <f>ROUND(IF(AND($H112&gt;0,AX112&gt;11)=TRUE,$AW112*$E112,0),2)</f>
        <v>9918</v>
      </c>
      <c r="M112" s="202">
        <f>ROUND(SUM(H112:L112),2)</f>
        <v>52840</v>
      </c>
      <c r="N112" s="202">
        <v>11155.76</v>
      </c>
      <c r="O112" s="202">
        <f>E112*0.04/2</f>
        <v>793.44</v>
      </c>
      <c r="P112" s="203">
        <f>ROUND($H112*9%,2)</f>
        <v>3570.48</v>
      </c>
      <c r="Q112" s="203"/>
      <c r="R112" s="203"/>
      <c r="S112" s="203"/>
      <c r="T112" s="203"/>
      <c r="U112" s="203"/>
      <c r="V112" s="203"/>
      <c r="W112" s="203"/>
      <c r="X112" s="203"/>
      <c r="Y112" s="203"/>
      <c r="Z112" s="203">
        <f>ROUND(IF(H112&gt;0,100,0),2)</f>
        <v>100</v>
      </c>
      <c r="AA112" s="203"/>
      <c r="AB112" s="203"/>
      <c r="AC112" s="203"/>
      <c r="AD112" s="203"/>
      <c r="AE112" s="203"/>
      <c r="AF112" s="203"/>
      <c r="AG112" s="203"/>
      <c r="AH112" s="203"/>
      <c r="AI112" s="203"/>
      <c r="AJ112" s="203"/>
      <c r="AK112" s="203"/>
      <c r="AL112" s="203">
        <f>SUM(N112:AK112)</f>
        <v>15619.68</v>
      </c>
      <c r="AM112" s="204">
        <f>ROUND(M112-AL112,2)</f>
        <v>37220.32</v>
      </c>
      <c r="AN112" s="291"/>
      <c r="AO112" s="211"/>
      <c r="AP112" s="207"/>
      <c r="AQ112" s="212">
        <f>SUM(AO112:AP112)</f>
        <v>0</v>
      </c>
      <c r="AR112" s="213">
        <f>+AM112-AQ112</f>
        <v>37220.32</v>
      </c>
      <c r="AS112" s="213"/>
      <c r="AT112" s="213"/>
      <c r="AU112" s="213">
        <f>IF(E112=0,0,IF(E112&lt;=10000,137.5,IF(AND(E112&gt;10000,E112&lt;40000)=TRUE,E112*2.75%*50%,IF(E112&gt;=40000,550,0))))</f>
        <v>545.49</v>
      </c>
      <c r="AV112" s="214"/>
      <c r="AW112" s="214" t="str">
        <f>IF(AND($D112&gt;=1,$D112&lt;=19)=TRUE,"25%",IF($D112=20,"15%",IF($D112=21,"13%",IF($D112=22,"12%",IF($D112=23,"11%",IF(OR($D112=24,$D112=25)=TRUE,"10%",IF($D112=26,"9%",IF($D112=27,"8%",IF($D112=28,"7%",IF(OR($D112=29,$D112=30)=TRUE,"6%",IF($D112=31,"5%","0%")))))))))))</f>
        <v>25%</v>
      </c>
      <c r="AX112" s="215">
        <v>22</v>
      </c>
      <c r="AY112" s="213">
        <v>150</v>
      </c>
      <c r="AZ112" s="214">
        <v>22</v>
      </c>
      <c r="BA112" s="213">
        <v>50</v>
      </c>
      <c r="BB112" s="213">
        <f>IF(AX112&gt;0,(AZ112-AX112+BD112)*BA112,0)</f>
        <v>0</v>
      </c>
      <c r="BC112" s="213">
        <f>IF(AX112&gt;0,1100,0)</f>
        <v>1100</v>
      </c>
      <c r="BD112" s="215"/>
    </row>
    <row r="113" spans="1:60" s="356" customFormat="1" ht="36.75" customHeight="1" x14ac:dyDescent="0.25">
      <c r="A113" s="357"/>
      <c r="B113" s="358"/>
      <c r="C113" s="359" t="s">
        <v>102</v>
      </c>
      <c r="D113" s="360"/>
      <c r="E113" s="355">
        <f>ROUND(SUM(E93:E112),2)</f>
        <v>793440</v>
      </c>
      <c r="F113" s="355">
        <f t="shared" ref="F113:BD113" si="187">ROUND(SUM(F93:F112),2)</f>
        <v>1900</v>
      </c>
      <c r="G113" s="355">
        <f t="shared" si="187"/>
        <v>90452.160000000003</v>
      </c>
      <c r="H113" s="355">
        <f t="shared" si="187"/>
        <v>753768</v>
      </c>
      <c r="I113" s="355">
        <f t="shared" si="187"/>
        <v>38000</v>
      </c>
      <c r="J113" s="355">
        <f t="shared" si="187"/>
        <v>20900</v>
      </c>
      <c r="K113" s="355">
        <f t="shared" si="187"/>
        <v>2850</v>
      </c>
      <c r="L113" s="355">
        <f t="shared" si="187"/>
        <v>188442</v>
      </c>
      <c r="M113" s="355">
        <f>ROUND(SUM(M93:M112),2)</f>
        <v>1003960</v>
      </c>
      <c r="N113" s="355">
        <f t="shared" si="187"/>
        <v>207900.13</v>
      </c>
      <c r="O113" s="355">
        <f t="shared" si="187"/>
        <v>15075.36</v>
      </c>
      <c r="P113" s="355">
        <f t="shared" si="187"/>
        <v>67839.12</v>
      </c>
      <c r="Q113" s="355">
        <f t="shared" si="187"/>
        <v>0</v>
      </c>
      <c r="R113" s="355">
        <f t="shared" si="187"/>
        <v>0</v>
      </c>
      <c r="S113" s="355">
        <f t="shared" si="187"/>
        <v>0</v>
      </c>
      <c r="T113" s="355">
        <f t="shared" si="187"/>
        <v>0</v>
      </c>
      <c r="U113" s="355">
        <f t="shared" si="187"/>
        <v>0</v>
      </c>
      <c r="V113" s="355">
        <f t="shared" si="187"/>
        <v>0</v>
      </c>
      <c r="W113" s="355">
        <f t="shared" si="187"/>
        <v>0</v>
      </c>
      <c r="X113" s="355">
        <f t="shared" si="187"/>
        <v>0</v>
      </c>
      <c r="Y113" s="355">
        <f t="shared" si="187"/>
        <v>0</v>
      </c>
      <c r="Z113" s="355">
        <f t="shared" si="187"/>
        <v>1900</v>
      </c>
      <c r="AA113" s="355">
        <f t="shared" si="187"/>
        <v>0</v>
      </c>
      <c r="AB113" s="355">
        <f t="shared" si="187"/>
        <v>0</v>
      </c>
      <c r="AC113" s="355">
        <f t="shared" si="187"/>
        <v>0</v>
      </c>
      <c r="AD113" s="355">
        <f t="shared" si="187"/>
        <v>0</v>
      </c>
      <c r="AE113" s="355">
        <f t="shared" si="187"/>
        <v>0</v>
      </c>
      <c r="AF113" s="355">
        <f t="shared" si="187"/>
        <v>0</v>
      </c>
      <c r="AG113" s="355">
        <f t="shared" si="187"/>
        <v>0</v>
      </c>
      <c r="AH113" s="355">
        <f t="shared" si="187"/>
        <v>0</v>
      </c>
      <c r="AI113" s="355">
        <f t="shared" si="187"/>
        <v>0</v>
      </c>
      <c r="AJ113" s="355">
        <f t="shared" si="187"/>
        <v>0</v>
      </c>
      <c r="AK113" s="355">
        <f t="shared" si="187"/>
        <v>0</v>
      </c>
      <c r="AL113" s="355">
        <f t="shared" si="187"/>
        <v>292714.61</v>
      </c>
      <c r="AM113" s="355">
        <f t="shared" si="187"/>
        <v>711245.39</v>
      </c>
      <c r="AN113" s="355">
        <f t="shared" si="187"/>
        <v>0</v>
      </c>
      <c r="AO113" s="355">
        <f t="shared" si="187"/>
        <v>0</v>
      </c>
      <c r="AP113" s="355">
        <f t="shared" si="187"/>
        <v>0</v>
      </c>
      <c r="AQ113" s="355">
        <f t="shared" si="187"/>
        <v>0</v>
      </c>
      <c r="AR113" s="355">
        <f t="shared" si="187"/>
        <v>711245.39</v>
      </c>
      <c r="AS113" s="355">
        <f t="shared" si="187"/>
        <v>0</v>
      </c>
      <c r="AT113" s="355">
        <f t="shared" si="187"/>
        <v>0</v>
      </c>
      <c r="AU113" s="355">
        <f t="shared" si="187"/>
        <v>10909.8</v>
      </c>
      <c r="AV113" s="355">
        <f t="shared" si="187"/>
        <v>0</v>
      </c>
      <c r="AW113" s="355">
        <f t="shared" si="187"/>
        <v>0</v>
      </c>
      <c r="AX113" s="355">
        <f t="shared" si="187"/>
        <v>418</v>
      </c>
      <c r="AY113" s="355">
        <f t="shared" si="187"/>
        <v>3000</v>
      </c>
      <c r="AZ113" s="355">
        <f t="shared" si="187"/>
        <v>440</v>
      </c>
      <c r="BA113" s="355">
        <f t="shared" si="187"/>
        <v>1000</v>
      </c>
      <c r="BB113" s="355">
        <f t="shared" si="187"/>
        <v>0</v>
      </c>
      <c r="BC113" s="355">
        <f t="shared" si="187"/>
        <v>20900</v>
      </c>
      <c r="BD113" s="355">
        <f t="shared" si="187"/>
        <v>0</v>
      </c>
      <c r="BE113" s="355"/>
      <c r="BF113" s="355"/>
      <c r="BG113" s="355"/>
      <c r="BH113" s="355"/>
    </row>
    <row r="114" spans="1:60" s="217" customFormat="1" ht="36.75" customHeight="1" x14ac:dyDescent="0.25">
      <c r="A114" s="296">
        <v>100</v>
      </c>
      <c r="B114" s="210"/>
      <c r="C114" s="230" t="s">
        <v>353</v>
      </c>
      <c r="D114" s="200">
        <v>16</v>
      </c>
      <c r="E114" s="201">
        <v>39672</v>
      </c>
      <c r="F114" s="201">
        <f>IF(H114&gt;0,100,0)</f>
        <v>100</v>
      </c>
      <c r="G114" s="201">
        <f>+ROUND(H114*12%,2)</f>
        <v>4760.6400000000003</v>
      </c>
      <c r="H114" s="202">
        <f>ROUND(IF(AX114&gt;22,0,IF(AX114=22,E114,IF(AX114&lt;22,E114*(AX114/AZ114),IF(OR(AX114=0,AX114=" ")=TRUE,0)))),2)</f>
        <v>39672</v>
      </c>
      <c r="I114" s="202">
        <f>ROUND(IF(AND(H114&gt;0,AX114=22)=TRUE,2000,IF(AND(H114&gt;0,AX114&lt;22,AX114&gt;0)=TRUE,2000*(AX114/AZ114),IF(AX114&lt;0,0,0))),2)</f>
        <v>2000</v>
      </c>
      <c r="J114" s="202">
        <f>IF(H114&gt;0,BC114-BB114,0)</f>
        <v>1100</v>
      </c>
      <c r="K114" s="202">
        <f>IF(AND(H114&gt;0,AX114&gt;11)=TRUE,150,0)</f>
        <v>150</v>
      </c>
      <c r="L114" s="202">
        <f>ROUND(IF(AND($H114&gt;0,AX114&gt;11)=TRUE,$AW114*$E114,0),2)</f>
        <v>9918</v>
      </c>
      <c r="M114" s="202">
        <f>ROUND(SUM(H114:L114),2)</f>
        <v>52840</v>
      </c>
      <c r="N114" s="202">
        <v>11468.3</v>
      </c>
      <c r="O114" s="202">
        <f>E114*0.04/2</f>
        <v>793.44</v>
      </c>
      <c r="P114" s="203">
        <f>ROUND($H114*9%,2)</f>
        <v>3570.48</v>
      </c>
      <c r="Q114" s="203"/>
      <c r="R114" s="203"/>
      <c r="S114" s="203"/>
      <c r="T114" s="203"/>
      <c r="U114" s="203"/>
      <c r="V114" s="203"/>
      <c r="W114" s="203"/>
      <c r="X114" s="203"/>
      <c r="Y114" s="203"/>
      <c r="Z114" s="203">
        <f>ROUND(IF(H114&gt;0,100,0),2)</f>
        <v>100</v>
      </c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203">
        <f>SUM(N114:AK114)</f>
        <v>15932.22</v>
      </c>
      <c r="AM114" s="204">
        <f>ROUND(M114-AL114,2)</f>
        <v>36907.78</v>
      </c>
      <c r="AN114" s="291"/>
      <c r="AO114" s="211"/>
      <c r="AP114" s="207"/>
      <c r="AQ114" s="212">
        <f>SUM(AO114:AP114)</f>
        <v>0</v>
      </c>
      <c r="AR114" s="213">
        <f>+AM114-AQ114</f>
        <v>36907.78</v>
      </c>
      <c r="AS114" s="213"/>
      <c r="AT114" s="213"/>
      <c r="AU114" s="213">
        <f>IF(E114=0,0,IF(E114&lt;=10000,137.5,IF(AND(E114&gt;10000,E114&lt;40000)=TRUE,E114*2.75%*50%,IF(E114&gt;=40000,550,0))))</f>
        <v>545.49</v>
      </c>
      <c r="AV114" s="214"/>
      <c r="AW114" s="214" t="str">
        <f>IF(AND($D114&gt;=1,$D114&lt;=19)=TRUE,"25%",IF($D114=20,"15%",IF($D114=21,"13%",IF($D114=22,"12%",IF($D114=23,"11%",IF(OR($D114=24,$D114=25)=TRUE,"10%",IF($D114=26,"9%",IF($D114=27,"8%",IF($D114=28,"7%",IF(OR($D114=29,$D114=30)=TRUE,"6%",IF($D114=31,"5%","0%")))))))))))</f>
        <v>25%</v>
      </c>
      <c r="AX114" s="215">
        <v>22</v>
      </c>
      <c r="AY114" s="213">
        <v>150</v>
      </c>
      <c r="AZ114" s="214">
        <v>22</v>
      </c>
      <c r="BA114" s="213">
        <v>50</v>
      </c>
      <c r="BB114" s="213">
        <f>IF(AX114&gt;0,(AZ114-AX114+BD114)*BA114,0)</f>
        <v>0</v>
      </c>
      <c r="BC114" s="213">
        <f>IF(AX114&gt;0,1100,0)</f>
        <v>1100</v>
      </c>
      <c r="BD114" s="215"/>
    </row>
    <row r="115" spans="1:60" s="217" customFormat="1" ht="36.75" customHeight="1" x14ac:dyDescent="0.25">
      <c r="A115" s="296">
        <v>101</v>
      </c>
      <c r="B115" s="210"/>
      <c r="C115" s="230" t="s">
        <v>354</v>
      </c>
      <c r="D115" s="200">
        <v>16</v>
      </c>
      <c r="E115" s="201">
        <v>39672</v>
      </c>
      <c r="F115" s="201">
        <f t="shared" ref="F115:F129" si="188">IF(H115&gt;0,100,0)</f>
        <v>100</v>
      </c>
      <c r="G115" s="201">
        <f t="shared" ref="G115:G129" si="189">+ROUND(H115*12%,2)</f>
        <v>4760.6400000000003</v>
      </c>
      <c r="H115" s="202">
        <f t="shared" ref="H115:H129" si="190">ROUND(IF(AX115&gt;22,0,IF(AX115=22,E115,IF(AX115&lt;22,E115*(AX115/AZ115),IF(OR(AX115=0,AX115=" ")=TRUE,0)))),2)</f>
        <v>39672</v>
      </c>
      <c r="I115" s="202">
        <f t="shared" ref="I115:I129" si="191">ROUND(IF(AND(H115&gt;0,AX115=22)=TRUE,2000,IF(AND(H115&gt;0,AX115&lt;22,AX115&gt;0)=TRUE,2000*(AX115/AZ115),IF(AX115&lt;0,0,0))),2)</f>
        <v>2000</v>
      </c>
      <c r="J115" s="202">
        <f t="shared" ref="J115:J129" si="192">IF(H115&gt;0,BC115-BB115,0)</f>
        <v>1100</v>
      </c>
      <c r="K115" s="202">
        <f t="shared" ref="K115:K129" si="193">IF(AND(H115&gt;0,AX115&gt;11)=TRUE,150,0)</f>
        <v>150</v>
      </c>
      <c r="L115" s="202">
        <f t="shared" ref="L115:L129" si="194">ROUND(IF(AND($H115&gt;0,AX115&gt;11)=TRUE,$AW115*$E115,0),2)</f>
        <v>9918</v>
      </c>
      <c r="M115" s="202">
        <f t="shared" ref="M115:M129" si="195">ROUND(SUM(H115:L115),2)</f>
        <v>52840</v>
      </c>
      <c r="N115" s="202">
        <v>8609.39</v>
      </c>
      <c r="O115" s="202">
        <f t="shared" ref="O115:O129" si="196">E115*0.04/2</f>
        <v>793.44</v>
      </c>
      <c r="P115" s="203">
        <f t="shared" ref="P115:P129" si="197">ROUND($H115*9%,2)</f>
        <v>3570.48</v>
      </c>
      <c r="Q115" s="203"/>
      <c r="R115" s="203"/>
      <c r="S115" s="203"/>
      <c r="T115" s="203"/>
      <c r="U115" s="203"/>
      <c r="V115" s="203"/>
      <c r="W115" s="203"/>
      <c r="X115" s="203"/>
      <c r="Y115" s="203"/>
      <c r="Z115" s="203">
        <f t="shared" ref="Z115:Z129" si="198">ROUND(IF(H115&gt;0,100,0),2)</f>
        <v>100</v>
      </c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>
        <f t="shared" ref="AL115:AL121" si="199">SUM(N115:AK115)</f>
        <v>13073.31</v>
      </c>
      <c r="AM115" s="204">
        <f t="shared" ref="AM115:AM129" si="200">ROUND(M115-AL115,2)</f>
        <v>39766.69</v>
      </c>
      <c r="AN115" s="291"/>
      <c r="AO115" s="242"/>
      <c r="AP115" s="207"/>
      <c r="AQ115" s="212">
        <f t="shared" ref="AQ115:AQ129" si="201">SUM(AO115:AP115)</f>
        <v>0</v>
      </c>
      <c r="AR115" s="213">
        <f t="shared" ref="AR115:AR129" si="202">+AM115-AQ115</f>
        <v>39766.69</v>
      </c>
      <c r="AS115" s="213"/>
      <c r="AT115" s="213"/>
      <c r="AU115" s="213">
        <f t="shared" ref="AU115:AU129" si="203">IF(E115=0,0,IF(E115&lt;=10000,137.5,IF(AND(E115&gt;10000,E115&lt;40000)=TRUE,E115*2.75%*50%,IF(E115&gt;=40000,550,0))))</f>
        <v>545.49</v>
      </c>
      <c r="AV115" s="214"/>
      <c r="AW115" s="214" t="str">
        <f t="shared" ref="AW115:AW129" si="204">IF(AND($D115&gt;=1,$D115&lt;=19)=TRUE,"25%",IF($D115=20,"15%",IF($D115=21,"13%",IF($D115=22,"12%",IF($D115=23,"11%",IF(OR($D115=24,$D115=25)=TRUE,"10%",IF($D115=26,"9%",IF($D115=27,"8%",IF($D115=28,"7%",IF(OR($D115=29,$D115=30)=TRUE,"6%",IF($D115=31,"5%","0%")))))))))))</f>
        <v>25%</v>
      </c>
      <c r="AX115" s="215">
        <v>22</v>
      </c>
      <c r="AY115" s="213">
        <v>150</v>
      </c>
      <c r="AZ115" s="214">
        <v>22</v>
      </c>
      <c r="BA115" s="213">
        <v>50</v>
      </c>
      <c r="BB115" s="213">
        <f t="shared" ref="BB115:BB129" si="205">IF(AX115&gt;0,(AZ115-AX115+BD115)*BA115,0)</f>
        <v>0</v>
      </c>
      <c r="BC115" s="213">
        <f t="shared" ref="BC115:BC129" si="206">IF(AX115&gt;0,1100,0)</f>
        <v>1100</v>
      </c>
      <c r="BD115" s="215"/>
    </row>
    <row r="116" spans="1:60" s="217" customFormat="1" ht="36.75" customHeight="1" x14ac:dyDescent="0.25">
      <c r="A116" s="296">
        <v>102</v>
      </c>
      <c r="B116" s="210"/>
      <c r="C116" s="230" t="s">
        <v>355</v>
      </c>
      <c r="D116" s="200">
        <v>16</v>
      </c>
      <c r="E116" s="201">
        <v>39672</v>
      </c>
      <c r="F116" s="201">
        <f t="shared" si="188"/>
        <v>100</v>
      </c>
      <c r="G116" s="201">
        <f t="shared" si="189"/>
        <v>4760.6400000000003</v>
      </c>
      <c r="H116" s="202">
        <f t="shared" si="190"/>
        <v>39672</v>
      </c>
      <c r="I116" s="202">
        <f t="shared" si="191"/>
        <v>2000</v>
      </c>
      <c r="J116" s="202">
        <f t="shared" si="192"/>
        <v>1100</v>
      </c>
      <c r="K116" s="202">
        <f t="shared" si="193"/>
        <v>150</v>
      </c>
      <c r="L116" s="202">
        <f t="shared" si="194"/>
        <v>9918</v>
      </c>
      <c r="M116" s="202">
        <f t="shared" si="195"/>
        <v>52840</v>
      </c>
      <c r="N116" s="202">
        <v>11455.76</v>
      </c>
      <c r="O116" s="202">
        <f t="shared" si="196"/>
        <v>793.44</v>
      </c>
      <c r="P116" s="203">
        <f t="shared" si="197"/>
        <v>3570.48</v>
      </c>
      <c r="Q116" s="203"/>
      <c r="R116" s="203"/>
      <c r="S116" s="203"/>
      <c r="T116" s="203"/>
      <c r="U116" s="203"/>
      <c r="V116" s="203"/>
      <c r="W116" s="203"/>
      <c r="X116" s="203"/>
      <c r="Y116" s="203"/>
      <c r="Z116" s="203">
        <f t="shared" si="198"/>
        <v>100</v>
      </c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>
        <f t="shared" si="199"/>
        <v>15919.68</v>
      </c>
      <c r="AM116" s="204">
        <f t="shared" si="200"/>
        <v>36920.32</v>
      </c>
      <c r="AN116" s="291"/>
      <c r="AO116" s="211"/>
      <c r="AP116" s="207"/>
      <c r="AQ116" s="212">
        <f t="shared" si="201"/>
        <v>0</v>
      </c>
      <c r="AR116" s="213">
        <f t="shared" si="202"/>
        <v>36920.32</v>
      </c>
      <c r="AS116" s="213"/>
      <c r="AT116" s="213"/>
      <c r="AU116" s="213">
        <f t="shared" si="203"/>
        <v>545.49</v>
      </c>
      <c r="AV116" s="214"/>
      <c r="AW116" s="214" t="str">
        <f t="shared" si="204"/>
        <v>25%</v>
      </c>
      <c r="AX116" s="215">
        <v>22</v>
      </c>
      <c r="AY116" s="213">
        <v>150</v>
      </c>
      <c r="AZ116" s="214">
        <v>22</v>
      </c>
      <c r="BA116" s="213">
        <v>50</v>
      </c>
      <c r="BB116" s="213">
        <f t="shared" si="205"/>
        <v>0</v>
      </c>
      <c r="BC116" s="213">
        <f t="shared" si="206"/>
        <v>1100</v>
      </c>
      <c r="BD116" s="215"/>
    </row>
    <row r="117" spans="1:60" s="217" customFormat="1" ht="36.75" customHeight="1" x14ac:dyDescent="0.25">
      <c r="A117" s="296">
        <v>103</v>
      </c>
      <c r="B117" s="210"/>
      <c r="C117" s="230" t="s">
        <v>356</v>
      </c>
      <c r="D117" s="200">
        <v>16</v>
      </c>
      <c r="E117" s="201">
        <v>39672</v>
      </c>
      <c r="F117" s="201">
        <f t="shared" si="188"/>
        <v>100</v>
      </c>
      <c r="G117" s="201">
        <f t="shared" si="189"/>
        <v>4760.6400000000003</v>
      </c>
      <c r="H117" s="202">
        <f t="shared" si="190"/>
        <v>39672</v>
      </c>
      <c r="I117" s="202">
        <f t="shared" si="191"/>
        <v>2000</v>
      </c>
      <c r="J117" s="202">
        <f t="shared" si="192"/>
        <v>1100</v>
      </c>
      <c r="K117" s="202">
        <f t="shared" si="193"/>
        <v>150</v>
      </c>
      <c r="L117" s="202">
        <f t="shared" si="194"/>
        <v>9918</v>
      </c>
      <c r="M117" s="202">
        <f t="shared" si="195"/>
        <v>52840</v>
      </c>
      <c r="N117" s="202">
        <v>11468.3</v>
      </c>
      <c r="O117" s="202">
        <f t="shared" si="196"/>
        <v>793.44</v>
      </c>
      <c r="P117" s="203">
        <f t="shared" si="197"/>
        <v>3570.48</v>
      </c>
      <c r="Q117" s="203"/>
      <c r="R117" s="203"/>
      <c r="S117" s="203"/>
      <c r="T117" s="203"/>
      <c r="U117" s="203"/>
      <c r="V117" s="203"/>
      <c r="W117" s="203"/>
      <c r="X117" s="203"/>
      <c r="Y117" s="203"/>
      <c r="Z117" s="203">
        <f t="shared" si="198"/>
        <v>100</v>
      </c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>
        <f t="shared" si="199"/>
        <v>15932.22</v>
      </c>
      <c r="AM117" s="204">
        <f t="shared" si="200"/>
        <v>36907.78</v>
      </c>
      <c r="AN117" s="291"/>
      <c r="AO117" s="211"/>
      <c r="AP117" s="207"/>
      <c r="AQ117" s="212">
        <f t="shared" si="201"/>
        <v>0</v>
      </c>
      <c r="AR117" s="213">
        <f t="shared" si="202"/>
        <v>36907.78</v>
      </c>
      <c r="AS117" s="213"/>
      <c r="AT117" s="213"/>
      <c r="AU117" s="213">
        <f t="shared" si="203"/>
        <v>545.49</v>
      </c>
      <c r="AV117" s="214"/>
      <c r="AW117" s="214" t="str">
        <f t="shared" si="204"/>
        <v>25%</v>
      </c>
      <c r="AX117" s="215">
        <v>22</v>
      </c>
      <c r="AY117" s="213">
        <v>150</v>
      </c>
      <c r="AZ117" s="214">
        <v>22</v>
      </c>
      <c r="BA117" s="213">
        <v>50</v>
      </c>
      <c r="BB117" s="213">
        <f t="shared" si="205"/>
        <v>0</v>
      </c>
      <c r="BC117" s="213">
        <f t="shared" si="206"/>
        <v>1100</v>
      </c>
      <c r="BD117" s="215"/>
    </row>
    <row r="118" spans="1:60" s="217" customFormat="1" ht="36.75" customHeight="1" x14ac:dyDescent="0.25">
      <c r="A118" s="296">
        <v>104</v>
      </c>
      <c r="B118" s="210"/>
      <c r="C118" s="230" t="s">
        <v>357</v>
      </c>
      <c r="D118" s="200">
        <v>16</v>
      </c>
      <c r="E118" s="201">
        <v>39672</v>
      </c>
      <c r="F118" s="201">
        <f t="shared" si="188"/>
        <v>100</v>
      </c>
      <c r="G118" s="201">
        <f t="shared" si="189"/>
        <v>4760.6400000000003</v>
      </c>
      <c r="H118" s="202">
        <f t="shared" si="190"/>
        <v>39672</v>
      </c>
      <c r="I118" s="202">
        <f t="shared" si="191"/>
        <v>2000</v>
      </c>
      <c r="J118" s="202">
        <f t="shared" si="192"/>
        <v>1100</v>
      </c>
      <c r="K118" s="202">
        <f t="shared" si="193"/>
        <v>150</v>
      </c>
      <c r="L118" s="202">
        <f t="shared" si="194"/>
        <v>9918</v>
      </c>
      <c r="M118" s="202">
        <f t="shared" si="195"/>
        <v>52840</v>
      </c>
      <c r="N118" s="202">
        <v>10768.3</v>
      </c>
      <c r="O118" s="202">
        <f t="shared" si="196"/>
        <v>793.44</v>
      </c>
      <c r="P118" s="203">
        <f t="shared" si="197"/>
        <v>3570.48</v>
      </c>
      <c r="Q118" s="203"/>
      <c r="R118" s="203"/>
      <c r="S118" s="203"/>
      <c r="T118" s="203"/>
      <c r="U118" s="203"/>
      <c r="V118" s="203"/>
      <c r="W118" s="203"/>
      <c r="X118" s="203"/>
      <c r="Y118" s="203"/>
      <c r="Z118" s="203">
        <f t="shared" si="198"/>
        <v>100</v>
      </c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>
        <f t="shared" si="199"/>
        <v>15232.22</v>
      </c>
      <c r="AM118" s="204">
        <f t="shared" si="200"/>
        <v>37607.78</v>
      </c>
      <c r="AN118" s="291"/>
      <c r="AO118" s="211"/>
      <c r="AP118" s="207"/>
      <c r="AQ118" s="212">
        <f t="shared" si="201"/>
        <v>0</v>
      </c>
      <c r="AR118" s="213">
        <f t="shared" si="202"/>
        <v>37607.78</v>
      </c>
      <c r="AS118" s="213"/>
      <c r="AT118" s="213"/>
      <c r="AU118" s="213">
        <f t="shared" si="203"/>
        <v>545.49</v>
      </c>
      <c r="AV118" s="214"/>
      <c r="AW118" s="214" t="str">
        <f t="shared" si="204"/>
        <v>25%</v>
      </c>
      <c r="AX118" s="215">
        <v>22</v>
      </c>
      <c r="AY118" s="213">
        <v>150</v>
      </c>
      <c r="AZ118" s="214">
        <v>22</v>
      </c>
      <c r="BA118" s="213">
        <v>50</v>
      </c>
      <c r="BB118" s="213">
        <f t="shared" si="205"/>
        <v>0</v>
      </c>
      <c r="BC118" s="213">
        <f t="shared" si="206"/>
        <v>1100</v>
      </c>
      <c r="BD118" s="215"/>
    </row>
    <row r="119" spans="1:60" s="217" customFormat="1" ht="36.75" customHeight="1" x14ac:dyDescent="0.25">
      <c r="A119" s="296">
        <v>105</v>
      </c>
      <c r="B119" s="210"/>
      <c r="C119" s="230" t="s">
        <v>358</v>
      </c>
      <c r="D119" s="200">
        <v>16</v>
      </c>
      <c r="E119" s="201">
        <v>39672</v>
      </c>
      <c r="F119" s="201">
        <f t="shared" si="188"/>
        <v>100</v>
      </c>
      <c r="G119" s="201">
        <f t="shared" si="189"/>
        <v>4760.6400000000003</v>
      </c>
      <c r="H119" s="202">
        <f t="shared" si="190"/>
        <v>39672</v>
      </c>
      <c r="I119" s="202">
        <f t="shared" si="191"/>
        <v>2000</v>
      </c>
      <c r="J119" s="202">
        <f t="shared" si="192"/>
        <v>1100</v>
      </c>
      <c r="K119" s="202">
        <f t="shared" si="193"/>
        <v>150</v>
      </c>
      <c r="L119" s="202">
        <f t="shared" si="194"/>
        <v>9918</v>
      </c>
      <c r="M119" s="202">
        <f t="shared" si="195"/>
        <v>52840</v>
      </c>
      <c r="N119" s="202">
        <v>11655.76</v>
      </c>
      <c r="O119" s="202">
        <f t="shared" si="196"/>
        <v>793.44</v>
      </c>
      <c r="P119" s="203">
        <f t="shared" si="197"/>
        <v>3570.48</v>
      </c>
      <c r="Q119" s="203"/>
      <c r="R119" s="203"/>
      <c r="S119" s="203"/>
      <c r="T119" s="203"/>
      <c r="U119" s="203"/>
      <c r="V119" s="203"/>
      <c r="W119" s="203"/>
      <c r="X119" s="203"/>
      <c r="Y119" s="203"/>
      <c r="Z119" s="203">
        <f t="shared" si="198"/>
        <v>100</v>
      </c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>
        <f t="shared" si="199"/>
        <v>16119.68</v>
      </c>
      <c r="AM119" s="204">
        <f t="shared" si="200"/>
        <v>36720.32</v>
      </c>
      <c r="AN119" s="291"/>
      <c r="AO119" s="211"/>
      <c r="AP119" s="207"/>
      <c r="AQ119" s="212">
        <f t="shared" si="201"/>
        <v>0</v>
      </c>
      <c r="AR119" s="213">
        <f t="shared" si="202"/>
        <v>36720.32</v>
      </c>
      <c r="AS119" s="213"/>
      <c r="AT119" s="213"/>
      <c r="AU119" s="213">
        <f t="shared" si="203"/>
        <v>545.49</v>
      </c>
      <c r="AV119" s="214"/>
      <c r="AW119" s="214" t="str">
        <f t="shared" si="204"/>
        <v>25%</v>
      </c>
      <c r="AX119" s="215">
        <v>22</v>
      </c>
      <c r="AY119" s="213">
        <v>150</v>
      </c>
      <c r="AZ119" s="214">
        <v>22</v>
      </c>
      <c r="BA119" s="213">
        <v>50</v>
      </c>
      <c r="BB119" s="213">
        <f t="shared" si="205"/>
        <v>0</v>
      </c>
      <c r="BC119" s="213">
        <f t="shared" si="206"/>
        <v>1100</v>
      </c>
      <c r="BD119" s="215"/>
    </row>
    <row r="120" spans="1:60" s="217" customFormat="1" ht="36.75" customHeight="1" x14ac:dyDescent="0.25">
      <c r="A120" s="296">
        <v>106</v>
      </c>
      <c r="B120" s="210"/>
      <c r="C120" s="230" t="s">
        <v>359</v>
      </c>
      <c r="D120" s="200">
        <v>16</v>
      </c>
      <c r="E120" s="201">
        <v>39672</v>
      </c>
      <c r="F120" s="201">
        <f t="shared" si="188"/>
        <v>100</v>
      </c>
      <c r="G120" s="201">
        <f t="shared" si="189"/>
        <v>4760.6400000000003</v>
      </c>
      <c r="H120" s="202">
        <f t="shared" si="190"/>
        <v>39672</v>
      </c>
      <c r="I120" s="202">
        <f t="shared" si="191"/>
        <v>2000</v>
      </c>
      <c r="J120" s="202">
        <f t="shared" si="192"/>
        <v>1100</v>
      </c>
      <c r="K120" s="202">
        <f t="shared" si="193"/>
        <v>150</v>
      </c>
      <c r="L120" s="202">
        <f t="shared" si="194"/>
        <v>9918</v>
      </c>
      <c r="M120" s="202">
        <f t="shared" si="195"/>
        <v>52840</v>
      </c>
      <c r="N120" s="202">
        <v>11468.3</v>
      </c>
      <c r="O120" s="202">
        <f t="shared" si="196"/>
        <v>793.44</v>
      </c>
      <c r="P120" s="203">
        <f t="shared" si="197"/>
        <v>3570.48</v>
      </c>
      <c r="Q120" s="203"/>
      <c r="R120" s="203"/>
      <c r="S120" s="203"/>
      <c r="T120" s="203"/>
      <c r="U120" s="203"/>
      <c r="V120" s="203"/>
      <c r="W120" s="203"/>
      <c r="X120" s="203"/>
      <c r="Y120" s="203"/>
      <c r="Z120" s="203">
        <f t="shared" si="198"/>
        <v>100</v>
      </c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>
        <f t="shared" si="199"/>
        <v>15932.22</v>
      </c>
      <c r="AM120" s="204">
        <f t="shared" si="200"/>
        <v>36907.78</v>
      </c>
      <c r="AN120" s="291"/>
      <c r="AO120" s="243"/>
      <c r="AP120" s="207"/>
      <c r="AQ120" s="212">
        <f t="shared" si="201"/>
        <v>0</v>
      </c>
      <c r="AR120" s="213">
        <f t="shared" si="202"/>
        <v>36907.78</v>
      </c>
      <c r="AS120" s="213"/>
      <c r="AT120" s="213"/>
      <c r="AU120" s="213">
        <f t="shared" si="203"/>
        <v>545.49</v>
      </c>
      <c r="AV120" s="214"/>
      <c r="AW120" s="214" t="str">
        <f t="shared" si="204"/>
        <v>25%</v>
      </c>
      <c r="AX120" s="215">
        <v>22</v>
      </c>
      <c r="AY120" s="213">
        <v>150</v>
      </c>
      <c r="AZ120" s="214">
        <v>22</v>
      </c>
      <c r="BA120" s="213">
        <v>50</v>
      </c>
      <c r="BB120" s="213">
        <f t="shared" si="205"/>
        <v>0</v>
      </c>
      <c r="BC120" s="213">
        <f t="shared" si="206"/>
        <v>1100</v>
      </c>
      <c r="BD120" s="215"/>
    </row>
    <row r="121" spans="1:60" s="217" customFormat="1" ht="36.75" customHeight="1" x14ac:dyDescent="0.25">
      <c r="A121" s="296">
        <v>107</v>
      </c>
      <c r="B121" s="210"/>
      <c r="C121" s="230" t="s">
        <v>360</v>
      </c>
      <c r="D121" s="200">
        <v>16</v>
      </c>
      <c r="E121" s="201">
        <v>39672</v>
      </c>
      <c r="F121" s="201">
        <f t="shared" si="188"/>
        <v>100</v>
      </c>
      <c r="G121" s="201">
        <f t="shared" si="189"/>
        <v>4760.6400000000003</v>
      </c>
      <c r="H121" s="202">
        <f t="shared" si="190"/>
        <v>39672</v>
      </c>
      <c r="I121" s="202">
        <f t="shared" si="191"/>
        <v>2000</v>
      </c>
      <c r="J121" s="202">
        <f t="shared" si="192"/>
        <v>1100</v>
      </c>
      <c r="K121" s="202">
        <f t="shared" si="193"/>
        <v>150</v>
      </c>
      <c r="L121" s="202">
        <f t="shared" si="194"/>
        <v>9918</v>
      </c>
      <c r="M121" s="202">
        <f t="shared" si="195"/>
        <v>52840</v>
      </c>
      <c r="N121" s="202">
        <v>11355.76</v>
      </c>
      <c r="O121" s="202">
        <f t="shared" si="196"/>
        <v>793.44</v>
      </c>
      <c r="P121" s="203">
        <f t="shared" si="197"/>
        <v>3570.48</v>
      </c>
      <c r="Q121" s="203"/>
      <c r="R121" s="203"/>
      <c r="S121" s="203"/>
      <c r="T121" s="203"/>
      <c r="U121" s="203"/>
      <c r="V121" s="203"/>
      <c r="W121" s="203"/>
      <c r="X121" s="203"/>
      <c r="Y121" s="203"/>
      <c r="Z121" s="203">
        <f t="shared" si="198"/>
        <v>100</v>
      </c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>
        <f t="shared" si="199"/>
        <v>15819.68</v>
      </c>
      <c r="AM121" s="204">
        <f t="shared" si="200"/>
        <v>37020.32</v>
      </c>
      <c r="AN121" s="291"/>
      <c r="AO121" s="211"/>
      <c r="AP121" s="207"/>
      <c r="AQ121" s="212">
        <f t="shared" si="201"/>
        <v>0</v>
      </c>
      <c r="AR121" s="213">
        <f t="shared" si="202"/>
        <v>37020.32</v>
      </c>
      <c r="AS121" s="213"/>
      <c r="AT121" s="213"/>
      <c r="AU121" s="213">
        <f t="shared" si="203"/>
        <v>545.49</v>
      </c>
      <c r="AV121" s="214"/>
      <c r="AW121" s="214" t="str">
        <f t="shared" si="204"/>
        <v>25%</v>
      </c>
      <c r="AX121" s="215">
        <v>22</v>
      </c>
      <c r="AY121" s="213">
        <v>150</v>
      </c>
      <c r="AZ121" s="214">
        <v>22</v>
      </c>
      <c r="BA121" s="213">
        <v>50</v>
      </c>
      <c r="BB121" s="213">
        <f t="shared" si="205"/>
        <v>0</v>
      </c>
      <c r="BC121" s="213">
        <f t="shared" si="206"/>
        <v>1100</v>
      </c>
      <c r="BD121" s="215"/>
    </row>
    <row r="122" spans="1:60" s="217" customFormat="1" ht="36.75" customHeight="1" x14ac:dyDescent="0.25">
      <c r="A122" s="296">
        <v>108</v>
      </c>
      <c r="B122" s="210"/>
      <c r="C122" s="230" t="s">
        <v>362</v>
      </c>
      <c r="D122" s="200">
        <v>16</v>
      </c>
      <c r="E122" s="201">
        <v>39672</v>
      </c>
      <c r="F122" s="201">
        <f t="shared" si="188"/>
        <v>100</v>
      </c>
      <c r="G122" s="201">
        <f t="shared" si="189"/>
        <v>4760.6400000000003</v>
      </c>
      <c r="H122" s="202">
        <f t="shared" si="190"/>
        <v>39672</v>
      </c>
      <c r="I122" s="202">
        <f t="shared" si="191"/>
        <v>2000</v>
      </c>
      <c r="J122" s="202">
        <f t="shared" si="192"/>
        <v>1100</v>
      </c>
      <c r="K122" s="202">
        <f t="shared" si="193"/>
        <v>150</v>
      </c>
      <c r="L122" s="202">
        <f t="shared" si="194"/>
        <v>9918</v>
      </c>
      <c r="M122" s="202">
        <f t="shared" si="195"/>
        <v>52840</v>
      </c>
      <c r="N122" s="202">
        <v>11155.76</v>
      </c>
      <c r="O122" s="202">
        <f t="shared" si="196"/>
        <v>793.44</v>
      </c>
      <c r="P122" s="203">
        <f t="shared" si="197"/>
        <v>3570.48</v>
      </c>
      <c r="Q122" s="203"/>
      <c r="R122" s="203"/>
      <c r="S122" s="203"/>
      <c r="T122" s="203"/>
      <c r="U122" s="203"/>
      <c r="V122" s="203"/>
      <c r="W122" s="203"/>
      <c r="X122" s="203"/>
      <c r="Y122" s="203"/>
      <c r="Z122" s="203">
        <f t="shared" si="198"/>
        <v>100</v>
      </c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>
        <f>SUM(O122:AK122)</f>
        <v>4463.92</v>
      </c>
      <c r="AM122" s="204">
        <f t="shared" si="200"/>
        <v>48376.08</v>
      </c>
      <c r="AN122" s="291"/>
      <c r="AO122" s="211"/>
      <c r="AP122" s="207"/>
      <c r="AQ122" s="212">
        <f t="shared" si="201"/>
        <v>0</v>
      </c>
      <c r="AR122" s="213">
        <f t="shared" si="202"/>
        <v>48376.08</v>
      </c>
      <c r="AS122" s="213"/>
      <c r="AT122" s="213"/>
      <c r="AU122" s="213">
        <f t="shared" si="203"/>
        <v>545.49</v>
      </c>
      <c r="AV122" s="214"/>
      <c r="AW122" s="214" t="str">
        <f t="shared" si="204"/>
        <v>25%</v>
      </c>
      <c r="AX122" s="215">
        <v>22</v>
      </c>
      <c r="AY122" s="213">
        <v>150</v>
      </c>
      <c r="AZ122" s="214">
        <v>22</v>
      </c>
      <c r="BA122" s="213">
        <v>50</v>
      </c>
      <c r="BB122" s="213">
        <f t="shared" si="205"/>
        <v>0</v>
      </c>
      <c r="BC122" s="213">
        <f t="shared" si="206"/>
        <v>1100</v>
      </c>
      <c r="BD122" s="215"/>
    </row>
    <row r="123" spans="1:60" s="217" customFormat="1" ht="36.75" customHeight="1" x14ac:dyDescent="0.25">
      <c r="A123" s="296">
        <v>109</v>
      </c>
      <c r="B123" s="210"/>
      <c r="C123" s="230" t="s">
        <v>361</v>
      </c>
      <c r="D123" s="200">
        <v>16</v>
      </c>
      <c r="E123" s="201">
        <v>39672</v>
      </c>
      <c r="F123" s="201">
        <f t="shared" si="188"/>
        <v>100</v>
      </c>
      <c r="G123" s="201">
        <f t="shared" si="189"/>
        <v>4760.6400000000003</v>
      </c>
      <c r="H123" s="202">
        <f t="shared" si="190"/>
        <v>39672</v>
      </c>
      <c r="I123" s="202">
        <f t="shared" si="191"/>
        <v>2000</v>
      </c>
      <c r="J123" s="202">
        <f t="shared" si="192"/>
        <v>1100</v>
      </c>
      <c r="K123" s="202">
        <f t="shared" si="193"/>
        <v>150</v>
      </c>
      <c r="L123" s="202">
        <f t="shared" si="194"/>
        <v>9918</v>
      </c>
      <c r="M123" s="202">
        <f t="shared" si="195"/>
        <v>52840</v>
      </c>
      <c r="N123" s="202">
        <v>11268.3</v>
      </c>
      <c r="O123" s="202">
        <f t="shared" si="196"/>
        <v>793.44</v>
      </c>
      <c r="P123" s="203">
        <f t="shared" si="197"/>
        <v>3570.48</v>
      </c>
      <c r="Q123" s="203"/>
      <c r="R123" s="203"/>
      <c r="S123" s="203"/>
      <c r="T123" s="203"/>
      <c r="U123" s="203"/>
      <c r="V123" s="203"/>
      <c r="W123" s="203"/>
      <c r="X123" s="203"/>
      <c r="Y123" s="203"/>
      <c r="Z123" s="203">
        <f t="shared" si="198"/>
        <v>100</v>
      </c>
      <c r="AA123" s="203"/>
      <c r="AB123" s="203"/>
      <c r="AC123" s="203"/>
      <c r="AD123" s="203"/>
      <c r="AE123" s="203"/>
      <c r="AF123" s="203"/>
      <c r="AG123" s="203"/>
      <c r="AH123" s="203"/>
      <c r="AI123" s="203"/>
      <c r="AJ123" s="203"/>
      <c r="AK123" s="203"/>
      <c r="AL123" s="203">
        <f t="shared" ref="AL123:AL129" si="207">SUM(N123:AK123)</f>
        <v>15732.22</v>
      </c>
      <c r="AM123" s="204">
        <f t="shared" si="200"/>
        <v>37107.78</v>
      </c>
      <c r="AN123" s="291"/>
      <c r="AO123" s="211"/>
      <c r="AP123" s="207"/>
      <c r="AQ123" s="212">
        <f t="shared" si="201"/>
        <v>0</v>
      </c>
      <c r="AR123" s="213">
        <f t="shared" si="202"/>
        <v>37107.78</v>
      </c>
      <c r="AS123" s="213"/>
      <c r="AT123" s="213"/>
      <c r="AU123" s="213">
        <f t="shared" si="203"/>
        <v>545.49</v>
      </c>
      <c r="AV123" s="214"/>
      <c r="AW123" s="214" t="str">
        <f t="shared" si="204"/>
        <v>25%</v>
      </c>
      <c r="AX123" s="215">
        <v>22</v>
      </c>
      <c r="AY123" s="213">
        <v>150</v>
      </c>
      <c r="AZ123" s="214">
        <v>22</v>
      </c>
      <c r="BA123" s="213">
        <v>50</v>
      </c>
      <c r="BB123" s="213">
        <f t="shared" si="205"/>
        <v>0</v>
      </c>
      <c r="BC123" s="213">
        <f t="shared" si="206"/>
        <v>1100</v>
      </c>
      <c r="BD123" s="215"/>
    </row>
    <row r="124" spans="1:60" s="217" customFormat="1" ht="36.75" customHeight="1" x14ac:dyDescent="0.25">
      <c r="A124" s="296">
        <v>110</v>
      </c>
      <c r="B124" s="210"/>
      <c r="C124" s="254" t="s">
        <v>363</v>
      </c>
      <c r="D124" s="200">
        <v>16</v>
      </c>
      <c r="E124" s="201">
        <v>39672</v>
      </c>
      <c r="F124" s="201">
        <f t="shared" si="188"/>
        <v>100</v>
      </c>
      <c r="G124" s="201">
        <f t="shared" si="189"/>
        <v>4760.6400000000003</v>
      </c>
      <c r="H124" s="202">
        <f t="shared" si="190"/>
        <v>39672</v>
      </c>
      <c r="I124" s="202">
        <f t="shared" si="191"/>
        <v>2000</v>
      </c>
      <c r="J124" s="202">
        <f t="shared" si="192"/>
        <v>0</v>
      </c>
      <c r="K124" s="202"/>
      <c r="L124" s="202"/>
      <c r="M124" s="202">
        <f t="shared" si="195"/>
        <v>41672</v>
      </c>
      <c r="N124" s="202">
        <v>10607.1</v>
      </c>
      <c r="O124" s="202">
        <f t="shared" si="196"/>
        <v>793.44</v>
      </c>
      <c r="P124" s="203">
        <f t="shared" si="197"/>
        <v>3570.48</v>
      </c>
      <c r="Q124" s="203"/>
      <c r="R124" s="203"/>
      <c r="S124" s="203"/>
      <c r="T124" s="203"/>
      <c r="U124" s="203"/>
      <c r="V124" s="203"/>
      <c r="W124" s="203"/>
      <c r="X124" s="203"/>
      <c r="Y124" s="203"/>
      <c r="Z124" s="203">
        <f t="shared" si="198"/>
        <v>100</v>
      </c>
      <c r="AA124" s="203"/>
      <c r="AB124" s="203"/>
      <c r="AC124" s="203"/>
      <c r="AD124" s="203"/>
      <c r="AE124" s="203"/>
      <c r="AF124" s="203"/>
      <c r="AG124" s="203"/>
      <c r="AH124" s="203"/>
      <c r="AI124" s="203"/>
      <c r="AJ124" s="203"/>
      <c r="AK124" s="203"/>
      <c r="AL124" s="203">
        <f t="shared" si="207"/>
        <v>15071.02</v>
      </c>
      <c r="AM124" s="204">
        <f t="shared" si="200"/>
        <v>26600.98</v>
      </c>
      <c r="AN124" s="338" t="s">
        <v>477</v>
      </c>
      <c r="AO124" s="211"/>
      <c r="AP124" s="207"/>
      <c r="AQ124" s="212">
        <f t="shared" si="201"/>
        <v>0</v>
      </c>
      <c r="AR124" s="213">
        <f t="shared" si="202"/>
        <v>26600.98</v>
      </c>
      <c r="AS124" s="213"/>
      <c r="AT124" s="213"/>
      <c r="AU124" s="213">
        <f t="shared" si="203"/>
        <v>545.49</v>
      </c>
      <c r="AV124" s="214"/>
      <c r="AW124" s="214" t="str">
        <f t="shared" si="204"/>
        <v>25%</v>
      </c>
      <c r="AX124" s="215">
        <v>22</v>
      </c>
      <c r="AY124" s="213">
        <v>150</v>
      </c>
      <c r="AZ124" s="214">
        <v>22</v>
      </c>
      <c r="BA124" s="213">
        <v>50</v>
      </c>
      <c r="BB124" s="213">
        <f t="shared" si="205"/>
        <v>1100</v>
      </c>
      <c r="BC124" s="213">
        <f t="shared" si="206"/>
        <v>1100</v>
      </c>
      <c r="BD124" s="215">
        <v>22</v>
      </c>
    </row>
    <row r="125" spans="1:60" s="217" customFormat="1" ht="36.75" customHeight="1" x14ac:dyDescent="0.25">
      <c r="A125" s="296">
        <v>111</v>
      </c>
      <c r="B125" s="210"/>
      <c r="C125" s="230" t="s">
        <v>364</v>
      </c>
      <c r="D125" s="200">
        <v>16</v>
      </c>
      <c r="E125" s="201">
        <v>39672</v>
      </c>
      <c r="F125" s="201">
        <f t="shared" si="188"/>
        <v>100</v>
      </c>
      <c r="G125" s="201">
        <f t="shared" si="189"/>
        <v>4760.6400000000003</v>
      </c>
      <c r="H125" s="202">
        <f t="shared" si="190"/>
        <v>39672</v>
      </c>
      <c r="I125" s="202">
        <f t="shared" si="191"/>
        <v>2000</v>
      </c>
      <c r="J125" s="202">
        <f t="shared" si="192"/>
        <v>1100</v>
      </c>
      <c r="K125" s="202">
        <f t="shared" si="193"/>
        <v>150</v>
      </c>
      <c r="L125" s="202">
        <f t="shared" si="194"/>
        <v>9918</v>
      </c>
      <c r="M125" s="202">
        <f t="shared" si="195"/>
        <v>52840</v>
      </c>
      <c r="N125" s="202">
        <v>11155.76</v>
      </c>
      <c r="O125" s="202">
        <f t="shared" si="196"/>
        <v>793.44</v>
      </c>
      <c r="P125" s="203">
        <f t="shared" si="197"/>
        <v>3570.48</v>
      </c>
      <c r="Q125" s="203"/>
      <c r="R125" s="203"/>
      <c r="S125" s="203"/>
      <c r="T125" s="203"/>
      <c r="U125" s="203"/>
      <c r="V125" s="203"/>
      <c r="W125" s="203"/>
      <c r="X125" s="203"/>
      <c r="Y125" s="203"/>
      <c r="Z125" s="203">
        <f t="shared" si="198"/>
        <v>100</v>
      </c>
      <c r="AA125" s="203"/>
      <c r="AB125" s="203"/>
      <c r="AC125" s="203"/>
      <c r="AD125" s="203"/>
      <c r="AE125" s="203"/>
      <c r="AF125" s="203"/>
      <c r="AG125" s="203"/>
      <c r="AH125" s="203"/>
      <c r="AI125" s="203"/>
      <c r="AJ125" s="203"/>
      <c r="AK125" s="203"/>
      <c r="AL125" s="203">
        <f t="shared" si="207"/>
        <v>15619.68</v>
      </c>
      <c r="AM125" s="204">
        <f t="shared" si="200"/>
        <v>37220.32</v>
      </c>
      <c r="AN125" s="291"/>
      <c r="AO125" s="211"/>
      <c r="AP125" s="207"/>
      <c r="AQ125" s="212">
        <f t="shared" si="201"/>
        <v>0</v>
      </c>
      <c r="AR125" s="213">
        <f t="shared" si="202"/>
        <v>37220.32</v>
      </c>
      <c r="AS125" s="213"/>
      <c r="AT125" s="213"/>
      <c r="AU125" s="213">
        <f t="shared" si="203"/>
        <v>545.49</v>
      </c>
      <c r="AV125" s="214"/>
      <c r="AW125" s="214" t="str">
        <f t="shared" si="204"/>
        <v>25%</v>
      </c>
      <c r="AX125" s="215">
        <v>22</v>
      </c>
      <c r="AY125" s="213">
        <v>150</v>
      </c>
      <c r="AZ125" s="214">
        <v>22</v>
      </c>
      <c r="BA125" s="213">
        <v>50</v>
      </c>
      <c r="BB125" s="213">
        <f t="shared" si="205"/>
        <v>0</v>
      </c>
      <c r="BC125" s="213">
        <f t="shared" si="206"/>
        <v>1100</v>
      </c>
      <c r="BD125" s="215"/>
    </row>
    <row r="126" spans="1:60" s="217" customFormat="1" ht="36.75" customHeight="1" x14ac:dyDescent="0.25">
      <c r="A126" s="296">
        <v>112</v>
      </c>
      <c r="B126" s="210"/>
      <c r="C126" s="230" t="s">
        <v>365</v>
      </c>
      <c r="D126" s="200">
        <v>16</v>
      </c>
      <c r="E126" s="201">
        <v>39672</v>
      </c>
      <c r="F126" s="201">
        <f t="shared" si="188"/>
        <v>100</v>
      </c>
      <c r="G126" s="201">
        <f t="shared" si="189"/>
        <v>4760.6400000000003</v>
      </c>
      <c r="H126" s="202">
        <f t="shared" si="190"/>
        <v>39672</v>
      </c>
      <c r="I126" s="202">
        <f t="shared" si="191"/>
        <v>2000</v>
      </c>
      <c r="J126" s="202">
        <f t="shared" si="192"/>
        <v>1100</v>
      </c>
      <c r="K126" s="202">
        <f t="shared" si="193"/>
        <v>150</v>
      </c>
      <c r="L126" s="202">
        <f t="shared" si="194"/>
        <v>9918</v>
      </c>
      <c r="M126" s="202">
        <f t="shared" si="195"/>
        <v>52840</v>
      </c>
      <c r="N126" s="202">
        <v>10730.76</v>
      </c>
      <c r="O126" s="202">
        <f t="shared" si="196"/>
        <v>793.44</v>
      </c>
      <c r="P126" s="203">
        <f t="shared" si="197"/>
        <v>3570.48</v>
      </c>
      <c r="Q126" s="203"/>
      <c r="R126" s="203"/>
      <c r="S126" s="203"/>
      <c r="T126" s="203"/>
      <c r="U126" s="203"/>
      <c r="V126" s="203"/>
      <c r="W126" s="203"/>
      <c r="X126" s="203"/>
      <c r="Y126" s="203"/>
      <c r="Z126" s="203">
        <f t="shared" si="198"/>
        <v>100</v>
      </c>
      <c r="AA126" s="203"/>
      <c r="AB126" s="203"/>
      <c r="AC126" s="203"/>
      <c r="AD126" s="203"/>
      <c r="AE126" s="203"/>
      <c r="AF126" s="203"/>
      <c r="AG126" s="203"/>
      <c r="AH126" s="203"/>
      <c r="AI126" s="203"/>
      <c r="AJ126" s="203"/>
      <c r="AK126" s="203"/>
      <c r="AL126" s="203">
        <f t="shared" si="207"/>
        <v>15194.68</v>
      </c>
      <c r="AM126" s="204">
        <f t="shared" si="200"/>
        <v>37645.32</v>
      </c>
      <c r="AN126" s="291"/>
      <c r="AO126" s="211"/>
      <c r="AP126" s="207"/>
      <c r="AQ126" s="212">
        <f t="shared" si="201"/>
        <v>0</v>
      </c>
      <c r="AR126" s="213">
        <f t="shared" si="202"/>
        <v>37645.32</v>
      </c>
      <c r="AS126" s="213"/>
      <c r="AT126" s="213"/>
      <c r="AU126" s="213">
        <f t="shared" si="203"/>
        <v>545.49</v>
      </c>
      <c r="AV126" s="214"/>
      <c r="AW126" s="214" t="str">
        <f t="shared" si="204"/>
        <v>25%</v>
      </c>
      <c r="AX126" s="215">
        <v>22</v>
      </c>
      <c r="AY126" s="213">
        <v>150</v>
      </c>
      <c r="AZ126" s="214">
        <v>22</v>
      </c>
      <c r="BA126" s="213">
        <v>50</v>
      </c>
      <c r="BB126" s="213">
        <f t="shared" si="205"/>
        <v>0</v>
      </c>
      <c r="BC126" s="213">
        <f t="shared" si="206"/>
        <v>1100</v>
      </c>
      <c r="BD126" s="215"/>
    </row>
    <row r="127" spans="1:60" s="217" customFormat="1" ht="36.75" customHeight="1" x14ac:dyDescent="0.25">
      <c r="A127" s="296">
        <v>113</v>
      </c>
      <c r="B127" s="210"/>
      <c r="C127" s="230" t="s">
        <v>366</v>
      </c>
      <c r="D127" s="200">
        <v>16</v>
      </c>
      <c r="E127" s="201">
        <v>39672</v>
      </c>
      <c r="F127" s="201">
        <f t="shared" si="188"/>
        <v>100</v>
      </c>
      <c r="G127" s="201">
        <f t="shared" si="189"/>
        <v>4760.6400000000003</v>
      </c>
      <c r="H127" s="202">
        <f t="shared" si="190"/>
        <v>39672</v>
      </c>
      <c r="I127" s="202">
        <f t="shared" si="191"/>
        <v>2000</v>
      </c>
      <c r="J127" s="202">
        <f t="shared" si="192"/>
        <v>1100</v>
      </c>
      <c r="K127" s="202">
        <f t="shared" si="193"/>
        <v>150</v>
      </c>
      <c r="L127" s="202">
        <f t="shared" si="194"/>
        <v>9918</v>
      </c>
      <c r="M127" s="202">
        <f t="shared" si="195"/>
        <v>52840</v>
      </c>
      <c r="N127" s="202">
        <v>11468.3</v>
      </c>
      <c r="O127" s="202">
        <f t="shared" si="196"/>
        <v>793.44</v>
      </c>
      <c r="P127" s="203">
        <f t="shared" si="197"/>
        <v>3570.48</v>
      </c>
      <c r="Q127" s="203"/>
      <c r="R127" s="203"/>
      <c r="S127" s="203"/>
      <c r="T127" s="203"/>
      <c r="U127" s="203"/>
      <c r="V127" s="203"/>
      <c r="W127" s="203"/>
      <c r="X127" s="203"/>
      <c r="Y127" s="203"/>
      <c r="Z127" s="203">
        <f t="shared" si="198"/>
        <v>100</v>
      </c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>
        <f t="shared" si="207"/>
        <v>15932.22</v>
      </c>
      <c r="AM127" s="204">
        <f t="shared" si="200"/>
        <v>36907.78</v>
      </c>
      <c r="AN127" s="291"/>
      <c r="AO127" s="211"/>
      <c r="AP127" s="207"/>
      <c r="AQ127" s="212">
        <f t="shared" si="201"/>
        <v>0</v>
      </c>
      <c r="AR127" s="213">
        <f t="shared" si="202"/>
        <v>36907.78</v>
      </c>
      <c r="AS127" s="213"/>
      <c r="AT127" s="213"/>
      <c r="AU127" s="213">
        <f t="shared" si="203"/>
        <v>545.49</v>
      </c>
      <c r="AV127" s="214"/>
      <c r="AW127" s="214" t="str">
        <f t="shared" si="204"/>
        <v>25%</v>
      </c>
      <c r="AX127" s="215">
        <v>22</v>
      </c>
      <c r="AY127" s="213">
        <v>150</v>
      </c>
      <c r="AZ127" s="214">
        <v>22</v>
      </c>
      <c r="BA127" s="213">
        <v>50</v>
      </c>
      <c r="BB127" s="213">
        <f t="shared" si="205"/>
        <v>0</v>
      </c>
      <c r="BC127" s="213">
        <f t="shared" si="206"/>
        <v>1100</v>
      </c>
      <c r="BD127" s="215"/>
    </row>
    <row r="128" spans="1:60" s="217" customFormat="1" ht="36.75" customHeight="1" x14ac:dyDescent="0.25">
      <c r="A128" s="296">
        <v>114</v>
      </c>
      <c r="B128" s="210"/>
      <c r="C128" s="230" t="s">
        <v>367</v>
      </c>
      <c r="D128" s="200">
        <v>16</v>
      </c>
      <c r="E128" s="201">
        <v>39672</v>
      </c>
      <c r="F128" s="201">
        <f t="shared" si="188"/>
        <v>100</v>
      </c>
      <c r="G128" s="201">
        <f t="shared" si="189"/>
        <v>4760.6400000000003</v>
      </c>
      <c r="H128" s="202">
        <f t="shared" si="190"/>
        <v>39672</v>
      </c>
      <c r="I128" s="202">
        <f t="shared" si="191"/>
        <v>2000</v>
      </c>
      <c r="J128" s="202">
        <f t="shared" si="192"/>
        <v>1100</v>
      </c>
      <c r="K128" s="202">
        <f t="shared" si="193"/>
        <v>150</v>
      </c>
      <c r="L128" s="202">
        <f t="shared" si="194"/>
        <v>9918</v>
      </c>
      <c r="M128" s="202">
        <f t="shared" si="195"/>
        <v>52840</v>
      </c>
      <c r="N128" s="202">
        <v>11155.76</v>
      </c>
      <c r="O128" s="202">
        <f t="shared" si="196"/>
        <v>793.44</v>
      </c>
      <c r="P128" s="203">
        <f t="shared" si="197"/>
        <v>3570.48</v>
      </c>
      <c r="Q128" s="203"/>
      <c r="R128" s="203"/>
      <c r="S128" s="203"/>
      <c r="T128" s="203"/>
      <c r="U128" s="203"/>
      <c r="V128" s="203"/>
      <c r="W128" s="203"/>
      <c r="X128" s="203"/>
      <c r="Y128" s="203"/>
      <c r="Z128" s="203">
        <f t="shared" si="198"/>
        <v>100</v>
      </c>
      <c r="AA128" s="203"/>
      <c r="AB128" s="203"/>
      <c r="AC128" s="203"/>
      <c r="AD128" s="203"/>
      <c r="AE128" s="203"/>
      <c r="AF128" s="203"/>
      <c r="AG128" s="203"/>
      <c r="AH128" s="203"/>
      <c r="AI128" s="203"/>
      <c r="AJ128" s="203"/>
      <c r="AK128" s="203"/>
      <c r="AL128" s="203">
        <f t="shared" si="207"/>
        <v>15619.68</v>
      </c>
      <c r="AM128" s="204">
        <f t="shared" si="200"/>
        <v>37220.32</v>
      </c>
      <c r="AN128" s="291"/>
      <c r="AO128" s="211"/>
      <c r="AP128" s="207"/>
      <c r="AQ128" s="212">
        <f t="shared" si="201"/>
        <v>0</v>
      </c>
      <c r="AR128" s="213">
        <f t="shared" si="202"/>
        <v>37220.32</v>
      </c>
      <c r="AS128" s="213"/>
      <c r="AT128" s="213"/>
      <c r="AU128" s="213">
        <f t="shared" si="203"/>
        <v>545.49</v>
      </c>
      <c r="AV128" s="214"/>
      <c r="AW128" s="214" t="str">
        <f t="shared" si="204"/>
        <v>25%</v>
      </c>
      <c r="AX128" s="215">
        <v>22</v>
      </c>
      <c r="AY128" s="213">
        <v>150</v>
      </c>
      <c r="AZ128" s="214">
        <v>22</v>
      </c>
      <c r="BA128" s="213">
        <v>50</v>
      </c>
      <c r="BB128" s="213">
        <f t="shared" si="205"/>
        <v>0</v>
      </c>
      <c r="BC128" s="213">
        <f t="shared" si="206"/>
        <v>1100</v>
      </c>
      <c r="BD128" s="215"/>
    </row>
    <row r="129" spans="1:60" s="217" customFormat="1" ht="36.75" customHeight="1" x14ac:dyDescent="0.25">
      <c r="A129" s="296">
        <v>115</v>
      </c>
      <c r="B129" s="210"/>
      <c r="C129" s="230" t="s">
        <v>368</v>
      </c>
      <c r="D129" s="200">
        <v>16</v>
      </c>
      <c r="E129" s="201">
        <v>39672</v>
      </c>
      <c r="F129" s="201">
        <f t="shared" si="188"/>
        <v>100</v>
      </c>
      <c r="G129" s="201">
        <f t="shared" si="189"/>
        <v>4760.6400000000003</v>
      </c>
      <c r="H129" s="202">
        <f t="shared" si="190"/>
        <v>39672</v>
      </c>
      <c r="I129" s="202">
        <f t="shared" si="191"/>
        <v>2000</v>
      </c>
      <c r="J129" s="202">
        <f t="shared" si="192"/>
        <v>1100</v>
      </c>
      <c r="K129" s="202">
        <f t="shared" si="193"/>
        <v>150</v>
      </c>
      <c r="L129" s="202">
        <f t="shared" si="194"/>
        <v>9918</v>
      </c>
      <c r="M129" s="202">
        <f t="shared" si="195"/>
        <v>52840</v>
      </c>
      <c r="N129" s="202">
        <v>11468.3</v>
      </c>
      <c r="O129" s="202">
        <f t="shared" si="196"/>
        <v>793.44</v>
      </c>
      <c r="P129" s="203">
        <f t="shared" si="197"/>
        <v>3570.48</v>
      </c>
      <c r="Q129" s="203"/>
      <c r="R129" s="203"/>
      <c r="S129" s="203"/>
      <c r="T129" s="203"/>
      <c r="U129" s="203"/>
      <c r="V129" s="203"/>
      <c r="W129" s="203"/>
      <c r="X129" s="203"/>
      <c r="Y129" s="203"/>
      <c r="Z129" s="203">
        <f t="shared" si="198"/>
        <v>100</v>
      </c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>
        <f t="shared" si="207"/>
        <v>15932.22</v>
      </c>
      <c r="AM129" s="204">
        <f t="shared" si="200"/>
        <v>36907.78</v>
      </c>
      <c r="AN129" s="291"/>
      <c r="AO129" s="211"/>
      <c r="AP129" s="207"/>
      <c r="AQ129" s="212">
        <f t="shared" si="201"/>
        <v>0</v>
      </c>
      <c r="AR129" s="213">
        <f t="shared" si="202"/>
        <v>36907.78</v>
      </c>
      <c r="AS129" s="213"/>
      <c r="AT129" s="213"/>
      <c r="AU129" s="213">
        <f t="shared" si="203"/>
        <v>545.49</v>
      </c>
      <c r="AV129" s="214"/>
      <c r="AW129" s="214" t="str">
        <f t="shared" si="204"/>
        <v>25%</v>
      </c>
      <c r="AX129" s="215">
        <v>22</v>
      </c>
      <c r="AY129" s="213">
        <v>150</v>
      </c>
      <c r="AZ129" s="214">
        <v>22</v>
      </c>
      <c r="BA129" s="213">
        <v>50</v>
      </c>
      <c r="BB129" s="213">
        <f t="shared" si="205"/>
        <v>0</v>
      </c>
      <c r="BC129" s="213">
        <f t="shared" si="206"/>
        <v>1100</v>
      </c>
      <c r="BD129" s="215"/>
    </row>
    <row r="130" spans="1:60" s="217" customFormat="1" ht="36.75" customHeight="1" x14ac:dyDescent="0.25">
      <c r="A130" s="296">
        <v>116</v>
      </c>
      <c r="B130" s="210"/>
      <c r="C130" s="230" t="s">
        <v>369</v>
      </c>
      <c r="D130" s="200">
        <v>16</v>
      </c>
      <c r="E130" s="201">
        <v>39672</v>
      </c>
      <c r="F130" s="201">
        <f>IF(H130&gt;0,100,0)</f>
        <v>100</v>
      </c>
      <c r="G130" s="201">
        <f>+ROUND(H130*12%,2)</f>
        <v>4760.6400000000003</v>
      </c>
      <c r="H130" s="202">
        <f>ROUND(IF(AX130&gt;22,0,IF(AX130=22,E130,IF(AX130&lt;22,E130*(AX130/AZ130),IF(OR(AX130=0,AX130=" ")=TRUE,0)))),2)</f>
        <v>39672</v>
      </c>
      <c r="I130" s="202">
        <f>ROUND(IF(AND(H130&gt;0,AX130=22)=TRUE,2000,IF(AND(H130&gt;0,AX130&lt;22,AX130&gt;0)=TRUE,2000*(AX130/AZ130),IF(AX130&lt;0,0,0))),2)</f>
        <v>2000</v>
      </c>
      <c r="J130" s="202">
        <f>IF(H130&gt;0,BC130-BB130,0)</f>
        <v>1100</v>
      </c>
      <c r="K130" s="202">
        <f>IF(AND(H130&gt;0,AX130&gt;11)=TRUE,150,0)</f>
        <v>150</v>
      </c>
      <c r="L130" s="202">
        <f>ROUND(IF(AND($H130&gt;0,AX130&gt;11)=TRUE,$AW130*$E130,0),2)</f>
        <v>9918</v>
      </c>
      <c r="M130" s="202">
        <f>ROUND(SUM(H130:L130),2)</f>
        <v>52840</v>
      </c>
      <c r="N130" s="202">
        <v>11955.76</v>
      </c>
      <c r="O130" s="202">
        <f>E130*0.04/2</f>
        <v>793.44</v>
      </c>
      <c r="P130" s="203">
        <f>ROUND($H130*9%,2)</f>
        <v>3570.48</v>
      </c>
      <c r="Q130" s="203"/>
      <c r="R130" s="203"/>
      <c r="S130" s="203"/>
      <c r="T130" s="203"/>
      <c r="U130" s="203"/>
      <c r="V130" s="203"/>
      <c r="W130" s="203"/>
      <c r="X130" s="203"/>
      <c r="Y130" s="203"/>
      <c r="Z130" s="203">
        <f>ROUND(IF(H130&gt;0,100,0),2)</f>
        <v>100</v>
      </c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>
        <f>SUM(N130:AK130)</f>
        <v>16419.68</v>
      </c>
      <c r="AM130" s="204">
        <f>ROUND(M130-AL130,2)</f>
        <v>36420.32</v>
      </c>
      <c r="AN130" s="291"/>
      <c r="AO130" s="211"/>
      <c r="AP130" s="207"/>
      <c r="AQ130" s="212">
        <f>SUM(AO130:AP130)</f>
        <v>0</v>
      </c>
      <c r="AR130" s="213">
        <f>+AM130-AQ130</f>
        <v>36420.32</v>
      </c>
      <c r="AS130" s="213"/>
      <c r="AT130" s="213"/>
      <c r="AU130" s="213">
        <f>IF(E130=0,0,IF(E130&lt;=10000,137.5,IF(AND(E130&gt;10000,E130&lt;40000)=TRUE,E130*2.75%*50%,IF(E130&gt;=40000,550,0))))</f>
        <v>545.49</v>
      </c>
      <c r="AV130" s="214"/>
      <c r="AW130" s="214" t="str">
        <f>IF(AND($D130&gt;=1,$D130&lt;=19)=TRUE,"25%",IF($D130=20,"15%",IF($D130=21,"13%",IF($D130=22,"12%",IF($D130=23,"11%",IF(OR($D130=24,$D130=25)=TRUE,"10%",IF($D130=26,"9%",IF($D130=27,"8%",IF($D130=28,"7%",IF(OR($D130=29,$D130=30)=TRUE,"6%",IF($D130=31,"5%","0%")))))))))))</f>
        <v>25%</v>
      </c>
      <c r="AX130" s="215">
        <v>22</v>
      </c>
      <c r="AY130" s="213">
        <v>150</v>
      </c>
      <c r="AZ130" s="214">
        <v>22</v>
      </c>
      <c r="BA130" s="213">
        <v>50</v>
      </c>
      <c r="BB130" s="213">
        <f>IF(AX130&gt;0,(AZ130-AX130+BD130)*BA130,0)</f>
        <v>0</v>
      </c>
      <c r="BC130" s="213">
        <f>IF(AX130&gt;0,1100,0)</f>
        <v>1100</v>
      </c>
      <c r="BD130" s="215"/>
    </row>
    <row r="131" spans="1:60" s="217" customFormat="1" ht="36.75" customHeight="1" x14ac:dyDescent="0.25">
      <c r="A131" s="296">
        <v>117</v>
      </c>
      <c r="B131" s="210"/>
      <c r="C131" s="230" t="s">
        <v>370</v>
      </c>
      <c r="D131" s="200">
        <v>16</v>
      </c>
      <c r="E131" s="201">
        <v>39672</v>
      </c>
      <c r="F131" s="201">
        <f>IF(H131&gt;0,100,0)</f>
        <v>100</v>
      </c>
      <c r="G131" s="201">
        <f>+ROUND(H131*12%,2)</f>
        <v>4760.6400000000003</v>
      </c>
      <c r="H131" s="202">
        <f>ROUND(IF(AX131&gt;22,0,IF(AX131=22,E131,IF(AX131&lt;22,E131*(AX131/AZ131),IF(OR(AX131=0,AX131=" ")=TRUE,0)))),2)</f>
        <v>39672</v>
      </c>
      <c r="I131" s="202">
        <f>ROUND(IF(AND(H131&gt;0,AX131=22)=TRUE,2000,IF(AND(H131&gt;0,AX131&lt;22,AX131&gt;0)=TRUE,2000*(AX131/AZ131),IF(AX131&lt;0,0,0))),2)</f>
        <v>2000</v>
      </c>
      <c r="J131" s="202">
        <f>IF(H131&gt;0,BC131-BB131,0)</f>
        <v>1100</v>
      </c>
      <c r="K131" s="202">
        <f>IF(AND(H131&gt;0,AX131&gt;11)=TRUE,150,0)</f>
        <v>150</v>
      </c>
      <c r="L131" s="202">
        <f>ROUND(IF(AND($H131&gt;0,AX131&gt;11)=TRUE,$AW131*$E131,0),2)</f>
        <v>9918</v>
      </c>
      <c r="M131" s="202">
        <f>ROUND(SUM(H131:L131),2)</f>
        <v>52840</v>
      </c>
      <c r="N131" s="202">
        <v>11468.3</v>
      </c>
      <c r="O131" s="202">
        <f>E131*0.04/2</f>
        <v>793.44</v>
      </c>
      <c r="P131" s="203">
        <f>ROUND($H131*9%,2)</f>
        <v>3570.48</v>
      </c>
      <c r="Q131" s="203"/>
      <c r="R131" s="203"/>
      <c r="S131" s="203"/>
      <c r="T131" s="203"/>
      <c r="U131" s="203"/>
      <c r="V131" s="203"/>
      <c r="W131" s="203"/>
      <c r="X131" s="203"/>
      <c r="Y131" s="203"/>
      <c r="Z131" s="203">
        <f>ROUND(IF(H131&gt;0,100,0),2)</f>
        <v>100</v>
      </c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>
        <f>SUM(N131:AK131)</f>
        <v>15932.22</v>
      </c>
      <c r="AM131" s="204">
        <f>ROUND(M131-AL131,2)</f>
        <v>36907.78</v>
      </c>
      <c r="AN131" s="291"/>
      <c r="AO131" s="211"/>
      <c r="AP131" s="207"/>
      <c r="AQ131" s="212">
        <f>SUM(AO131:AP131)</f>
        <v>0</v>
      </c>
      <c r="AR131" s="213">
        <f>+AM131-AQ131</f>
        <v>36907.78</v>
      </c>
      <c r="AS131" s="213"/>
      <c r="AT131" s="213"/>
      <c r="AU131" s="213">
        <f>IF(E131=0,0,IF(E131&lt;=10000,137.5,IF(AND(E131&gt;10000,E131&lt;40000)=TRUE,E131*2.75%*50%,IF(E131&gt;=40000,550,0))))</f>
        <v>545.49</v>
      </c>
      <c r="AV131" s="214"/>
      <c r="AW131" s="214" t="str">
        <f>IF(AND($D131&gt;=1,$D131&lt;=19)=TRUE,"25%",IF($D131=20,"15%",IF($D131=21,"13%",IF($D131=22,"12%",IF($D131=23,"11%",IF(OR($D131=24,$D131=25)=TRUE,"10%",IF($D131=26,"9%",IF($D131=27,"8%",IF($D131=28,"7%",IF(OR($D131=29,$D131=30)=TRUE,"6%",IF($D131=31,"5%","0%")))))))))))</f>
        <v>25%</v>
      </c>
      <c r="AX131" s="215">
        <v>22</v>
      </c>
      <c r="AY131" s="213">
        <v>150</v>
      </c>
      <c r="AZ131" s="214">
        <v>22</v>
      </c>
      <c r="BA131" s="213">
        <v>50</v>
      </c>
      <c r="BB131" s="213">
        <f>IF(AX131&gt;0,(AZ131-AX131+BD131)*BA131,0)</f>
        <v>0</v>
      </c>
      <c r="BC131" s="213">
        <f>IF(AX131&gt;0,1100,0)</f>
        <v>1100</v>
      </c>
      <c r="BD131" s="215"/>
    </row>
    <row r="132" spans="1:60" s="217" customFormat="1" ht="36.75" customHeight="1" x14ac:dyDescent="0.25">
      <c r="A132" s="296">
        <v>118</v>
      </c>
      <c r="B132" s="210"/>
      <c r="C132" s="230" t="s">
        <v>371</v>
      </c>
      <c r="D132" s="200">
        <v>16</v>
      </c>
      <c r="E132" s="201">
        <v>39672</v>
      </c>
      <c r="F132" s="201">
        <f>IF(H132&gt;0,100,0)</f>
        <v>100</v>
      </c>
      <c r="G132" s="201">
        <f>+ROUND(H132*12%,2)</f>
        <v>4760.6400000000003</v>
      </c>
      <c r="H132" s="202">
        <f>ROUND(IF(AX132&gt;22,0,IF(AX132=22,E132,IF(AX132&lt;22,E132*(AX132/AZ132),IF(OR(AX132=0,AX132=" ")=TRUE,0)))),2)</f>
        <v>39672</v>
      </c>
      <c r="I132" s="202">
        <f>ROUND(IF(AND(H132&gt;0,AX132=22)=TRUE,2000,IF(AND(H132&gt;0,AX132&lt;22,AX132&gt;0)=TRUE,2000*(AX132/AZ132),IF(AX132&lt;0,0,0))),2)</f>
        <v>2000</v>
      </c>
      <c r="J132" s="202">
        <f>IF(H132&gt;0,BC132-BB132,0)</f>
        <v>1100</v>
      </c>
      <c r="K132" s="202">
        <f>IF(AND(H132&gt;0,AX132&gt;11)=TRUE,150,0)</f>
        <v>150</v>
      </c>
      <c r="L132" s="202">
        <f>ROUND(IF(AND($H132&gt;0,AX132&gt;11)=TRUE,$AW132*$E132,0),2)</f>
        <v>9918</v>
      </c>
      <c r="M132" s="202">
        <f>ROUND(SUM(H132:L132),2)</f>
        <v>52840</v>
      </c>
      <c r="N132" s="202">
        <v>10568.3</v>
      </c>
      <c r="O132" s="202">
        <f>E132*0.04/2</f>
        <v>793.44</v>
      </c>
      <c r="P132" s="203">
        <f>ROUND($H132*9%,2)</f>
        <v>3570.48</v>
      </c>
      <c r="Q132" s="203"/>
      <c r="R132" s="203"/>
      <c r="S132" s="203"/>
      <c r="T132" s="203"/>
      <c r="U132" s="203"/>
      <c r="V132" s="203"/>
      <c r="W132" s="203"/>
      <c r="X132" s="203"/>
      <c r="Y132" s="203"/>
      <c r="Z132" s="203">
        <f>ROUND(IF(H132&gt;0,100,0),2)</f>
        <v>100</v>
      </c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>
        <f>SUM(N132:AK132)</f>
        <v>15032.22</v>
      </c>
      <c r="AM132" s="204">
        <f>ROUND(M132-AL132,2)</f>
        <v>37807.78</v>
      </c>
      <c r="AN132" s="291"/>
      <c r="AO132" s="211"/>
      <c r="AP132" s="207"/>
      <c r="AQ132" s="212">
        <f>SUM(AO132:AP132)</f>
        <v>0</v>
      </c>
      <c r="AR132" s="213">
        <f>+AM132-AQ132</f>
        <v>37807.78</v>
      </c>
      <c r="AS132" s="213"/>
      <c r="AT132" s="213"/>
      <c r="AU132" s="213">
        <f>IF(E132=0,0,IF(E132&lt;=10000,137.5,IF(AND(E132&gt;10000,E132&lt;40000)=TRUE,E132*2.75%*50%,IF(E132&gt;=40000,550,0))))</f>
        <v>545.49</v>
      </c>
      <c r="AV132" s="214"/>
      <c r="AW132" s="214" t="str">
        <f>IF(AND($D132&gt;=1,$D132&lt;=19)=TRUE,"25%",IF($D132=20,"15%",IF($D132=21,"13%",IF($D132=22,"12%",IF($D132=23,"11%",IF(OR($D132=24,$D132=25)=TRUE,"10%",IF($D132=26,"9%",IF($D132=27,"8%",IF($D132=28,"7%",IF(OR($D132=29,$D132=30)=TRUE,"6%",IF($D132=31,"5%","0%")))))))))))</f>
        <v>25%</v>
      </c>
      <c r="AX132" s="215">
        <v>22</v>
      </c>
      <c r="AY132" s="213">
        <v>150</v>
      </c>
      <c r="AZ132" s="214">
        <v>22</v>
      </c>
      <c r="BA132" s="213">
        <v>50</v>
      </c>
      <c r="BB132" s="213">
        <f>IF(AX132&gt;0,(AZ132-AX132+BD132)*BA132,0)</f>
        <v>0</v>
      </c>
      <c r="BC132" s="213">
        <f>IF(AX132&gt;0,1100,0)</f>
        <v>1100</v>
      </c>
      <c r="BD132" s="215"/>
    </row>
    <row r="133" spans="1:60" s="217" customFormat="1" ht="36.75" customHeight="1" x14ac:dyDescent="0.25">
      <c r="A133" s="296">
        <v>119</v>
      </c>
      <c r="B133" s="210"/>
      <c r="C133" s="230" t="s">
        <v>372</v>
      </c>
      <c r="D133" s="200">
        <v>16</v>
      </c>
      <c r="E133" s="201">
        <v>39672</v>
      </c>
      <c r="F133" s="201">
        <f>IF(H133&gt;0,100,0)</f>
        <v>100</v>
      </c>
      <c r="G133" s="201">
        <f>+ROUND(H133*12%,2)</f>
        <v>4760.6400000000003</v>
      </c>
      <c r="H133" s="202">
        <f>ROUND(IF(AX133&gt;22,0,IF(AX133=22,E133,IF(AX133&lt;22,E133*(AX133/AZ133),IF(OR(AX133=0,AX133=" ")=TRUE,0)))),2)</f>
        <v>39672</v>
      </c>
      <c r="I133" s="202">
        <f>ROUND(IF(AND(H133&gt;0,AX133=22)=TRUE,2000,IF(AND(H133&gt;0,AX133&lt;22,AX133&gt;0)=TRUE,2000*(AX133/AZ133),IF(AX133&lt;0,0,0))),2)</f>
        <v>2000</v>
      </c>
      <c r="J133" s="202">
        <f>IF(H133&gt;0,BC133-BB133,0)</f>
        <v>300</v>
      </c>
      <c r="K133" s="202"/>
      <c r="L133" s="202"/>
      <c r="M133" s="202">
        <f>ROUND(SUM(H133:L133),2)</f>
        <v>41972</v>
      </c>
      <c r="N133" s="202">
        <v>8609.39</v>
      </c>
      <c r="O133" s="202">
        <f>E133*0.04/2</f>
        <v>793.44</v>
      </c>
      <c r="P133" s="203">
        <f>ROUND($H133*9%,2)</f>
        <v>3570.48</v>
      </c>
      <c r="Q133" s="203"/>
      <c r="R133" s="203"/>
      <c r="S133" s="203"/>
      <c r="T133" s="203"/>
      <c r="U133" s="203"/>
      <c r="V133" s="203"/>
      <c r="W133" s="203"/>
      <c r="X133" s="203"/>
      <c r="Y133" s="203"/>
      <c r="Z133" s="203">
        <f>ROUND(IF(H133&gt;0,100,0),2)</f>
        <v>100</v>
      </c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>
        <f>SUM(N133:AK133)</f>
        <v>13073.31</v>
      </c>
      <c r="AM133" s="204">
        <f>ROUND(M133-AL133,2)</f>
        <v>28898.69</v>
      </c>
      <c r="AN133" s="338" t="s">
        <v>478</v>
      </c>
      <c r="AO133" s="211"/>
      <c r="AP133" s="207"/>
      <c r="AQ133" s="212">
        <f>SUM(AO133:AP133)</f>
        <v>0</v>
      </c>
      <c r="AR133" s="213">
        <f>+AM133-AQ133</f>
        <v>28898.69</v>
      </c>
      <c r="AS133" s="213"/>
      <c r="AT133" s="213"/>
      <c r="AU133" s="213">
        <f>IF(E133=0,0,IF(E133&lt;=10000,137.5,IF(AND(E133&gt;10000,E133&lt;40000)=TRUE,E133*2.75%*50%,IF(E133&gt;=40000,550,0))))</f>
        <v>545.49</v>
      </c>
      <c r="AV133" s="214"/>
      <c r="AW133" s="214" t="str">
        <f>IF(AND($D133&gt;=1,$D133&lt;=19)=TRUE,"25%",IF($D133=20,"15%",IF($D133=21,"13%",IF($D133=22,"12%",IF($D133=23,"11%",IF(OR($D133=24,$D133=25)=TRUE,"10%",IF($D133=26,"9%",IF($D133=27,"8%",IF($D133=28,"7%",IF(OR($D133=29,$D133=30)=TRUE,"6%",IF($D133=31,"5%","0%")))))))))))</f>
        <v>25%</v>
      </c>
      <c r="AX133" s="215">
        <v>22</v>
      </c>
      <c r="AY133" s="213">
        <v>150</v>
      </c>
      <c r="AZ133" s="214">
        <v>22</v>
      </c>
      <c r="BA133" s="213">
        <v>50</v>
      </c>
      <c r="BB133" s="213">
        <f>IF(AX133&gt;0,(AZ133-AX133+BD133)*BA133,0)</f>
        <v>800</v>
      </c>
      <c r="BC133" s="213">
        <f>IF(AX133&gt;0,1100,0)</f>
        <v>1100</v>
      </c>
      <c r="BD133" s="215">
        <v>16</v>
      </c>
    </row>
    <row r="134" spans="1:60" s="356" customFormat="1" ht="36.75" customHeight="1" x14ac:dyDescent="0.25">
      <c r="A134" s="357"/>
      <c r="B134" s="358"/>
      <c r="C134" s="359" t="s">
        <v>102</v>
      </c>
      <c r="D134" s="360"/>
      <c r="E134" s="355">
        <f>ROUND(SUM(E114:E133),2)</f>
        <v>793440</v>
      </c>
      <c r="F134" s="355">
        <f t="shared" ref="F134:BD134" si="208">ROUND(SUM(F114:F133),2)</f>
        <v>2000</v>
      </c>
      <c r="G134" s="355">
        <f t="shared" si="208"/>
        <v>95212.800000000003</v>
      </c>
      <c r="H134" s="355">
        <f t="shared" si="208"/>
        <v>793440</v>
      </c>
      <c r="I134" s="355">
        <f t="shared" si="208"/>
        <v>40000</v>
      </c>
      <c r="J134" s="355">
        <f t="shared" si="208"/>
        <v>20100</v>
      </c>
      <c r="K134" s="355">
        <f t="shared" si="208"/>
        <v>2700</v>
      </c>
      <c r="L134" s="355">
        <f t="shared" si="208"/>
        <v>178524</v>
      </c>
      <c r="M134" s="355">
        <f>ROUND(SUM(M114:M133),2)</f>
        <v>1034764</v>
      </c>
      <c r="N134" s="355">
        <f t="shared" si="208"/>
        <v>219861.66</v>
      </c>
      <c r="O134" s="355">
        <f t="shared" si="208"/>
        <v>15868.8</v>
      </c>
      <c r="P134" s="355">
        <f t="shared" si="208"/>
        <v>71409.600000000006</v>
      </c>
      <c r="Q134" s="355">
        <f t="shared" si="208"/>
        <v>0</v>
      </c>
      <c r="R134" s="355">
        <f t="shared" si="208"/>
        <v>0</v>
      </c>
      <c r="S134" s="355">
        <f t="shared" si="208"/>
        <v>0</v>
      </c>
      <c r="T134" s="355">
        <f t="shared" si="208"/>
        <v>0</v>
      </c>
      <c r="U134" s="355">
        <f t="shared" si="208"/>
        <v>0</v>
      </c>
      <c r="V134" s="355">
        <f t="shared" si="208"/>
        <v>0</v>
      </c>
      <c r="W134" s="355">
        <f t="shared" si="208"/>
        <v>0</v>
      </c>
      <c r="X134" s="355">
        <f t="shared" si="208"/>
        <v>0</v>
      </c>
      <c r="Y134" s="355">
        <f t="shared" si="208"/>
        <v>0</v>
      </c>
      <c r="Z134" s="355">
        <f t="shared" si="208"/>
        <v>2000</v>
      </c>
      <c r="AA134" s="355">
        <f t="shared" si="208"/>
        <v>0</v>
      </c>
      <c r="AB134" s="355">
        <f t="shared" si="208"/>
        <v>0</v>
      </c>
      <c r="AC134" s="355">
        <f t="shared" si="208"/>
        <v>0</v>
      </c>
      <c r="AD134" s="355">
        <f t="shared" si="208"/>
        <v>0</v>
      </c>
      <c r="AE134" s="355">
        <f t="shared" si="208"/>
        <v>0</v>
      </c>
      <c r="AF134" s="355">
        <f t="shared" si="208"/>
        <v>0</v>
      </c>
      <c r="AG134" s="355">
        <f t="shared" si="208"/>
        <v>0</v>
      </c>
      <c r="AH134" s="355">
        <f t="shared" si="208"/>
        <v>0</v>
      </c>
      <c r="AI134" s="355">
        <f t="shared" si="208"/>
        <v>0</v>
      </c>
      <c r="AJ134" s="355">
        <f t="shared" si="208"/>
        <v>0</v>
      </c>
      <c r="AK134" s="355">
        <f t="shared" si="208"/>
        <v>0</v>
      </c>
      <c r="AL134" s="355">
        <f t="shared" si="208"/>
        <v>297984.3</v>
      </c>
      <c r="AM134" s="355">
        <f t="shared" si="208"/>
        <v>736779.7</v>
      </c>
      <c r="AN134" s="355">
        <f t="shared" si="208"/>
        <v>0</v>
      </c>
      <c r="AO134" s="355">
        <f t="shared" si="208"/>
        <v>0</v>
      </c>
      <c r="AP134" s="355">
        <f t="shared" si="208"/>
        <v>0</v>
      </c>
      <c r="AQ134" s="355">
        <f t="shared" si="208"/>
        <v>0</v>
      </c>
      <c r="AR134" s="355">
        <f t="shared" si="208"/>
        <v>736779.7</v>
      </c>
      <c r="AS134" s="355">
        <f t="shared" si="208"/>
        <v>0</v>
      </c>
      <c r="AT134" s="355">
        <f t="shared" si="208"/>
        <v>0</v>
      </c>
      <c r="AU134" s="355">
        <f t="shared" si="208"/>
        <v>10909.8</v>
      </c>
      <c r="AV134" s="355">
        <f t="shared" si="208"/>
        <v>0</v>
      </c>
      <c r="AW134" s="355">
        <f t="shared" si="208"/>
        <v>0</v>
      </c>
      <c r="AX134" s="355">
        <f t="shared" si="208"/>
        <v>440</v>
      </c>
      <c r="AY134" s="355">
        <f t="shared" si="208"/>
        <v>3000</v>
      </c>
      <c r="AZ134" s="355">
        <f t="shared" si="208"/>
        <v>440</v>
      </c>
      <c r="BA134" s="355">
        <f t="shared" si="208"/>
        <v>1000</v>
      </c>
      <c r="BB134" s="355">
        <f t="shared" si="208"/>
        <v>1900</v>
      </c>
      <c r="BC134" s="355">
        <f t="shared" si="208"/>
        <v>22000</v>
      </c>
      <c r="BD134" s="355">
        <f t="shared" si="208"/>
        <v>38</v>
      </c>
      <c r="BE134" s="355"/>
      <c r="BF134" s="355"/>
      <c r="BG134" s="355"/>
      <c r="BH134" s="355"/>
    </row>
    <row r="135" spans="1:60" s="217" customFormat="1" ht="36.75" customHeight="1" x14ac:dyDescent="0.25">
      <c r="A135" s="296">
        <v>120</v>
      </c>
      <c r="B135" s="210"/>
      <c r="C135" s="230" t="s">
        <v>373</v>
      </c>
      <c r="D135" s="200">
        <v>16</v>
      </c>
      <c r="E135" s="201">
        <v>39672</v>
      </c>
      <c r="F135" s="201">
        <f t="shared" ref="F135:F150" si="209">IF(H135&gt;0,100,0)</f>
        <v>100</v>
      </c>
      <c r="G135" s="201">
        <f t="shared" ref="G135:G150" si="210">+ROUND(H135*12%,2)</f>
        <v>4760.6400000000003</v>
      </c>
      <c r="H135" s="202">
        <f t="shared" ref="H135:H150" si="211">ROUND(IF(AX135&gt;22,0,IF(AX135=22,E135,IF(AX135&lt;22,E135*(AX135/AZ135),IF(OR(AX135=0,AX135=" ")=TRUE,0)))),2)</f>
        <v>39672</v>
      </c>
      <c r="I135" s="202">
        <f t="shared" ref="I135:I150" si="212">ROUND(IF(AND(H135&gt;0,AX135=22)=TRUE,2000,IF(AND(H135&gt;0,AX135&lt;22,AX135&gt;0)=TRUE,2000*(AX135/AZ135),IF(AX135&lt;0,0,0))),2)</f>
        <v>2000</v>
      </c>
      <c r="J135" s="202">
        <f t="shared" ref="J135:J150" si="213">IF(H135&gt;0,BC135-BB135,0)</f>
        <v>1100</v>
      </c>
      <c r="K135" s="202">
        <f t="shared" ref="K135:K150" si="214">IF(AND(H135&gt;0,AX135&gt;11)=TRUE,150,0)</f>
        <v>150</v>
      </c>
      <c r="L135" s="202">
        <f t="shared" ref="L135:L150" si="215">ROUND(IF(AND($H135&gt;0,AX135&gt;11)=TRUE,$AW135*$E135,0),2)</f>
        <v>9918</v>
      </c>
      <c r="M135" s="202">
        <f t="shared" ref="M135:M150" si="216">ROUND(SUM(H135:L135),2)</f>
        <v>52840</v>
      </c>
      <c r="N135" s="202">
        <v>11455.76</v>
      </c>
      <c r="O135" s="202">
        <f t="shared" ref="O135:O150" si="217">E135*0.04/2</f>
        <v>793.44</v>
      </c>
      <c r="P135" s="203">
        <f t="shared" ref="P135:P150" si="218">ROUND($H135*9%,2)</f>
        <v>3570.48</v>
      </c>
      <c r="Q135" s="203"/>
      <c r="R135" s="203"/>
      <c r="S135" s="203"/>
      <c r="T135" s="203"/>
      <c r="U135" s="203"/>
      <c r="V135" s="203"/>
      <c r="W135" s="203"/>
      <c r="X135" s="203"/>
      <c r="Y135" s="203"/>
      <c r="Z135" s="203">
        <f t="shared" ref="Z135:Z150" si="219">ROUND(IF(H135&gt;0,100,0),2)</f>
        <v>100</v>
      </c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>
        <f t="shared" ref="AL135:AL150" si="220">SUM(N135:AK135)</f>
        <v>15919.68</v>
      </c>
      <c r="AM135" s="204">
        <f t="shared" ref="AM135:AM150" si="221">ROUND(M135-AL135,2)</f>
        <v>36920.32</v>
      </c>
      <c r="AN135" s="291"/>
      <c r="AO135" s="211"/>
      <c r="AP135" s="207"/>
      <c r="AQ135" s="212">
        <f t="shared" ref="AQ135:AQ150" si="222">SUM(AO135:AP135)</f>
        <v>0</v>
      </c>
      <c r="AR135" s="213">
        <f t="shared" ref="AR135:AR150" si="223">+AM135-AQ135</f>
        <v>36920.32</v>
      </c>
      <c r="AS135" s="213"/>
      <c r="AT135" s="213"/>
      <c r="AU135" s="213">
        <f t="shared" ref="AU135:AU150" si="224">IF(E135=0,0,IF(E135&lt;=10000,137.5,IF(AND(E135&gt;10000,E135&lt;40000)=TRUE,E135*2.75%*50%,IF(E135&gt;=40000,550,0))))</f>
        <v>545.49</v>
      </c>
      <c r="AV135" s="214"/>
      <c r="AW135" s="214" t="str">
        <f t="shared" ref="AW135:AW150" si="225">IF(AND($D135&gt;=1,$D135&lt;=19)=TRUE,"25%",IF($D135=20,"15%",IF($D135=21,"13%",IF($D135=22,"12%",IF($D135=23,"11%",IF(OR($D135=24,$D135=25)=TRUE,"10%",IF($D135=26,"9%",IF($D135=27,"8%",IF($D135=28,"7%",IF(OR($D135=29,$D135=30)=TRUE,"6%",IF($D135=31,"5%","0%")))))))))))</f>
        <v>25%</v>
      </c>
      <c r="AX135" s="215">
        <v>22</v>
      </c>
      <c r="AY135" s="213">
        <v>150</v>
      </c>
      <c r="AZ135" s="214">
        <v>22</v>
      </c>
      <c r="BA135" s="213">
        <v>50</v>
      </c>
      <c r="BB135" s="213">
        <f t="shared" ref="BB135:BB150" si="226">IF(AX135&gt;0,(AZ135-AX135+BD135)*BA135,0)</f>
        <v>0</v>
      </c>
      <c r="BC135" s="213">
        <f t="shared" ref="BC135:BC150" si="227">IF(AX135&gt;0,1100,0)</f>
        <v>1100</v>
      </c>
      <c r="BD135" s="215"/>
    </row>
    <row r="136" spans="1:60" s="217" customFormat="1" ht="36.75" customHeight="1" x14ac:dyDescent="0.25">
      <c r="A136" s="296">
        <v>121</v>
      </c>
      <c r="B136" s="210"/>
      <c r="C136" s="230" t="s">
        <v>374</v>
      </c>
      <c r="D136" s="200">
        <v>16</v>
      </c>
      <c r="E136" s="201">
        <v>39672</v>
      </c>
      <c r="F136" s="201">
        <f t="shared" si="209"/>
        <v>100</v>
      </c>
      <c r="G136" s="201">
        <f t="shared" si="210"/>
        <v>4760.6400000000003</v>
      </c>
      <c r="H136" s="202">
        <f t="shared" si="211"/>
        <v>39672</v>
      </c>
      <c r="I136" s="202">
        <f t="shared" si="212"/>
        <v>2000</v>
      </c>
      <c r="J136" s="202">
        <f t="shared" si="213"/>
        <v>1100</v>
      </c>
      <c r="K136" s="202">
        <f t="shared" si="214"/>
        <v>150</v>
      </c>
      <c r="L136" s="202">
        <f t="shared" si="215"/>
        <v>9918</v>
      </c>
      <c r="M136" s="202">
        <f t="shared" si="216"/>
        <v>52840</v>
      </c>
      <c r="N136" s="202">
        <v>6910.47</v>
      </c>
      <c r="O136" s="202">
        <f t="shared" si="217"/>
        <v>793.44</v>
      </c>
      <c r="P136" s="203">
        <f t="shared" si="218"/>
        <v>3570.48</v>
      </c>
      <c r="Q136" s="203"/>
      <c r="R136" s="203"/>
      <c r="S136" s="203"/>
      <c r="T136" s="203"/>
      <c r="U136" s="203"/>
      <c r="V136" s="203"/>
      <c r="W136" s="203"/>
      <c r="X136" s="203"/>
      <c r="Y136" s="203"/>
      <c r="Z136" s="203">
        <f t="shared" si="219"/>
        <v>100</v>
      </c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>
        <f t="shared" si="220"/>
        <v>11374.39</v>
      </c>
      <c r="AM136" s="204">
        <f t="shared" si="221"/>
        <v>41465.61</v>
      </c>
      <c r="AN136" s="291"/>
      <c r="AO136" s="211"/>
      <c r="AP136" s="207"/>
      <c r="AQ136" s="212">
        <f t="shared" si="222"/>
        <v>0</v>
      </c>
      <c r="AR136" s="213">
        <f t="shared" si="223"/>
        <v>41465.61</v>
      </c>
      <c r="AS136" s="213"/>
      <c r="AT136" s="213"/>
      <c r="AU136" s="213">
        <f t="shared" si="224"/>
        <v>545.49</v>
      </c>
      <c r="AV136" s="214"/>
      <c r="AW136" s="214" t="str">
        <f t="shared" si="225"/>
        <v>25%</v>
      </c>
      <c r="AX136" s="215">
        <v>22</v>
      </c>
      <c r="AY136" s="213">
        <v>150</v>
      </c>
      <c r="AZ136" s="214">
        <v>22</v>
      </c>
      <c r="BA136" s="213">
        <v>50</v>
      </c>
      <c r="BB136" s="213">
        <f t="shared" si="226"/>
        <v>0</v>
      </c>
      <c r="BC136" s="213">
        <f t="shared" si="227"/>
        <v>1100</v>
      </c>
      <c r="BD136" s="215"/>
    </row>
    <row r="137" spans="1:60" s="217" customFormat="1" ht="36.75" customHeight="1" x14ac:dyDescent="0.25">
      <c r="A137" s="296">
        <v>122</v>
      </c>
      <c r="B137" s="210"/>
      <c r="C137" s="230" t="s">
        <v>375</v>
      </c>
      <c r="D137" s="200">
        <v>16</v>
      </c>
      <c r="E137" s="201">
        <v>39672</v>
      </c>
      <c r="F137" s="201">
        <f t="shared" si="209"/>
        <v>100</v>
      </c>
      <c r="G137" s="201">
        <f t="shared" si="210"/>
        <v>4760.6400000000003</v>
      </c>
      <c r="H137" s="202">
        <f t="shared" si="211"/>
        <v>39672</v>
      </c>
      <c r="I137" s="202">
        <f t="shared" si="212"/>
        <v>2000</v>
      </c>
      <c r="J137" s="202">
        <f t="shared" si="213"/>
        <v>1100</v>
      </c>
      <c r="K137" s="202">
        <f t="shared" si="214"/>
        <v>150</v>
      </c>
      <c r="L137" s="202">
        <f t="shared" si="215"/>
        <v>9918</v>
      </c>
      <c r="M137" s="202">
        <f t="shared" si="216"/>
        <v>52840</v>
      </c>
      <c r="N137" s="202">
        <v>11168.3</v>
      </c>
      <c r="O137" s="202">
        <f t="shared" si="217"/>
        <v>793.44</v>
      </c>
      <c r="P137" s="203">
        <f t="shared" si="218"/>
        <v>3570.48</v>
      </c>
      <c r="Q137" s="203"/>
      <c r="R137" s="203"/>
      <c r="S137" s="203"/>
      <c r="T137" s="203"/>
      <c r="U137" s="203"/>
      <c r="V137" s="203"/>
      <c r="W137" s="203"/>
      <c r="X137" s="203"/>
      <c r="Y137" s="203"/>
      <c r="Z137" s="203">
        <f t="shared" si="219"/>
        <v>100</v>
      </c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>
        <f t="shared" si="220"/>
        <v>15632.22</v>
      </c>
      <c r="AM137" s="204">
        <f t="shared" si="221"/>
        <v>37207.78</v>
      </c>
      <c r="AN137" s="291"/>
      <c r="AO137" s="211"/>
      <c r="AP137" s="207"/>
      <c r="AQ137" s="212">
        <f t="shared" si="222"/>
        <v>0</v>
      </c>
      <c r="AR137" s="213">
        <f t="shared" si="223"/>
        <v>37207.78</v>
      </c>
      <c r="AS137" s="213"/>
      <c r="AT137" s="213"/>
      <c r="AU137" s="213">
        <f t="shared" si="224"/>
        <v>545.49</v>
      </c>
      <c r="AV137" s="214"/>
      <c r="AW137" s="214" t="str">
        <f t="shared" si="225"/>
        <v>25%</v>
      </c>
      <c r="AX137" s="215">
        <v>22</v>
      </c>
      <c r="AY137" s="213">
        <v>150</v>
      </c>
      <c r="AZ137" s="214">
        <v>22</v>
      </c>
      <c r="BA137" s="213">
        <v>50</v>
      </c>
      <c r="BB137" s="213">
        <f t="shared" si="226"/>
        <v>0</v>
      </c>
      <c r="BC137" s="213">
        <f t="shared" si="227"/>
        <v>1100</v>
      </c>
      <c r="BD137" s="215"/>
    </row>
    <row r="138" spans="1:60" s="217" customFormat="1" ht="36.75" customHeight="1" x14ac:dyDescent="0.25">
      <c r="A138" s="296">
        <v>123</v>
      </c>
      <c r="B138" s="210"/>
      <c r="C138" s="230" t="s">
        <v>376</v>
      </c>
      <c r="D138" s="200">
        <v>16</v>
      </c>
      <c r="E138" s="201">
        <v>39672</v>
      </c>
      <c r="F138" s="201">
        <f t="shared" si="209"/>
        <v>100</v>
      </c>
      <c r="G138" s="201">
        <f t="shared" si="210"/>
        <v>4760.6400000000003</v>
      </c>
      <c r="H138" s="202">
        <f t="shared" si="211"/>
        <v>39672</v>
      </c>
      <c r="I138" s="202">
        <f t="shared" si="212"/>
        <v>2000</v>
      </c>
      <c r="J138" s="202">
        <f t="shared" si="213"/>
        <v>1100</v>
      </c>
      <c r="K138" s="202">
        <f t="shared" si="214"/>
        <v>150</v>
      </c>
      <c r="L138" s="202">
        <f t="shared" si="215"/>
        <v>9918</v>
      </c>
      <c r="M138" s="202">
        <f t="shared" si="216"/>
        <v>52840</v>
      </c>
      <c r="N138" s="202">
        <v>11355.76</v>
      </c>
      <c r="O138" s="202">
        <f t="shared" si="217"/>
        <v>793.44</v>
      </c>
      <c r="P138" s="203">
        <f t="shared" si="218"/>
        <v>3570.48</v>
      </c>
      <c r="Q138" s="203"/>
      <c r="R138" s="203"/>
      <c r="S138" s="203"/>
      <c r="T138" s="203"/>
      <c r="U138" s="203"/>
      <c r="V138" s="203"/>
      <c r="W138" s="203"/>
      <c r="X138" s="203"/>
      <c r="Y138" s="203"/>
      <c r="Z138" s="203">
        <f t="shared" si="219"/>
        <v>100</v>
      </c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>
        <f t="shared" si="220"/>
        <v>15819.68</v>
      </c>
      <c r="AM138" s="204">
        <f t="shared" si="221"/>
        <v>37020.32</v>
      </c>
      <c r="AN138" s="291"/>
      <c r="AO138" s="242"/>
      <c r="AP138" s="207"/>
      <c r="AQ138" s="212">
        <f t="shared" si="222"/>
        <v>0</v>
      </c>
      <c r="AR138" s="213">
        <f t="shared" si="223"/>
        <v>37020.32</v>
      </c>
      <c r="AS138" s="213"/>
      <c r="AT138" s="213"/>
      <c r="AU138" s="213">
        <f t="shared" si="224"/>
        <v>545.49</v>
      </c>
      <c r="AV138" s="214"/>
      <c r="AW138" s="214" t="str">
        <f t="shared" si="225"/>
        <v>25%</v>
      </c>
      <c r="AX138" s="215">
        <v>22</v>
      </c>
      <c r="AY138" s="213">
        <v>150</v>
      </c>
      <c r="AZ138" s="214">
        <v>22</v>
      </c>
      <c r="BA138" s="213">
        <v>50</v>
      </c>
      <c r="BB138" s="213">
        <f t="shared" si="226"/>
        <v>0</v>
      </c>
      <c r="BC138" s="213">
        <f t="shared" si="227"/>
        <v>1100</v>
      </c>
      <c r="BD138" s="215"/>
    </row>
    <row r="139" spans="1:60" s="217" customFormat="1" ht="36.75" customHeight="1" x14ac:dyDescent="0.25">
      <c r="A139" s="296">
        <v>124</v>
      </c>
      <c r="B139" s="210"/>
      <c r="C139" s="230" t="s">
        <v>377</v>
      </c>
      <c r="D139" s="200">
        <v>16</v>
      </c>
      <c r="E139" s="201">
        <v>39672</v>
      </c>
      <c r="F139" s="201">
        <f t="shared" si="209"/>
        <v>100</v>
      </c>
      <c r="G139" s="201">
        <f t="shared" si="210"/>
        <v>4760.6400000000003</v>
      </c>
      <c r="H139" s="202">
        <f t="shared" si="211"/>
        <v>39672</v>
      </c>
      <c r="I139" s="202">
        <f t="shared" si="212"/>
        <v>2000</v>
      </c>
      <c r="J139" s="202">
        <f t="shared" si="213"/>
        <v>1100</v>
      </c>
      <c r="K139" s="202">
        <f t="shared" si="214"/>
        <v>150</v>
      </c>
      <c r="L139" s="202">
        <f t="shared" si="215"/>
        <v>9918</v>
      </c>
      <c r="M139" s="202">
        <f t="shared" si="216"/>
        <v>52840</v>
      </c>
      <c r="N139" s="202">
        <v>11355.76</v>
      </c>
      <c r="O139" s="202">
        <f t="shared" si="217"/>
        <v>793.44</v>
      </c>
      <c r="P139" s="203">
        <f t="shared" si="218"/>
        <v>3570.48</v>
      </c>
      <c r="Q139" s="203"/>
      <c r="R139" s="203"/>
      <c r="S139" s="203"/>
      <c r="T139" s="203"/>
      <c r="U139" s="203"/>
      <c r="V139" s="203"/>
      <c r="W139" s="203"/>
      <c r="X139" s="203"/>
      <c r="Y139" s="203"/>
      <c r="Z139" s="203">
        <f t="shared" si="219"/>
        <v>100</v>
      </c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>
        <f t="shared" si="220"/>
        <v>15819.68</v>
      </c>
      <c r="AM139" s="204">
        <f t="shared" si="221"/>
        <v>37020.32</v>
      </c>
      <c r="AN139" s="291"/>
      <c r="AO139" s="211"/>
      <c r="AP139" s="207"/>
      <c r="AQ139" s="212">
        <f t="shared" si="222"/>
        <v>0</v>
      </c>
      <c r="AR139" s="213">
        <f t="shared" si="223"/>
        <v>37020.32</v>
      </c>
      <c r="AS139" s="213"/>
      <c r="AT139" s="213"/>
      <c r="AU139" s="213">
        <f t="shared" si="224"/>
        <v>545.49</v>
      </c>
      <c r="AV139" s="214"/>
      <c r="AW139" s="214" t="str">
        <f t="shared" si="225"/>
        <v>25%</v>
      </c>
      <c r="AX139" s="215">
        <v>22</v>
      </c>
      <c r="AY139" s="213">
        <v>150</v>
      </c>
      <c r="AZ139" s="214">
        <v>22</v>
      </c>
      <c r="BA139" s="213">
        <v>50</v>
      </c>
      <c r="BB139" s="213">
        <f t="shared" si="226"/>
        <v>0</v>
      </c>
      <c r="BC139" s="213">
        <f t="shared" si="227"/>
        <v>1100</v>
      </c>
      <c r="BD139" s="215"/>
    </row>
    <row r="140" spans="1:60" s="217" customFormat="1" ht="36.75" customHeight="1" x14ac:dyDescent="0.25">
      <c r="A140" s="296">
        <v>125</v>
      </c>
      <c r="B140" s="210"/>
      <c r="C140" s="230" t="s">
        <v>378</v>
      </c>
      <c r="D140" s="200">
        <v>16</v>
      </c>
      <c r="E140" s="201">
        <v>39672</v>
      </c>
      <c r="F140" s="201">
        <f t="shared" si="209"/>
        <v>100</v>
      </c>
      <c r="G140" s="201">
        <f t="shared" si="210"/>
        <v>4760.6400000000003</v>
      </c>
      <c r="H140" s="202">
        <f t="shared" si="211"/>
        <v>39672</v>
      </c>
      <c r="I140" s="202">
        <f t="shared" si="212"/>
        <v>2000</v>
      </c>
      <c r="J140" s="202">
        <f t="shared" si="213"/>
        <v>1100</v>
      </c>
      <c r="K140" s="202">
        <f t="shared" si="214"/>
        <v>150</v>
      </c>
      <c r="L140" s="202">
        <f t="shared" si="215"/>
        <v>9918</v>
      </c>
      <c r="M140" s="202">
        <f t="shared" si="216"/>
        <v>52840</v>
      </c>
      <c r="N140" s="202">
        <v>11355.76</v>
      </c>
      <c r="O140" s="202">
        <f t="shared" si="217"/>
        <v>793.44</v>
      </c>
      <c r="P140" s="203">
        <f t="shared" si="218"/>
        <v>3570.48</v>
      </c>
      <c r="Q140" s="203"/>
      <c r="R140" s="203"/>
      <c r="S140" s="203"/>
      <c r="T140" s="203"/>
      <c r="U140" s="203"/>
      <c r="V140" s="203"/>
      <c r="W140" s="203"/>
      <c r="X140" s="203"/>
      <c r="Y140" s="203"/>
      <c r="Z140" s="203">
        <f t="shared" si="219"/>
        <v>100</v>
      </c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>
        <f t="shared" si="220"/>
        <v>15819.68</v>
      </c>
      <c r="AM140" s="204">
        <f t="shared" si="221"/>
        <v>37020.32</v>
      </c>
      <c r="AN140" s="291"/>
      <c r="AO140" s="211"/>
      <c r="AP140" s="207"/>
      <c r="AQ140" s="212">
        <f t="shared" si="222"/>
        <v>0</v>
      </c>
      <c r="AR140" s="213">
        <f t="shared" si="223"/>
        <v>37020.32</v>
      </c>
      <c r="AS140" s="213"/>
      <c r="AT140" s="213"/>
      <c r="AU140" s="213">
        <f t="shared" si="224"/>
        <v>545.49</v>
      </c>
      <c r="AV140" s="214"/>
      <c r="AW140" s="214" t="str">
        <f t="shared" si="225"/>
        <v>25%</v>
      </c>
      <c r="AX140" s="215">
        <v>22</v>
      </c>
      <c r="AY140" s="213">
        <v>150</v>
      </c>
      <c r="AZ140" s="214">
        <v>22</v>
      </c>
      <c r="BA140" s="213">
        <v>50</v>
      </c>
      <c r="BB140" s="213">
        <f t="shared" si="226"/>
        <v>0</v>
      </c>
      <c r="BC140" s="213">
        <f t="shared" si="227"/>
        <v>1100</v>
      </c>
      <c r="BD140" s="215"/>
    </row>
    <row r="141" spans="1:60" s="217" customFormat="1" ht="36.75" customHeight="1" x14ac:dyDescent="0.25">
      <c r="A141" s="296">
        <v>126</v>
      </c>
      <c r="B141" s="210"/>
      <c r="C141" s="230" t="s">
        <v>379</v>
      </c>
      <c r="D141" s="200">
        <v>16</v>
      </c>
      <c r="E141" s="201">
        <v>39672</v>
      </c>
      <c r="F141" s="201">
        <f t="shared" si="209"/>
        <v>100</v>
      </c>
      <c r="G141" s="201">
        <f t="shared" si="210"/>
        <v>4760.6400000000003</v>
      </c>
      <c r="H141" s="202">
        <f t="shared" si="211"/>
        <v>39672</v>
      </c>
      <c r="I141" s="202">
        <f t="shared" si="212"/>
        <v>2000</v>
      </c>
      <c r="J141" s="202">
        <f t="shared" si="213"/>
        <v>1100</v>
      </c>
      <c r="K141" s="202">
        <f t="shared" si="214"/>
        <v>150</v>
      </c>
      <c r="L141" s="202">
        <f t="shared" si="215"/>
        <v>9918</v>
      </c>
      <c r="M141" s="202">
        <f t="shared" si="216"/>
        <v>52840</v>
      </c>
      <c r="N141" s="202">
        <v>11355.76</v>
      </c>
      <c r="O141" s="202">
        <f t="shared" si="217"/>
        <v>793.44</v>
      </c>
      <c r="P141" s="203">
        <f t="shared" si="218"/>
        <v>3570.48</v>
      </c>
      <c r="Q141" s="203"/>
      <c r="R141" s="203"/>
      <c r="S141" s="203"/>
      <c r="T141" s="203"/>
      <c r="U141" s="203"/>
      <c r="V141" s="203"/>
      <c r="W141" s="203"/>
      <c r="X141" s="203"/>
      <c r="Y141" s="203"/>
      <c r="Z141" s="203">
        <f t="shared" si="219"/>
        <v>100</v>
      </c>
      <c r="AA141" s="203"/>
      <c r="AB141" s="203"/>
      <c r="AC141" s="203"/>
      <c r="AD141" s="203"/>
      <c r="AE141" s="203"/>
      <c r="AF141" s="203"/>
      <c r="AG141" s="203"/>
      <c r="AH141" s="203"/>
      <c r="AI141" s="203"/>
      <c r="AJ141" s="203"/>
      <c r="AK141" s="203"/>
      <c r="AL141" s="203">
        <f t="shared" si="220"/>
        <v>15819.68</v>
      </c>
      <c r="AM141" s="204">
        <f t="shared" si="221"/>
        <v>37020.32</v>
      </c>
      <c r="AN141" s="291"/>
      <c r="AO141" s="211"/>
      <c r="AP141" s="207"/>
      <c r="AQ141" s="212">
        <f t="shared" si="222"/>
        <v>0</v>
      </c>
      <c r="AR141" s="213">
        <f t="shared" si="223"/>
        <v>37020.32</v>
      </c>
      <c r="AS141" s="213"/>
      <c r="AT141" s="213"/>
      <c r="AU141" s="213">
        <f t="shared" si="224"/>
        <v>545.49</v>
      </c>
      <c r="AV141" s="214"/>
      <c r="AW141" s="214" t="str">
        <f t="shared" si="225"/>
        <v>25%</v>
      </c>
      <c r="AX141" s="215">
        <v>22</v>
      </c>
      <c r="AY141" s="213">
        <v>150</v>
      </c>
      <c r="AZ141" s="214">
        <v>22</v>
      </c>
      <c r="BA141" s="213">
        <v>50</v>
      </c>
      <c r="BB141" s="213">
        <f t="shared" si="226"/>
        <v>0</v>
      </c>
      <c r="BC141" s="213">
        <f t="shared" si="227"/>
        <v>1100</v>
      </c>
      <c r="BD141" s="215"/>
    </row>
    <row r="142" spans="1:60" s="217" customFormat="1" ht="36.75" customHeight="1" x14ac:dyDescent="0.25">
      <c r="A142" s="296">
        <v>127</v>
      </c>
      <c r="B142" s="210"/>
      <c r="C142" s="230" t="s">
        <v>380</v>
      </c>
      <c r="D142" s="200">
        <v>16</v>
      </c>
      <c r="E142" s="201">
        <v>39672</v>
      </c>
      <c r="F142" s="201">
        <f t="shared" si="209"/>
        <v>100</v>
      </c>
      <c r="G142" s="201">
        <f t="shared" si="210"/>
        <v>4760.6400000000003</v>
      </c>
      <c r="H142" s="202">
        <f t="shared" si="211"/>
        <v>39672</v>
      </c>
      <c r="I142" s="202">
        <f t="shared" si="212"/>
        <v>2000</v>
      </c>
      <c r="J142" s="202">
        <f t="shared" si="213"/>
        <v>1100</v>
      </c>
      <c r="K142" s="202">
        <f t="shared" si="214"/>
        <v>150</v>
      </c>
      <c r="L142" s="202">
        <f t="shared" si="215"/>
        <v>9918</v>
      </c>
      <c r="M142" s="202">
        <f t="shared" si="216"/>
        <v>52840</v>
      </c>
      <c r="N142" s="202">
        <v>11355.76</v>
      </c>
      <c r="O142" s="202">
        <f t="shared" si="217"/>
        <v>793.44</v>
      </c>
      <c r="P142" s="203">
        <f t="shared" si="218"/>
        <v>3570.48</v>
      </c>
      <c r="Q142" s="203"/>
      <c r="R142" s="203"/>
      <c r="S142" s="203"/>
      <c r="T142" s="203"/>
      <c r="U142" s="203"/>
      <c r="V142" s="203"/>
      <c r="W142" s="203"/>
      <c r="X142" s="203"/>
      <c r="Y142" s="203"/>
      <c r="Z142" s="203">
        <f t="shared" si="219"/>
        <v>100</v>
      </c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>
        <f t="shared" si="220"/>
        <v>15819.68</v>
      </c>
      <c r="AM142" s="204">
        <f t="shared" si="221"/>
        <v>37020.32</v>
      </c>
      <c r="AN142" s="291"/>
      <c r="AO142" s="211"/>
      <c r="AP142" s="207"/>
      <c r="AQ142" s="212">
        <f t="shared" si="222"/>
        <v>0</v>
      </c>
      <c r="AR142" s="213">
        <f t="shared" si="223"/>
        <v>37020.32</v>
      </c>
      <c r="AS142" s="213"/>
      <c r="AT142" s="213"/>
      <c r="AU142" s="213">
        <f t="shared" si="224"/>
        <v>545.49</v>
      </c>
      <c r="AV142" s="214"/>
      <c r="AW142" s="214" t="str">
        <f t="shared" si="225"/>
        <v>25%</v>
      </c>
      <c r="AX142" s="215">
        <v>22</v>
      </c>
      <c r="AY142" s="213">
        <v>150</v>
      </c>
      <c r="AZ142" s="214">
        <v>22</v>
      </c>
      <c r="BA142" s="213">
        <v>50</v>
      </c>
      <c r="BB142" s="213">
        <f t="shared" si="226"/>
        <v>0</v>
      </c>
      <c r="BC142" s="213">
        <f t="shared" si="227"/>
        <v>1100</v>
      </c>
      <c r="BD142" s="215"/>
    </row>
    <row r="143" spans="1:60" s="217" customFormat="1" ht="36.75" customHeight="1" x14ac:dyDescent="0.25">
      <c r="A143" s="296">
        <v>128</v>
      </c>
      <c r="B143" s="210"/>
      <c r="C143" s="230" t="s">
        <v>381</v>
      </c>
      <c r="D143" s="200">
        <v>16</v>
      </c>
      <c r="E143" s="201">
        <v>39672</v>
      </c>
      <c r="F143" s="201">
        <f t="shared" si="209"/>
        <v>100</v>
      </c>
      <c r="G143" s="201">
        <f t="shared" si="210"/>
        <v>4760.6400000000003</v>
      </c>
      <c r="H143" s="202">
        <f t="shared" si="211"/>
        <v>39672</v>
      </c>
      <c r="I143" s="202">
        <f t="shared" si="212"/>
        <v>2000</v>
      </c>
      <c r="J143" s="202">
        <f t="shared" si="213"/>
        <v>1100</v>
      </c>
      <c r="K143" s="202">
        <f t="shared" si="214"/>
        <v>150</v>
      </c>
      <c r="L143" s="202">
        <f t="shared" si="215"/>
        <v>9918</v>
      </c>
      <c r="M143" s="202">
        <f t="shared" si="216"/>
        <v>52840</v>
      </c>
      <c r="N143" s="202">
        <v>11355.76</v>
      </c>
      <c r="O143" s="202">
        <f t="shared" si="217"/>
        <v>793.44</v>
      </c>
      <c r="P143" s="203">
        <f t="shared" si="218"/>
        <v>3570.48</v>
      </c>
      <c r="Q143" s="203"/>
      <c r="R143" s="203"/>
      <c r="S143" s="203"/>
      <c r="T143" s="203"/>
      <c r="U143" s="203"/>
      <c r="V143" s="203"/>
      <c r="W143" s="203"/>
      <c r="X143" s="203"/>
      <c r="Y143" s="203"/>
      <c r="Z143" s="203">
        <f t="shared" si="219"/>
        <v>100</v>
      </c>
      <c r="AA143" s="203"/>
      <c r="AB143" s="203"/>
      <c r="AC143" s="203"/>
      <c r="AD143" s="203"/>
      <c r="AE143" s="203"/>
      <c r="AF143" s="203"/>
      <c r="AG143" s="203"/>
      <c r="AH143" s="203"/>
      <c r="AI143" s="203"/>
      <c r="AJ143" s="203"/>
      <c r="AK143" s="203"/>
      <c r="AL143" s="203">
        <f t="shared" si="220"/>
        <v>15819.68</v>
      </c>
      <c r="AM143" s="204">
        <f t="shared" si="221"/>
        <v>37020.32</v>
      </c>
      <c r="AN143" s="291"/>
      <c r="AO143" s="211"/>
      <c r="AP143" s="207"/>
      <c r="AQ143" s="212">
        <f t="shared" si="222"/>
        <v>0</v>
      </c>
      <c r="AR143" s="213">
        <f t="shared" si="223"/>
        <v>37020.32</v>
      </c>
      <c r="AS143" s="213"/>
      <c r="AT143" s="213"/>
      <c r="AU143" s="213">
        <f t="shared" si="224"/>
        <v>545.49</v>
      </c>
      <c r="AV143" s="214"/>
      <c r="AW143" s="214" t="str">
        <f t="shared" si="225"/>
        <v>25%</v>
      </c>
      <c r="AX143" s="215">
        <v>22</v>
      </c>
      <c r="AY143" s="213">
        <v>150</v>
      </c>
      <c r="AZ143" s="214">
        <v>22</v>
      </c>
      <c r="BA143" s="213">
        <v>50</v>
      </c>
      <c r="BB143" s="213">
        <f t="shared" si="226"/>
        <v>0</v>
      </c>
      <c r="BC143" s="213">
        <f t="shared" si="227"/>
        <v>1100</v>
      </c>
      <c r="BD143" s="215"/>
    </row>
    <row r="144" spans="1:60" s="217" customFormat="1" ht="36.75" customHeight="1" x14ac:dyDescent="0.25">
      <c r="A144" s="296">
        <v>129</v>
      </c>
      <c r="B144" s="210"/>
      <c r="C144" s="230" t="s">
        <v>382</v>
      </c>
      <c r="D144" s="200">
        <v>16</v>
      </c>
      <c r="E144" s="201">
        <v>39672</v>
      </c>
      <c r="F144" s="201">
        <f t="shared" si="209"/>
        <v>100</v>
      </c>
      <c r="G144" s="201">
        <f t="shared" si="210"/>
        <v>4760.6400000000003</v>
      </c>
      <c r="H144" s="202">
        <f t="shared" si="211"/>
        <v>39672</v>
      </c>
      <c r="I144" s="202">
        <f t="shared" si="212"/>
        <v>2000</v>
      </c>
      <c r="J144" s="202">
        <f t="shared" si="213"/>
        <v>1100</v>
      </c>
      <c r="K144" s="202">
        <f t="shared" si="214"/>
        <v>150</v>
      </c>
      <c r="L144" s="202">
        <f t="shared" si="215"/>
        <v>9918</v>
      </c>
      <c r="M144" s="202">
        <f t="shared" si="216"/>
        <v>52840</v>
      </c>
      <c r="N144" s="202">
        <v>11355.76</v>
      </c>
      <c r="O144" s="202">
        <f t="shared" si="217"/>
        <v>793.44</v>
      </c>
      <c r="P144" s="203">
        <f t="shared" si="218"/>
        <v>3570.48</v>
      </c>
      <c r="Q144" s="203"/>
      <c r="R144" s="203"/>
      <c r="S144" s="203"/>
      <c r="T144" s="203"/>
      <c r="U144" s="203"/>
      <c r="V144" s="203"/>
      <c r="W144" s="203"/>
      <c r="X144" s="203"/>
      <c r="Y144" s="203"/>
      <c r="Z144" s="203">
        <f t="shared" si="219"/>
        <v>100</v>
      </c>
      <c r="AA144" s="203"/>
      <c r="AB144" s="203"/>
      <c r="AC144" s="203"/>
      <c r="AD144" s="203"/>
      <c r="AE144" s="203"/>
      <c r="AF144" s="203"/>
      <c r="AG144" s="203"/>
      <c r="AH144" s="203"/>
      <c r="AI144" s="203"/>
      <c r="AJ144" s="203"/>
      <c r="AK144" s="203"/>
      <c r="AL144" s="203">
        <f t="shared" si="220"/>
        <v>15819.68</v>
      </c>
      <c r="AM144" s="204">
        <f t="shared" si="221"/>
        <v>37020.32</v>
      </c>
      <c r="AN144" s="291"/>
      <c r="AO144" s="211"/>
      <c r="AP144" s="207"/>
      <c r="AQ144" s="212">
        <f t="shared" si="222"/>
        <v>0</v>
      </c>
      <c r="AR144" s="213">
        <f t="shared" si="223"/>
        <v>37020.32</v>
      </c>
      <c r="AS144" s="213"/>
      <c r="AT144" s="213"/>
      <c r="AU144" s="213">
        <f t="shared" si="224"/>
        <v>545.49</v>
      </c>
      <c r="AV144" s="214"/>
      <c r="AW144" s="214" t="str">
        <f t="shared" si="225"/>
        <v>25%</v>
      </c>
      <c r="AX144" s="215">
        <v>22</v>
      </c>
      <c r="AY144" s="213">
        <v>150</v>
      </c>
      <c r="AZ144" s="214">
        <v>22</v>
      </c>
      <c r="BA144" s="213">
        <v>50</v>
      </c>
      <c r="BB144" s="213">
        <f t="shared" si="226"/>
        <v>0</v>
      </c>
      <c r="BC144" s="213">
        <f t="shared" si="227"/>
        <v>1100</v>
      </c>
      <c r="BD144" s="215"/>
    </row>
    <row r="145" spans="1:59" s="217" customFormat="1" ht="36.75" customHeight="1" x14ac:dyDescent="0.25">
      <c r="A145" s="296">
        <v>130</v>
      </c>
      <c r="B145" s="210"/>
      <c r="C145" s="230" t="s">
        <v>383</v>
      </c>
      <c r="D145" s="200">
        <v>16</v>
      </c>
      <c r="E145" s="201">
        <v>39672</v>
      </c>
      <c r="F145" s="201">
        <f t="shared" si="209"/>
        <v>100</v>
      </c>
      <c r="G145" s="201">
        <f t="shared" si="210"/>
        <v>4760.6400000000003</v>
      </c>
      <c r="H145" s="202">
        <f t="shared" si="211"/>
        <v>39672</v>
      </c>
      <c r="I145" s="202">
        <f t="shared" si="212"/>
        <v>2000</v>
      </c>
      <c r="J145" s="202">
        <f t="shared" si="213"/>
        <v>1100</v>
      </c>
      <c r="K145" s="202">
        <f t="shared" si="214"/>
        <v>150</v>
      </c>
      <c r="L145" s="202">
        <f t="shared" si="215"/>
        <v>9918</v>
      </c>
      <c r="M145" s="202">
        <f t="shared" si="216"/>
        <v>52840</v>
      </c>
      <c r="N145" s="202">
        <v>11355.76</v>
      </c>
      <c r="O145" s="202">
        <f t="shared" si="217"/>
        <v>793.44</v>
      </c>
      <c r="P145" s="203">
        <f t="shared" si="218"/>
        <v>3570.48</v>
      </c>
      <c r="Q145" s="203"/>
      <c r="R145" s="203"/>
      <c r="S145" s="203"/>
      <c r="T145" s="203"/>
      <c r="U145" s="203"/>
      <c r="V145" s="203"/>
      <c r="W145" s="203"/>
      <c r="X145" s="203"/>
      <c r="Y145" s="203"/>
      <c r="Z145" s="203">
        <f t="shared" si="219"/>
        <v>100</v>
      </c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>
        <f t="shared" si="220"/>
        <v>15819.68</v>
      </c>
      <c r="AM145" s="204">
        <f t="shared" si="221"/>
        <v>37020.32</v>
      </c>
      <c r="AN145" s="291"/>
      <c r="AO145" s="211"/>
      <c r="AP145" s="207"/>
      <c r="AQ145" s="212">
        <f t="shared" si="222"/>
        <v>0</v>
      </c>
      <c r="AR145" s="213">
        <f t="shared" si="223"/>
        <v>37020.32</v>
      </c>
      <c r="AS145" s="213"/>
      <c r="AT145" s="213"/>
      <c r="AU145" s="213">
        <f t="shared" si="224"/>
        <v>545.49</v>
      </c>
      <c r="AV145" s="214"/>
      <c r="AW145" s="214" t="str">
        <f t="shared" si="225"/>
        <v>25%</v>
      </c>
      <c r="AX145" s="215">
        <v>22</v>
      </c>
      <c r="AY145" s="213">
        <v>150</v>
      </c>
      <c r="AZ145" s="214">
        <v>22</v>
      </c>
      <c r="BA145" s="213">
        <v>50</v>
      </c>
      <c r="BB145" s="213">
        <f t="shared" si="226"/>
        <v>0</v>
      </c>
      <c r="BC145" s="213">
        <f t="shared" si="227"/>
        <v>1100</v>
      </c>
      <c r="BD145" s="215"/>
    </row>
    <row r="146" spans="1:59" s="217" customFormat="1" ht="36.75" customHeight="1" x14ac:dyDescent="0.25">
      <c r="A146" s="296">
        <v>131</v>
      </c>
      <c r="B146" s="210"/>
      <c r="C146" s="230" t="s">
        <v>384</v>
      </c>
      <c r="D146" s="200">
        <v>16</v>
      </c>
      <c r="E146" s="201">
        <v>39672</v>
      </c>
      <c r="F146" s="201">
        <f t="shared" si="209"/>
        <v>100</v>
      </c>
      <c r="G146" s="201">
        <f t="shared" si="210"/>
        <v>4760.6400000000003</v>
      </c>
      <c r="H146" s="202">
        <f t="shared" si="211"/>
        <v>39672</v>
      </c>
      <c r="I146" s="202">
        <f t="shared" si="212"/>
        <v>2000</v>
      </c>
      <c r="J146" s="202">
        <f t="shared" si="213"/>
        <v>1100</v>
      </c>
      <c r="K146" s="202">
        <f t="shared" si="214"/>
        <v>150</v>
      </c>
      <c r="L146" s="202">
        <f t="shared" si="215"/>
        <v>9918</v>
      </c>
      <c r="M146" s="202">
        <f t="shared" si="216"/>
        <v>52840</v>
      </c>
      <c r="N146" s="202">
        <v>10755.76</v>
      </c>
      <c r="O146" s="202">
        <f t="shared" si="217"/>
        <v>793.44</v>
      </c>
      <c r="P146" s="203">
        <f t="shared" si="218"/>
        <v>3570.48</v>
      </c>
      <c r="Q146" s="203"/>
      <c r="R146" s="203"/>
      <c r="S146" s="203"/>
      <c r="T146" s="203"/>
      <c r="U146" s="203"/>
      <c r="V146" s="203"/>
      <c r="W146" s="203"/>
      <c r="X146" s="203"/>
      <c r="Y146" s="203"/>
      <c r="Z146" s="203">
        <f t="shared" si="219"/>
        <v>100</v>
      </c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>
        <f t="shared" si="220"/>
        <v>15219.68</v>
      </c>
      <c r="AM146" s="204">
        <f t="shared" si="221"/>
        <v>37620.32</v>
      </c>
      <c r="AN146" s="291"/>
      <c r="AO146" s="211"/>
      <c r="AP146" s="207"/>
      <c r="AQ146" s="212">
        <f t="shared" si="222"/>
        <v>0</v>
      </c>
      <c r="AR146" s="213">
        <f t="shared" si="223"/>
        <v>37620.32</v>
      </c>
      <c r="AS146" s="213"/>
      <c r="AT146" s="213"/>
      <c r="AU146" s="213">
        <f t="shared" si="224"/>
        <v>545.49</v>
      </c>
      <c r="AV146" s="214"/>
      <c r="AW146" s="214" t="str">
        <f t="shared" si="225"/>
        <v>25%</v>
      </c>
      <c r="AX146" s="215">
        <v>22</v>
      </c>
      <c r="AY146" s="213">
        <v>150</v>
      </c>
      <c r="AZ146" s="214">
        <v>22</v>
      </c>
      <c r="BA146" s="213">
        <v>50</v>
      </c>
      <c r="BB146" s="213">
        <f t="shared" si="226"/>
        <v>0</v>
      </c>
      <c r="BC146" s="213">
        <f t="shared" si="227"/>
        <v>1100</v>
      </c>
      <c r="BD146" s="215"/>
    </row>
    <row r="147" spans="1:59" s="217" customFormat="1" ht="36.75" customHeight="1" x14ac:dyDescent="0.25">
      <c r="A147" s="296">
        <v>132</v>
      </c>
      <c r="B147" s="210"/>
      <c r="C147" s="230" t="s">
        <v>385</v>
      </c>
      <c r="D147" s="200">
        <v>16</v>
      </c>
      <c r="E147" s="201">
        <v>39672</v>
      </c>
      <c r="F147" s="201">
        <f t="shared" si="209"/>
        <v>100</v>
      </c>
      <c r="G147" s="201">
        <f t="shared" si="210"/>
        <v>4760.6400000000003</v>
      </c>
      <c r="H147" s="202">
        <f t="shared" si="211"/>
        <v>39672</v>
      </c>
      <c r="I147" s="202">
        <f t="shared" si="212"/>
        <v>2000</v>
      </c>
      <c r="J147" s="202">
        <f t="shared" si="213"/>
        <v>1100</v>
      </c>
      <c r="K147" s="202">
        <f t="shared" si="214"/>
        <v>150</v>
      </c>
      <c r="L147" s="202">
        <f t="shared" si="215"/>
        <v>9918</v>
      </c>
      <c r="M147" s="202">
        <f t="shared" si="216"/>
        <v>52840</v>
      </c>
      <c r="N147" s="202">
        <v>10901.63</v>
      </c>
      <c r="O147" s="202">
        <f t="shared" si="217"/>
        <v>793.44</v>
      </c>
      <c r="P147" s="203">
        <f t="shared" si="218"/>
        <v>3570.48</v>
      </c>
      <c r="Q147" s="203"/>
      <c r="R147" s="203"/>
      <c r="S147" s="203"/>
      <c r="T147" s="203"/>
      <c r="U147" s="203"/>
      <c r="V147" s="203"/>
      <c r="W147" s="203"/>
      <c r="X147" s="203"/>
      <c r="Y147" s="203"/>
      <c r="Z147" s="203">
        <f t="shared" si="219"/>
        <v>100</v>
      </c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>
        <f t="shared" si="220"/>
        <v>15365.55</v>
      </c>
      <c r="AM147" s="204">
        <f t="shared" si="221"/>
        <v>37474.449999999997</v>
      </c>
      <c r="AN147" s="291"/>
      <c r="AO147" s="211"/>
      <c r="AP147" s="207"/>
      <c r="AQ147" s="212">
        <f t="shared" si="222"/>
        <v>0</v>
      </c>
      <c r="AR147" s="213">
        <f t="shared" si="223"/>
        <v>37474.449999999997</v>
      </c>
      <c r="AS147" s="213"/>
      <c r="AT147" s="213"/>
      <c r="AU147" s="213">
        <f t="shared" si="224"/>
        <v>545.49</v>
      </c>
      <c r="AV147" s="214"/>
      <c r="AW147" s="214" t="str">
        <f t="shared" si="225"/>
        <v>25%</v>
      </c>
      <c r="AX147" s="215">
        <v>22</v>
      </c>
      <c r="AY147" s="213">
        <v>150</v>
      </c>
      <c r="AZ147" s="214">
        <v>22</v>
      </c>
      <c r="BA147" s="213">
        <v>50</v>
      </c>
      <c r="BB147" s="213">
        <f t="shared" si="226"/>
        <v>0</v>
      </c>
      <c r="BC147" s="213">
        <f t="shared" si="227"/>
        <v>1100</v>
      </c>
      <c r="BD147" s="215"/>
    </row>
    <row r="148" spans="1:59" s="217" customFormat="1" ht="36.75" customHeight="1" x14ac:dyDescent="0.25">
      <c r="A148" s="296">
        <v>133</v>
      </c>
      <c r="B148" s="210"/>
      <c r="C148" s="230" t="s">
        <v>386</v>
      </c>
      <c r="D148" s="200">
        <v>16</v>
      </c>
      <c r="E148" s="201">
        <v>39672</v>
      </c>
      <c r="F148" s="201">
        <f t="shared" si="209"/>
        <v>100</v>
      </c>
      <c r="G148" s="201">
        <f t="shared" si="210"/>
        <v>4760.6400000000003</v>
      </c>
      <c r="H148" s="202">
        <f t="shared" si="211"/>
        <v>39672</v>
      </c>
      <c r="I148" s="202">
        <f t="shared" si="212"/>
        <v>2000</v>
      </c>
      <c r="J148" s="202">
        <f t="shared" si="213"/>
        <v>1100</v>
      </c>
      <c r="K148" s="202">
        <f t="shared" si="214"/>
        <v>150</v>
      </c>
      <c r="L148" s="202">
        <f t="shared" si="215"/>
        <v>9918</v>
      </c>
      <c r="M148" s="202">
        <f t="shared" si="216"/>
        <v>52840</v>
      </c>
      <c r="N148" s="202">
        <v>11418.3</v>
      </c>
      <c r="O148" s="202">
        <f t="shared" si="217"/>
        <v>793.44</v>
      </c>
      <c r="P148" s="203">
        <f t="shared" si="218"/>
        <v>3570.48</v>
      </c>
      <c r="Q148" s="203"/>
      <c r="R148" s="203"/>
      <c r="S148" s="203"/>
      <c r="T148" s="203"/>
      <c r="U148" s="203"/>
      <c r="V148" s="203"/>
      <c r="W148" s="203"/>
      <c r="X148" s="203"/>
      <c r="Y148" s="203"/>
      <c r="Z148" s="203">
        <f t="shared" si="219"/>
        <v>100</v>
      </c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>
        <f t="shared" si="220"/>
        <v>15882.22</v>
      </c>
      <c r="AM148" s="204">
        <f t="shared" si="221"/>
        <v>36957.78</v>
      </c>
      <c r="AN148" s="291"/>
      <c r="AO148" s="211"/>
      <c r="AP148" s="207"/>
      <c r="AQ148" s="212">
        <f t="shared" si="222"/>
        <v>0</v>
      </c>
      <c r="AR148" s="213">
        <f t="shared" si="223"/>
        <v>36957.78</v>
      </c>
      <c r="AS148" s="213"/>
      <c r="AT148" s="213"/>
      <c r="AU148" s="213">
        <f t="shared" si="224"/>
        <v>545.49</v>
      </c>
      <c r="AV148" s="214"/>
      <c r="AW148" s="214" t="str">
        <f t="shared" si="225"/>
        <v>25%</v>
      </c>
      <c r="AX148" s="215">
        <v>22</v>
      </c>
      <c r="AY148" s="213">
        <v>150</v>
      </c>
      <c r="AZ148" s="214">
        <v>22</v>
      </c>
      <c r="BA148" s="213">
        <v>50</v>
      </c>
      <c r="BB148" s="213">
        <f t="shared" si="226"/>
        <v>0</v>
      </c>
      <c r="BC148" s="213">
        <f t="shared" si="227"/>
        <v>1100</v>
      </c>
      <c r="BD148" s="215"/>
    </row>
    <row r="149" spans="1:59" s="217" customFormat="1" ht="36.75" customHeight="1" x14ac:dyDescent="0.25">
      <c r="A149" s="296">
        <v>134</v>
      </c>
      <c r="B149" s="210"/>
      <c r="C149" s="230" t="s">
        <v>388</v>
      </c>
      <c r="D149" s="200">
        <v>16</v>
      </c>
      <c r="E149" s="201">
        <v>39672</v>
      </c>
      <c r="F149" s="201">
        <f t="shared" si="209"/>
        <v>100</v>
      </c>
      <c r="G149" s="201">
        <f t="shared" si="210"/>
        <v>4760.6400000000003</v>
      </c>
      <c r="H149" s="202">
        <f t="shared" si="211"/>
        <v>39672</v>
      </c>
      <c r="I149" s="202">
        <f t="shared" si="212"/>
        <v>2000</v>
      </c>
      <c r="J149" s="202">
        <f t="shared" si="213"/>
        <v>1100</v>
      </c>
      <c r="K149" s="202">
        <f t="shared" si="214"/>
        <v>150</v>
      </c>
      <c r="L149" s="202">
        <f t="shared" si="215"/>
        <v>9918</v>
      </c>
      <c r="M149" s="202">
        <f t="shared" si="216"/>
        <v>52840</v>
      </c>
      <c r="N149" s="202">
        <v>11355.76</v>
      </c>
      <c r="O149" s="202">
        <f t="shared" si="217"/>
        <v>793.44</v>
      </c>
      <c r="P149" s="203">
        <f t="shared" si="218"/>
        <v>3570.48</v>
      </c>
      <c r="Q149" s="203"/>
      <c r="R149" s="203"/>
      <c r="S149" s="203"/>
      <c r="T149" s="203"/>
      <c r="U149" s="203"/>
      <c r="V149" s="203"/>
      <c r="W149" s="203"/>
      <c r="X149" s="203"/>
      <c r="Y149" s="203"/>
      <c r="Z149" s="203">
        <f t="shared" si="219"/>
        <v>100</v>
      </c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>
        <f t="shared" si="220"/>
        <v>15819.68</v>
      </c>
      <c r="AM149" s="204">
        <f t="shared" si="221"/>
        <v>37020.32</v>
      </c>
      <c r="AN149" s="291"/>
      <c r="AO149" s="211"/>
      <c r="AP149" s="207"/>
      <c r="AQ149" s="212">
        <f t="shared" si="222"/>
        <v>0</v>
      </c>
      <c r="AR149" s="213">
        <f t="shared" si="223"/>
        <v>37020.32</v>
      </c>
      <c r="AS149" s="213"/>
      <c r="AT149" s="213"/>
      <c r="AU149" s="213">
        <f t="shared" si="224"/>
        <v>545.49</v>
      </c>
      <c r="AV149" s="214"/>
      <c r="AW149" s="214" t="str">
        <f t="shared" si="225"/>
        <v>25%</v>
      </c>
      <c r="AX149" s="215">
        <v>22</v>
      </c>
      <c r="AY149" s="213">
        <v>150</v>
      </c>
      <c r="AZ149" s="214">
        <v>22</v>
      </c>
      <c r="BA149" s="213">
        <v>50</v>
      </c>
      <c r="BB149" s="213">
        <f t="shared" si="226"/>
        <v>0</v>
      </c>
      <c r="BC149" s="213">
        <f t="shared" si="227"/>
        <v>1100</v>
      </c>
      <c r="BD149" s="215"/>
    </row>
    <row r="150" spans="1:59" s="217" customFormat="1" ht="36.75" customHeight="1" x14ac:dyDescent="0.25">
      <c r="A150" s="296">
        <v>135</v>
      </c>
      <c r="B150" s="210"/>
      <c r="C150" s="230" t="s">
        <v>387</v>
      </c>
      <c r="D150" s="200">
        <v>16</v>
      </c>
      <c r="E150" s="201">
        <v>39672</v>
      </c>
      <c r="F150" s="201">
        <f t="shared" si="209"/>
        <v>100</v>
      </c>
      <c r="G150" s="201">
        <f t="shared" si="210"/>
        <v>4760.6400000000003</v>
      </c>
      <c r="H150" s="202">
        <f t="shared" si="211"/>
        <v>39672</v>
      </c>
      <c r="I150" s="202">
        <f t="shared" si="212"/>
        <v>2000</v>
      </c>
      <c r="J150" s="202">
        <f t="shared" si="213"/>
        <v>1100</v>
      </c>
      <c r="K150" s="202">
        <f t="shared" si="214"/>
        <v>150</v>
      </c>
      <c r="L150" s="202">
        <f t="shared" si="215"/>
        <v>9918</v>
      </c>
      <c r="M150" s="202">
        <f t="shared" si="216"/>
        <v>52840</v>
      </c>
      <c r="N150" s="202">
        <v>11255.76</v>
      </c>
      <c r="O150" s="202">
        <f t="shared" si="217"/>
        <v>793.44</v>
      </c>
      <c r="P150" s="203">
        <f t="shared" si="218"/>
        <v>3570.48</v>
      </c>
      <c r="Q150" s="203"/>
      <c r="R150" s="203"/>
      <c r="S150" s="203"/>
      <c r="T150" s="203"/>
      <c r="U150" s="203"/>
      <c r="V150" s="203"/>
      <c r="W150" s="203"/>
      <c r="X150" s="203"/>
      <c r="Y150" s="203"/>
      <c r="Z150" s="203">
        <f t="shared" si="219"/>
        <v>100</v>
      </c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>
        <f t="shared" si="220"/>
        <v>15719.68</v>
      </c>
      <c r="AM150" s="204">
        <f t="shared" si="221"/>
        <v>37120.32</v>
      </c>
      <c r="AN150" s="291"/>
      <c r="AO150" s="211"/>
      <c r="AP150" s="207"/>
      <c r="AQ150" s="212">
        <f t="shared" si="222"/>
        <v>0</v>
      </c>
      <c r="AR150" s="213">
        <f t="shared" si="223"/>
        <v>37120.32</v>
      </c>
      <c r="AS150" s="213"/>
      <c r="AT150" s="213"/>
      <c r="AU150" s="213">
        <f t="shared" si="224"/>
        <v>545.49</v>
      </c>
      <c r="AV150" s="214"/>
      <c r="AW150" s="214" t="str">
        <f t="shared" si="225"/>
        <v>25%</v>
      </c>
      <c r="AX150" s="215">
        <v>22</v>
      </c>
      <c r="AY150" s="213">
        <v>150</v>
      </c>
      <c r="AZ150" s="214">
        <v>22</v>
      </c>
      <c r="BA150" s="213">
        <v>50</v>
      </c>
      <c r="BB150" s="213">
        <f t="shared" si="226"/>
        <v>0</v>
      </c>
      <c r="BC150" s="213">
        <f t="shared" si="227"/>
        <v>1100</v>
      </c>
      <c r="BD150" s="244"/>
    </row>
    <row r="151" spans="1:59" s="217" customFormat="1" ht="36.75" customHeight="1" x14ac:dyDescent="0.25">
      <c r="A151" s="296">
        <v>136</v>
      </c>
      <c r="B151" s="210"/>
      <c r="C151" s="230" t="s">
        <v>389</v>
      </c>
      <c r="D151" s="200">
        <v>16</v>
      </c>
      <c r="E151" s="201">
        <v>39672</v>
      </c>
      <c r="F151" s="201">
        <f>IF(H151&gt;0,100,0)</f>
        <v>100</v>
      </c>
      <c r="G151" s="201">
        <f>+ROUND(H151*12%,2)</f>
        <v>4760.6400000000003</v>
      </c>
      <c r="H151" s="202">
        <f>ROUND(IF(AX151&gt;22,0,IF(AX151=22,E151,IF(AX151&lt;22,E151*(AX151/AZ151),IF(OR(AX151=0,AX151=" ")=TRUE,0)))),2)</f>
        <v>39672</v>
      </c>
      <c r="I151" s="202">
        <f>ROUND(IF(AND(H151&gt;0,AX151=22)=TRUE,2000,IF(AND(H151&gt;0,AX151&lt;22,AX151&gt;0)=TRUE,2000*(AX151/AZ151),IF(AX151&lt;0,0,0))),2)</f>
        <v>2000</v>
      </c>
      <c r="J151" s="202">
        <f>IF(H151&gt;0,BC151-BB151,0)</f>
        <v>1100</v>
      </c>
      <c r="K151" s="202">
        <f>IF(AND(H151&gt;0,AX151&gt;11)=TRUE,150,0)</f>
        <v>150</v>
      </c>
      <c r="L151" s="202">
        <f>ROUND(IF(AND($H151&gt;0,AX151&gt;11)=TRUE,$AW151*$E151,0),2)</f>
        <v>9918</v>
      </c>
      <c r="M151" s="202">
        <f>ROUND(SUM(H151:L151),2)</f>
        <v>52840</v>
      </c>
      <c r="N151" s="202">
        <v>11155.76</v>
      </c>
      <c r="O151" s="202">
        <f>E151*0.04/2</f>
        <v>793.44</v>
      </c>
      <c r="P151" s="203">
        <f>ROUND($H151*9%,2)</f>
        <v>3570.48</v>
      </c>
      <c r="Q151" s="203"/>
      <c r="R151" s="203"/>
      <c r="S151" s="203"/>
      <c r="T151" s="203"/>
      <c r="U151" s="203"/>
      <c r="V151" s="203"/>
      <c r="W151" s="203"/>
      <c r="X151" s="203"/>
      <c r="Y151" s="203"/>
      <c r="Z151" s="203">
        <f>ROUND(IF(H151&gt;0,100,0),2)</f>
        <v>100</v>
      </c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>
        <f>SUM(N151:AK151)</f>
        <v>15619.68</v>
      </c>
      <c r="AM151" s="204">
        <f>ROUND(M151-AL151,2)</f>
        <v>37220.32</v>
      </c>
      <c r="AN151" s="291"/>
      <c r="AO151" s="211"/>
      <c r="AP151" s="207"/>
      <c r="AQ151" s="212">
        <f>SUM(AO151:AP151)</f>
        <v>0</v>
      </c>
      <c r="AR151" s="213">
        <f>+AM151-AQ151</f>
        <v>37220.32</v>
      </c>
      <c r="AS151" s="213"/>
      <c r="AT151" s="213"/>
      <c r="AU151" s="213">
        <f>IF(E151=0,0,IF(E151&lt;=10000,137.5,IF(AND(E151&gt;10000,E151&lt;40000)=TRUE,E151*2.75%*50%,IF(E151&gt;=40000,550,0))))</f>
        <v>545.49</v>
      </c>
      <c r="AV151" s="214"/>
      <c r="AW151" s="214" t="str">
        <f>IF(AND($D151&gt;=1,$D151&lt;=19)=TRUE,"25%",IF($D151=20,"15%",IF($D151=21,"13%",IF($D151=22,"12%",IF($D151=23,"11%",IF(OR($D151=24,$D151=25)=TRUE,"10%",IF($D151=26,"9%",IF($D151=27,"8%",IF($D151=28,"7%",IF(OR($D151=29,$D151=30)=TRUE,"6%",IF($D151=31,"5%","0%")))))))))))</f>
        <v>25%</v>
      </c>
      <c r="AX151" s="215">
        <v>22</v>
      </c>
      <c r="AY151" s="213">
        <v>150</v>
      </c>
      <c r="AZ151" s="214">
        <v>22</v>
      </c>
      <c r="BA151" s="213">
        <v>50</v>
      </c>
      <c r="BB151" s="213">
        <f>IF(AX151&gt;0,(AZ151-AX151+BD151)*BA151,0)</f>
        <v>0</v>
      </c>
      <c r="BC151" s="213">
        <f>IF(AX151&gt;0,1100,0)</f>
        <v>1100</v>
      </c>
      <c r="BD151" s="215"/>
    </row>
    <row r="152" spans="1:59" s="217" customFormat="1" ht="36.75" customHeight="1" x14ac:dyDescent="0.25">
      <c r="A152" s="296">
        <v>137</v>
      </c>
      <c r="B152" s="210"/>
      <c r="C152" s="230" t="s">
        <v>390</v>
      </c>
      <c r="D152" s="200">
        <v>16</v>
      </c>
      <c r="E152" s="201">
        <v>39672</v>
      </c>
      <c r="F152" s="201">
        <f>IF(H152&gt;0,100,0)</f>
        <v>100</v>
      </c>
      <c r="G152" s="201">
        <f>+ROUND(H152*12%,2)</f>
        <v>4760.6400000000003</v>
      </c>
      <c r="H152" s="202">
        <f>ROUND(IF(AX152&gt;22,0,IF(AX152=22,E152,IF(AX152&lt;22,E152*(AX152/AZ152),IF(OR(AX152=0,AX152=" ")=TRUE,0)))),2)</f>
        <v>39672</v>
      </c>
      <c r="I152" s="202">
        <f>ROUND(IF(AND(H152&gt;0,AX152=22)=TRUE,2000,IF(AND(H152&gt;0,AX152&lt;22,AX152&gt;0)=TRUE,2000*(AX152/AZ152),IF(AX152&lt;0,0,0))),2)</f>
        <v>2000</v>
      </c>
      <c r="J152" s="202">
        <f>IF(H152&gt;0,BC152-BB152,0)</f>
        <v>1100</v>
      </c>
      <c r="K152" s="202">
        <f>IF(AND(H152&gt;0,AX152&gt;11)=TRUE,150,0)</f>
        <v>150</v>
      </c>
      <c r="L152" s="202">
        <f>ROUND(IF(AND($H152&gt;0,AX152&gt;11)=TRUE,$AW152*$E152,0),2)</f>
        <v>9918</v>
      </c>
      <c r="M152" s="202">
        <f>ROUND(SUM(H152:L152),2)</f>
        <v>52840</v>
      </c>
      <c r="N152" s="202">
        <v>11355.76</v>
      </c>
      <c r="O152" s="202">
        <f>E152*0.04/2</f>
        <v>793.44</v>
      </c>
      <c r="P152" s="203">
        <f>ROUND($H152*9%,2)</f>
        <v>3570.48</v>
      </c>
      <c r="Q152" s="203"/>
      <c r="R152" s="203"/>
      <c r="S152" s="203"/>
      <c r="T152" s="203"/>
      <c r="U152" s="203"/>
      <c r="V152" s="203"/>
      <c r="W152" s="203"/>
      <c r="X152" s="203"/>
      <c r="Y152" s="203"/>
      <c r="Z152" s="203">
        <f>ROUND(IF(H152&gt;0,100,0),2)</f>
        <v>100</v>
      </c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>
        <f>SUM(N152:AK152)</f>
        <v>15819.68</v>
      </c>
      <c r="AM152" s="204">
        <f>ROUND(M152-AL152,2)</f>
        <v>37020.32</v>
      </c>
      <c r="AN152" s="291"/>
      <c r="AO152" s="211"/>
      <c r="AP152" s="207"/>
      <c r="AQ152" s="212">
        <f>SUM(AO152:AP152)</f>
        <v>0</v>
      </c>
      <c r="AR152" s="213">
        <f>+AM152-AQ152</f>
        <v>37020.32</v>
      </c>
      <c r="AS152" s="213"/>
      <c r="AT152" s="213"/>
      <c r="AU152" s="213">
        <f>IF(E152=0,0,IF(E152&lt;=10000,137.5,IF(AND(E152&gt;10000,E152&lt;40000)=TRUE,E152*2.75%*50%,IF(E152&gt;=40000,550,0))))</f>
        <v>545.49</v>
      </c>
      <c r="AV152" s="214"/>
      <c r="AW152" s="214" t="str">
        <f>IF(AND($D152&gt;=1,$D152&lt;=19)=TRUE,"25%",IF($D152=20,"15%",IF($D152=21,"13%",IF($D152=22,"12%",IF($D152=23,"11%",IF(OR($D152=24,$D152=25)=TRUE,"10%",IF($D152=26,"9%",IF($D152=27,"8%",IF($D152=28,"7%",IF(OR($D152=29,$D152=30)=TRUE,"6%",IF($D152=31,"5%","0%")))))))))))</f>
        <v>25%</v>
      </c>
      <c r="AX152" s="215">
        <v>22</v>
      </c>
      <c r="AY152" s="213">
        <v>150</v>
      </c>
      <c r="AZ152" s="214">
        <v>22</v>
      </c>
      <c r="BA152" s="213">
        <v>50</v>
      </c>
      <c r="BB152" s="213">
        <f>IF(AX152&gt;0,(AZ152-AX152+BD152)*BA152,0)</f>
        <v>0</v>
      </c>
      <c r="BC152" s="213">
        <f>IF(AX152&gt;0,1100,0)</f>
        <v>1100</v>
      </c>
      <c r="BD152" s="215"/>
    </row>
    <row r="153" spans="1:59" s="217" customFormat="1" ht="36.75" customHeight="1" x14ac:dyDescent="0.25">
      <c r="A153" s="296">
        <v>138</v>
      </c>
      <c r="B153" s="210"/>
      <c r="C153" s="230" t="s">
        <v>392</v>
      </c>
      <c r="D153" s="200">
        <v>16</v>
      </c>
      <c r="E153" s="201">
        <v>39672</v>
      </c>
      <c r="F153" s="201">
        <f>IF(H153&gt;0,100,0)</f>
        <v>100</v>
      </c>
      <c r="G153" s="201">
        <f>+ROUND(H153*12%,2)</f>
        <v>4760.6400000000003</v>
      </c>
      <c r="H153" s="202">
        <f>ROUND(IF(AX153&gt;22,0,IF(AX153=22,E153,IF(AX153&lt;22,E153*(AX153/AZ153),IF(OR(AX153=0,AX153=" ")=TRUE,0)))),2)</f>
        <v>39672</v>
      </c>
      <c r="I153" s="202">
        <f>ROUND(IF(AND(H153&gt;0,AX153=22)=TRUE,2000,IF(AND(H153&gt;0,AX153&lt;22,AX153&gt;0)=TRUE,2000*(AX153/AZ153),IF(AX153&lt;0,0,0))),2)</f>
        <v>2000</v>
      </c>
      <c r="J153" s="202">
        <f>IF(H153&gt;0,BC153-BB153,0)</f>
        <v>1100</v>
      </c>
      <c r="K153" s="202">
        <f>IF(AND(H153&gt;0,AX153&gt;11)=TRUE,150,0)</f>
        <v>150</v>
      </c>
      <c r="L153" s="202">
        <f>ROUND(IF(AND($H153&gt;0,AX153&gt;11)=TRUE,$AW153*$E153,0),2)</f>
        <v>9918</v>
      </c>
      <c r="M153" s="202">
        <f>ROUND(SUM(H153:L153),2)</f>
        <v>52840</v>
      </c>
      <c r="N153" s="202">
        <v>11468.3</v>
      </c>
      <c r="O153" s="202">
        <f>E153*0.04/2</f>
        <v>793.44</v>
      </c>
      <c r="P153" s="203">
        <f>ROUND($H153*9%,2)</f>
        <v>3570.48</v>
      </c>
      <c r="Q153" s="203"/>
      <c r="R153" s="203"/>
      <c r="S153" s="203"/>
      <c r="T153" s="203"/>
      <c r="U153" s="203"/>
      <c r="V153" s="203"/>
      <c r="W153" s="203"/>
      <c r="X153" s="203"/>
      <c r="Y153" s="203"/>
      <c r="Z153" s="203">
        <f>ROUND(IF(H153&gt;0,100,0),2)</f>
        <v>100</v>
      </c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>
        <f>SUM(N153:AK153)</f>
        <v>15932.22</v>
      </c>
      <c r="AM153" s="204">
        <f>ROUND(M153-AL153,2)</f>
        <v>36907.78</v>
      </c>
      <c r="AN153" s="291"/>
      <c r="AO153" s="211"/>
      <c r="AP153" s="207"/>
      <c r="AQ153" s="212">
        <f>SUM(AO153:AP153)</f>
        <v>0</v>
      </c>
      <c r="AR153" s="213">
        <f>+AM153-AQ153</f>
        <v>36907.78</v>
      </c>
      <c r="AS153" s="213"/>
      <c r="AT153" s="213"/>
      <c r="AU153" s="213">
        <f>IF(E153=0,0,IF(E153&lt;=10000,137.5,IF(AND(E153&gt;10000,E153&lt;40000)=TRUE,E153*2.75%*50%,IF(E153&gt;=40000,550,0))))</f>
        <v>545.49</v>
      </c>
      <c r="AV153" s="214"/>
      <c r="AW153" s="214" t="str">
        <f>IF(AND($D153&gt;=1,$D153&lt;=19)=TRUE,"25%",IF($D153=20,"15%",IF($D153=21,"13%",IF($D153=22,"12%",IF($D153=23,"11%",IF(OR($D153=24,$D153=25)=TRUE,"10%",IF($D153=26,"9%",IF($D153=27,"8%",IF($D153=28,"7%",IF(OR($D153=29,$D153=30)=TRUE,"6%",IF($D153=31,"5%","0%")))))))))))</f>
        <v>25%</v>
      </c>
      <c r="AX153" s="215">
        <v>22</v>
      </c>
      <c r="AY153" s="213">
        <v>150</v>
      </c>
      <c r="AZ153" s="214">
        <v>22</v>
      </c>
      <c r="BA153" s="213">
        <v>50</v>
      </c>
      <c r="BB153" s="213">
        <f>IF(AX153&gt;0,(AZ153-AX153+BD153)*BA153,0)</f>
        <v>0</v>
      </c>
      <c r="BC153" s="213">
        <f>IF(AX153&gt;0,1100,0)</f>
        <v>1100</v>
      </c>
      <c r="BD153" s="215"/>
    </row>
    <row r="154" spans="1:59" s="217" customFormat="1" ht="36.75" customHeight="1" x14ac:dyDescent="0.25">
      <c r="A154" s="296">
        <v>139</v>
      </c>
      <c r="B154" s="210"/>
      <c r="C154" s="230" t="s">
        <v>391</v>
      </c>
      <c r="D154" s="200">
        <v>16</v>
      </c>
      <c r="E154" s="201">
        <v>39672</v>
      </c>
      <c r="F154" s="201">
        <f>IF(H154&gt;0,100,0)</f>
        <v>100</v>
      </c>
      <c r="G154" s="201">
        <f>+ROUND(H154*12%,2)</f>
        <v>4760.6400000000003</v>
      </c>
      <c r="H154" s="202">
        <f>ROUND(IF(AX154&gt;22,0,IF(AX154=22,E154,IF(AX154&lt;22,E154*(AX154/AZ154),IF(OR(AX154=0,AX154=" ")=TRUE,0)))),2)</f>
        <v>39672</v>
      </c>
      <c r="I154" s="202">
        <f>ROUND(IF(AND(H154&gt;0,AX154=22)=TRUE,2000,IF(AND(H154&gt;0,AX154&lt;22,AX154&gt;0)=TRUE,2000*(AX154/AZ154),IF(AX154&lt;0,0,0))),2)</f>
        <v>2000</v>
      </c>
      <c r="J154" s="202">
        <f>IF(H154&gt;0,BC154-BB154,0)</f>
        <v>1100</v>
      </c>
      <c r="K154" s="202">
        <f>IF(AND(H154&gt;0,AX154&gt;11)=TRUE,150,0)</f>
        <v>150</v>
      </c>
      <c r="L154" s="202">
        <f>ROUND(IF(AND($H154&gt;0,AX154&gt;11)=TRUE,$AW154*$E154,0),2)</f>
        <v>9918</v>
      </c>
      <c r="M154" s="202">
        <f>ROUND(SUM(H154:L154),2)</f>
        <v>52840</v>
      </c>
      <c r="N154" s="202">
        <v>11468.3</v>
      </c>
      <c r="O154" s="202">
        <f>E154*0.04/2</f>
        <v>793.44</v>
      </c>
      <c r="P154" s="203">
        <f>ROUND($H154*9%,2)</f>
        <v>3570.48</v>
      </c>
      <c r="Q154" s="203"/>
      <c r="R154" s="203"/>
      <c r="S154" s="203"/>
      <c r="T154" s="203"/>
      <c r="U154" s="203"/>
      <c r="V154" s="203"/>
      <c r="W154" s="203"/>
      <c r="X154" s="203"/>
      <c r="Y154" s="203"/>
      <c r="Z154" s="203">
        <f>ROUND(IF(H154&gt;0,100,0),2)</f>
        <v>100</v>
      </c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>
        <f>SUM(N154:AK154)</f>
        <v>15932.22</v>
      </c>
      <c r="AM154" s="204">
        <f>ROUND(M154-AL154,2)</f>
        <v>36907.78</v>
      </c>
      <c r="AN154" s="291"/>
      <c r="AO154" s="211"/>
      <c r="AP154" s="207"/>
      <c r="AQ154" s="212">
        <f>SUM(AO154:AP154)</f>
        <v>0</v>
      </c>
      <c r="AR154" s="213">
        <f>+AM154-AQ154</f>
        <v>36907.78</v>
      </c>
      <c r="AS154" s="213"/>
      <c r="AT154" s="213"/>
      <c r="AU154" s="213">
        <f>IF(E154=0,0,IF(E154&lt;=10000,137.5,IF(AND(E154&gt;10000,E154&lt;40000)=TRUE,E154*2.75%*50%,IF(E154&gt;=40000,550,0))))</f>
        <v>545.49</v>
      </c>
      <c r="AV154" s="214"/>
      <c r="AW154" s="214" t="str">
        <f>IF(AND($D154&gt;=1,$D154&lt;=19)=TRUE,"25%",IF($D154=20,"15%",IF($D154=21,"13%",IF($D154=22,"12%",IF($D154=23,"11%",IF(OR($D154=24,$D154=25)=TRUE,"10%",IF($D154=26,"9%",IF($D154=27,"8%",IF($D154=28,"7%",IF(OR($D154=29,$D154=30)=TRUE,"6%",IF($D154=31,"5%","0%")))))))))))</f>
        <v>25%</v>
      </c>
      <c r="AX154" s="215">
        <v>22</v>
      </c>
      <c r="AY154" s="213">
        <v>150</v>
      </c>
      <c r="AZ154" s="214">
        <v>22</v>
      </c>
      <c r="BA154" s="213">
        <v>50</v>
      </c>
      <c r="BB154" s="213">
        <f>IF(AX154&gt;0,(AZ154-AX154+BD154)*BA154,0)</f>
        <v>0</v>
      </c>
      <c r="BC154" s="213">
        <f>IF(AX154&gt;0,1100,0)</f>
        <v>1100</v>
      </c>
      <c r="BD154" s="215"/>
    </row>
    <row r="155" spans="1:59" s="356" customFormat="1" ht="35.25" customHeight="1" x14ac:dyDescent="0.25">
      <c r="A155" s="358"/>
      <c r="B155" s="358"/>
      <c r="C155" s="359" t="s">
        <v>102</v>
      </c>
      <c r="D155" s="360"/>
      <c r="E155" s="355">
        <f>ROUND(SUM(E135:E154),2)</f>
        <v>793440</v>
      </c>
      <c r="F155" s="355">
        <f t="shared" ref="F155:BD155" si="228">ROUND(SUM(F135:F154),2)</f>
        <v>2000</v>
      </c>
      <c r="G155" s="355">
        <f t="shared" si="228"/>
        <v>95212.800000000003</v>
      </c>
      <c r="H155" s="355">
        <f t="shared" si="228"/>
        <v>793440</v>
      </c>
      <c r="I155" s="355">
        <f t="shared" si="228"/>
        <v>40000</v>
      </c>
      <c r="J155" s="355">
        <f t="shared" si="228"/>
        <v>22000</v>
      </c>
      <c r="K155" s="355">
        <f t="shared" si="228"/>
        <v>3000</v>
      </c>
      <c r="L155" s="355">
        <f t="shared" si="228"/>
        <v>198360</v>
      </c>
      <c r="M155" s="355">
        <f>ROUND(SUM(M135:M154),2)</f>
        <v>1056800</v>
      </c>
      <c r="N155" s="355">
        <f t="shared" si="228"/>
        <v>221515.94</v>
      </c>
      <c r="O155" s="355">
        <f t="shared" si="228"/>
        <v>15868.8</v>
      </c>
      <c r="P155" s="355">
        <f t="shared" si="228"/>
        <v>71409.600000000006</v>
      </c>
      <c r="Q155" s="355">
        <f t="shared" si="228"/>
        <v>0</v>
      </c>
      <c r="R155" s="355">
        <f t="shared" si="228"/>
        <v>0</v>
      </c>
      <c r="S155" s="355">
        <f t="shared" si="228"/>
        <v>0</v>
      </c>
      <c r="T155" s="355">
        <f t="shared" si="228"/>
        <v>0</v>
      </c>
      <c r="U155" s="355">
        <f t="shared" si="228"/>
        <v>0</v>
      </c>
      <c r="V155" s="355">
        <f t="shared" si="228"/>
        <v>0</v>
      </c>
      <c r="W155" s="355">
        <f t="shared" si="228"/>
        <v>0</v>
      </c>
      <c r="X155" s="355">
        <f t="shared" si="228"/>
        <v>0</v>
      </c>
      <c r="Y155" s="355">
        <f t="shared" si="228"/>
        <v>0</v>
      </c>
      <c r="Z155" s="355">
        <f t="shared" si="228"/>
        <v>2000</v>
      </c>
      <c r="AA155" s="355">
        <f t="shared" si="228"/>
        <v>0</v>
      </c>
      <c r="AB155" s="355">
        <f t="shared" si="228"/>
        <v>0</v>
      </c>
      <c r="AC155" s="355">
        <f t="shared" si="228"/>
        <v>0</v>
      </c>
      <c r="AD155" s="355">
        <f t="shared" si="228"/>
        <v>0</v>
      </c>
      <c r="AE155" s="355">
        <f t="shared" si="228"/>
        <v>0</v>
      </c>
      <c r="AF155" s="355">
        <f t="shared" si="228"/>
        <v>0</v>
      </c>
      <c r="AG155" s="355">
        <f t="shared" si="228"/>
        <v>0</v>
      </c>
      <c r="AH155" s="355">
        <f t="shared" si="228"/>
        <v>0</v>
      </c>
      <c r="AI155" s="355">
        <f t="shared" si="228"/>
        <v>0</v>
      </c>
      <c r="AJ155" s="355">
        <f t="shared" si="228"/>
        <v>0</v>
      </c>
      <c r="AK155" s="355">
        <f t="shared" si="228"/>
        <v>0</v>
      </c>
      <c r="AL155" s="355">
        <f t="shared" si="228"/>
        <v>310794.34000000003</v>
      </c>
      <c r="AM155" s="355">
        <f t="shared" si="228"/>
        <v>746005.66</v>
      </c>
      <c r="AN155" s="355">
        <f t="shared" si="228"/>
        <v>0</v>
      </c>
      <c r="AO155" s="355">
        <f t="shared" si="228"/>
        <v>0</v>
      </c>
      <c r="AP155" s="355">
        <f t="shared" si="228"/>
        <v>0</v>
      </c>
      <c r="AQ155" s="355">
        <f t="shared" si="228"/>
        <v>0</v>
      </c>
      <c r="AR155" s="355">
        <f t="shared" si="228"/>
        <v>746005.66</v>
      </c>
      <c r="AS155" s="355">
        <f t="shared" si="228"/>
        <v>0</v>
      </c>
      <c r="AT155" s="355">
        <f t="shared" si="228"/>
        <v>0</v>
      </c>
      <c r="AU155" s="355">
        <f t="shared" si="228"/>
        <v>10909.8</v>
      </c>
      <c r="AV155" s="355">
        <f t="shared" si="228"/>
        <v>0</v>
      </c>
      <c r="AW155" s="355">
        <f t="shared" si="228"/>
        <v>0</v>
      </c>
      <c r="AX155" s="355">
        <f t="shared" si="228"/>
        <v>440</v>
      </c>
      <c r="AY155" s="355">
        <f t="shared" si="228"/>
        <v>3000</v>
      </c>
      <c r="AZ155" s="355">
        <f t="shared" si="228"/>
        <v>440</v>
      </c>
      <c r="BA155" s="355">
        <f t="shared" si="228"/>
        <v>1000</v>
      </c>
      <c r="BB155" s="355">
        <f t="shared" si="228"/>
        <v>0</v>
      </c>
      <c r="BC155" s="355">
        <f t="shared" si="228"/>
        <v>22000</v>
      </c>
      <c r="BD155" s="355">
        <f t="shared" si="228"/>
        <v>0</v>
      </c>
      <c r="BE155" s="355"/>
      <c r="BF155" s="355"/>
      <c r="BG155" s="355"/>
    </row>
    <row r="156" spans="1:59" s="217" customFormat="1" ht="36.75" customHeight="1" x14ac:dyDescent="0.25">
      <c r="A156" s="296">
        <v>140</v>
      </c>
      <c r="B156" s="210"/>
      <c r="C156" s="230" t="s">
        <v>393</v>
      </c>
      <c r="D156" s="200">
        <v>16</v>
      </c>
      <c r="E156" s="201">
        <v>39672</v>
      </c>
      <c r="F156" s="201">
        <f t="shared" ref="F156:F157" si="229">IF(H156&gt;0,100,0)</f>
        <v>100</v>
      </c>
      <c r="G156" s="201">
        <f t="shared" ref="G156:G157" si="230">+ROUND(H156*12%,2)</f>
        <v>4760.6400000000003</v>
      </c>
      <c r="H156" s="202">
        <f t="shared" ref="H156:H157" si="231">ROUND(IF(AX156&gt;22,0,IF(AX156=22,E156,IF(AX156&lt;22,E156*(AX156/AZ156),IF(OR(AX156=0,AX156=" ")=TRUE,0)))),2)</f>
        <v>39672</v>
      </c>
      <c r="I156" s="202">
        <f t="shared" ref="I156:I157" si="232">ROUND(IF(AND(H156&gt;0,AX156=22)=TRUE,2000,IF(AND(H156&gt;0,AX156&lt;22,AX156&gt;0)=TRUE,2000*(AX156/AZ156),IF(AX156&lt;0,0,0))),2)</f>
        <v>2000</v>
      </c>
      <c r="J156" s="202">
        <f t="shared" ref="J156:J157" si="233">IF(H156&gt;0,BC156-BB156,0)</f>
        <v>1100</v>
      </c>
      <c r="K156" s="202">
        <f t="shared" ref="K156:K157" si="234">IF(AND(H156&gt;0,AX156&gt;11)=TRUE,150,0)</f>
        <v>150</v>
      </c>
      <c r="L156" s="202">
        <f>ROUND(IF(AND($H156&gt;0,AX156&gt;11)=TRUE,$AW156*$E156,0),2)</f>
        <v>9918</v>
      </c>
      <c r="M156" s="202">
        <f t="shared" ref="M156:M157" si="235">ROUND(SUM(H156:L156),2)</f>
        <v>52840</v>
      </c>
      <c r="N156" s="202">
        <v>11468.3</v>
      </c>
      <c r="O156" s="202">
        <f>E156*0.04/2</f>
        <v>793.44</v>
      </c>
      <c r="P156" s="203">
        <f>ROUND($H156*9%,2)</f>
        <v>3570.48</v>
      </c>
      <c r="Q156" s="203"/>
      <c r="R156" s="203"/>
      <c r="S156" s="203"/>
      <c r="T156" s="203"/>
      <c r="U156" s="203"/>
      <c r="V156" s="203"/>
      <c r="W156" s="203"/>
      <c r="X156" s="203"/>
      <c r="Y156" s="203"/>
      <c r="Z156" s="203">
        <f t="shared" ref="Z156:Z157" si="236">ROUND(IF(H156&gt;0,100,0),2)</f>
        <v>100</v>
      </c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>
        <f t="shared" ref="AL156:AL157" si="237">SUM(N156:AK156)</f>
        <v>15932.22</v>
      </c>
      <c r="AM156" s="204">
        <f t="shared" ref="AM156:AM157" si="238">ROUND(M156-AL156,2)</f>
        <v>36907.78</v>
      </c>
      <c r="AN156" s="291"/>
      <c r="AO156" s="211"/>
      <c r="AP156" s="207"/>
      <c r="AQ156" s="212">
        <f t="shared" ref="AQ156:AQ157" si="239">SUM(AO156:AP156)</f>
        <v>0</v>
      </c>
      <c r="AR156" s="213">
        <f t="shared" ref="AR156:AR157" si="240">+AM156-AQ156</f>
        <v>36907.78</v>
      </c>
      <c r="AS156" s="213"/>
      <c r="AT156" s="213"/>
      <c r="AU156" s="213">
        <f t="shared" ref="AU156:AU157" si="241">IF(E156=0,0,IF(E156&lt;=10000,137.5,IF(AND(E156&gt;10000,E156&lt;40000)=TRUE,E156*2.75%*50%,IF(E156&gt;=40000,550,0))))</f>
        <v>545.49</v>
      </c>
      <c r="AV156" s="214"/>
      <c r="AW156" s="214" t="str">
        <f>IF(AND($D156&gt;=1,$D156&lt;=19)=TRUE,"25%",IF($D156=20,"15%",IF($D156=21,"13%",IF($D156=22,"12%",IF($D156=23,"11%",IF(OR($D156=24,$D156=25)=TRUE,"10%",IF($D156=26,"9%",IF($D156=27,"8%",IF($D156=28,"7%",IF(OR($D156=29,$D156=30)=TRUE,"6%",IF($D156=31,"5%","0%")))))))))))</f>
        <v>25%</v>
      </c>
      <c r="AX156" s="215">
        <v>22</v>
      </c>
      <c r="AY156" s="213">
        <v>150</v>
      </c>
      <c r="AZ156" s="214">
        <v>22</v>
      </c>
      <c r="BA156" s="213">
        <v>50</v>
      </c>
      <c r="BB156" s="213">
        <f t="shared" ref="BB156:BB157" si="242">IF(AX156&gt;0,(AZ156-AX156+BD156)*BA156,0)</f>
        <v>0</v>
      </c>
      <c r="BC156" s="213">
        <f t="shared" ref="BC156:BC157" si="243">IF(AX156&gt;0,1100,0)</f>
        <v>1100</v>
      </c>
      <c r="BD156" s="215"/>
    </row>
    <row r="157" spans="1:59" s="217" customFormat="1" ht="36.75" customHeight="1" x14ac:dyDescent="0.25">
      <c r="A157" s="296"/>
      <c r="B157" s="210"/>
      <c r="C157" s="604" t="s">
        <v>394</v>
      </c>
      <c r="D157" s="200">
        <v>16</v>
      </c>
      <c r="E157" s="201"/>
      <c r="F157" s="201">
        <f t="shared" si="229"/>
        <v>0</v>
      </c>
      <c r="G157" s="201">
        <f t="shared" si="230"/>
        <v>0</v>
      </c>
      <c r="H157" s="202">
        <f t="shared" si="231"/>
        <v>0</v>
      </c>
      <c r="I157" s="202">
        <f t="shared" si="232"/>
        <v>0</v>
      </c>
      <c r="J157" s="202">
        <f t="shared" si="233"/>
        <v>0</v>
      </c>
      <c r="K157" s="202">
        <f t="shared" si="234"/>
        <v>0</v>
      </c>
      <c r="L157" s="202">
        <f>ROUND(IF(AND($H157&gt;0,AX157&gt;11)=TRUE,$AW157*$E157,0),2)</f>
        <v>0</v>
      </c>
      <c r="M157" s="202">
        <f t="shared" si="235"/>
        <v>0</v>
      </c>
      <c r="N157" s="202"/>
      <c r="O157" s="202">
        <f>E157*0.04/2</f>
        <v>0</v>
      </c>
      <c r="P157" s="203">
        <f>ROUND($H157*9%,2)</f>
        <v>0</v>
      </c>
      <c r="Q157" s="203"/>
      <c r="R157" s="203"/>
      <c r="S157" s="203"/>
      <c r="T157" s="203"/>
      <c r="U157" s="203"/>
      <c r="V157" s="203"/>
      <c r="W157" s="203"/>
      <c r="X157" s="203"/>
      <c r="Y157" s="203"/>
      <c r="Z157" s="203">
        <f t="shared" si="236"/>
        <v>0</v>
      </c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>
        <f t="shared" si="237"/>
        <v>0</v>
      </c>
      <c r="AM157" s="204">
        <f t="shared" si="238"/>
        <v>0</v>
      </c>
      <c r="AN157" s="291" t="s">
        <v>466</v>
      </c>
      <c r="AO157" s="211"/>
      <c r="AP157" s="207"/>
      <c r="AQ157" s="212">
        <f t="shared" si="239"/>
        <v>0</v>
      </c>
      <c r="AR157" s="213">
        <f t="shared" si="240"/>
        <v>0</v>
      </c>
      <c r="AS157" s="213"/>
      <c r="AT157" s="213"/>
      <c r="AU157" s="213">
        <f t="shared" si="241"/>
        <v>0</v>
      </c>
      <c r="AV157" s="214"/>
      <c r="AW157" s="214" t="str">
        <f>IF(AND($D157&gt;=1,$D157&lt;=19)=TRUE,"25%",IF($D157=20,"15%",IF($D157=21,"13%",IF($D157=22,"12%",IF($D157=23,"11%",IF(OR($D157=24,$D157=25)=TRUE,"10%",IF($D157=26,"9%",IF($D157=27,"8%",IF($D157=28,"7%",IF(OR($D157=29,$D157=30)=TRUE,"6%",IF($D157=31,"5%","0%")))))))))))</f>
        <v>25%</v>
      </c>
      <c r="AX157" s="215"/>
      <c r="AY157" s="213">
        <v>150</v>
      </c>
      <c r="AZ157" s="214">
        <v>22</v>
      </c>
      <c r="BA157" s="213">
        <v>50</v>
      </c>
      <c r="BB157" s="213">
        <f t="shared" si="242"/>
        <v>0</v>
      </c>
      <c r="BC157" s="213">
        <f t="shared" si="243"/>
        <v>0</v>
      </c>
      <c r="BD157" s="215"/>
    </row>
    <row r="158" spans="1:59" s="217" customFormat="1" ht="36.75" customHeight="1" x14ac:dyDescent="0.25">
      <c r="A158" s="296">
        <v>141</v>
      </c>
      <c r="B158" s="210"/>
      <c r="C158" s="366" t="s">
        <v>467</v>
      </c>
      <c r="D158" s="200">
        <v>16</v>
      </c>
      <c r="E158" s="201">
        <v>39672</v>
      </c>
      <c r="F158" s="201">
        <f t="shared" ref="F158:F159" si="244">IF(H158&gt;0,100,0)</f>
        <v>100</v>
      </c>
      <c r="G158" s="201">
        <f t="shared" ref="G158:G159" si="245">+ROUND(H158*12%,2)</f>
        <v>4760.6400000000003</v>
      </c>
      <c r="H158" s="202">
        <f t="shared" ref="H158:H159" si="246">ROUND(IF(AX158&gt;22,0,IF(AX158=22,E158,IF(AX158&lt;22,E158*(AX158/AZ158),IF(OR(AX158=0,AX158=" ")=TRUE,0)))),2)</f>
        <v>39672</v>
      </c>
      <c r="I158" s="202">
        <f t="shared" ref="I158:I159" si="247">ROUND(IF(AND(H158&gt;0,AX158=22)=TRUE,2000,IF(AND(H158&gt;0,AX158&lt;22,AX158&gt;0)=TRUE,2000*(AX158/AZ158),IF(AX158&lt;0,0,0))),2)</f>
        <v>2000</v>
      </c>
      <c r="J158" s="202">
        <f t="shared" ref="J158:J159" si="248">IF(H158&gt;0,BC158-BB158,0)</f>
        <v>1100</v>
      </c>
      <c r="K158" s="202">
        <f t="shared" ref="K158:K159" si="249">IF(AND(H158&gt;0,AX158&gt;11)=TRUE,150,0)</f>
        <v>150</v>
      </c>
      <c r="L158" s="202">
        <f>ROUND(IF(AND($H158&gt;0,AX158&gt;11)=TRUE,$AW158*$E158,0),2)</f>
        <v>9918</v>
      </c>
      <c r="M158" s="202">
        <f t="shared" ref="M158:M159" si="250">ROUND(SUM(H158:L158),2)</f>
        <v>52840</v>
      </c>
      <c r="N158" s="202"/>
      <c r="O158" s="202">
        <f>E158*0.04/2</f>
        <v>793.44</v>
      </c>
      <c r="P158" s="203">
        <f>ROUND($H158*9%,2)</f>
        <v>3570.48</v>
      </c>
      <c r="Q158" s="203"/>
      <c r="R158" s="203"/>
      <c r="S158" s="203"/>
      <c r="T158" s="203"/>
      <c r="U158" s="203"/>
      <c r="V158" s="203"/>
      <c r="W158" s="203"/>
      <c r="X158" s="203"/>
      <c r="Y158" s="203"/>
      <c r="Z158" s="203">
        <f t="shared" ref="Z158:Z159" si="251">ROUND(IF(H158&gt;0,100,0),2)</f>
        <v>100</v>
      </c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>
        <f t="shared" ref="AL158:AL159" si="252">SUM(N158:AK158)</f>
        <v>4463.92</v>
      </c>
      <c r="AM158" s="204">
        <f t="shared" ref="AM158:AM159" si="253">ROUND(M158-AL158,2)</f>
        <v>48376.08</v>
      </c>
      <c r="AN158" s="367" t="s">
        <v>470</v>
      </c>
      <c r="AO158" s="211"/>
      <c r="AP158" s="207"/>
      <c r="AQ158" s="212">
        <f t="shared" ref="AQ158:AQ159" si="254">SUM(AO158:AP158)</f>
        <v>0</v>
      </c>
      <c r="AR158" s="213">
        <f t="shared" ref="AR158:AR159" si="255">+AM158-AQ158</f>
        <v>48376.08</v>
      </c>
      <c r="AS158" s="213"/>
      <c r="AT158" s="213"/>
      <c r="AU158" s="213">
        <f t="shared" ref="AU158:AU159" si="256">IF(E158=0,0,IF(E158&lt;=10000,137.5,IF(AND(E158&gt;10000,E158&lt;40000)=TRUE,E158*2.75%*50%,IF(E158&gt;=40000,550,0))))</f>
        <v>545.49</v>
      </c>
      <c r="AV158" s="214"/>
      <c r="AW158" s="214" t="str">
        <f>IF(AND($D158&gt;=1,$D158&lt;=19)=TRUE,"25%",IF($D158=20,"15%",IF($D158=21,"13%",IF($D158=22,"12%",IF($D158=23,"11%",IF(OR($D158=24,$D158=25)=TRUE,"10%",IF($D158=26,"9%",IF($D158=27,"8%",IF($D158=28,"7%",IF(OR($D158=29,$D158=30)=TRUE,"6%",IF($D158=31,"5%","0%")))))))))))</f>
        <v>25%</v>
      </c>
      <c r="AX158" s="215">
        <v>22</v>
      </c>
      <c r="AY158" s="213">
        <v>150</v>
      </c>
      <c r="AZ158" s="214">
        <v>22</v>
      </c>
      <c r="BA158" s="213">
        <v>50</v>
      </c>
      <c r="BB158" s="213">
        <f t="shared" ref="BB158:BB159" si="257">IF(AX158&gt;0,(AZ158-AX158+BD158)*BA158,0)</f>
        <v>0</v>
      </c>
      <c r="BC158" s="213">
        <f t="shared" ref="BC158:BC159" si="258">IF(AX158&gt;0,1100,0)</f>
        <v>1100</v>
      </c>
      <c r="BD158" s="215"/>
    </row>
    <row r="159" spans="1:59" s="217" customFormat="1" ht="36.75" customHeight="1" x14ac:dyDescent="0.25">
      <c r="A159" s="296">
        <v>142</v>
      </c>
      <c r="B159" s="210"/>
      <c r="C159" s="366" t="s">
        <v>468</v>
      </c>
      <c r="D159" s="200">
        <v>16</v>
      </c>
      <c r="E159" s="201">
        <v>39672</v>
      </c>
      <c r="F159" s="201">
        <f t="shared" si="244"/>
        <v>100</v>
      </c>
      <c r="G159" s="201">
        <f t="shared" si="245"/>
        <v>4760.6400000000003</v>
      </c>
      <c r="H159" s="202">
        <f t="shared" si="246"/>
        <v>39672</v>
      </c>
      <c r="I159" s="202">
        <f t="shared" si="247"/>
        <v>2000</v>
      </c>
      <c r="J159" s="202">
        <f t="shared" si="248"/>
        <v>1100</v>
      </c>
      <c r="K159" s="202">
        <f t="shared" si="249"/>
        <v>150</v>
      </c>
      <c r="L159" s="202">
        <f>ROUND(IF(AND($H159&gt;0,AX159&gt;11)=TRUE,$AW159*$E159,0),2)</f>
        <v>9918</v>
      </c>
      <c r="M159" s="202">
        <f t="shared" si="250"/>
        <v>52840</v>
      </c>
      <c r="N159" s="202"/>
      <c r="O159" s="202">
        <f>E159*0.04/2</f>
        <v>793.44</v>
      </c>
      <c r="P159" s="203">
        <f>ROUND($H159*9%,2)</f>
        <v>3570.48</v>
      </c>
      <c r="Q159" s="203"/>
      <c r="R159" s="203"/>
      <c r="S159" s="203"/>
      <c r="T159" s="203"/>
      <c r="U159" s="203"/>
      <c r="V159" s="203"/>
      <c r="W159" s="203"/>
      <c r="X159" s="203"/>
      <c r="Y159" s="203"/>
      <c r="Z159" s="203">
        <f t="shared" si="251"/>
        <v>100</v>
      </c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>
        <f t="shared" si="252"/>
        <v>4463.92</v>
      </c>
      <c r="AM159" s="204">
        <f t="shared" si="253"/>
        <v>48376.08</v>
      </c>
      <c r="AN159" s="367" t="s">
        <v>469</v>
      </c>
      <c r="AO159" s="211"/>
      <c r="AP159" s="207"/>
      <c r="AQ159" s="212">
        <f t="shared" si="254"/>
        <v>0</v>
      </c>
      <c r="AR159" s="213">
        <f t="shared" si="255"/>
        <v>48376.08</v>
      </c>
      <c r="AS159" s="213"/>
      <c r="AT159" s="213"/>
      <c r="AU159" s="213">
        <f t="shared" si="256"/>
        <v>545.49</v>
      </c>
      <c r="AV159" s="214"/>
      <c r="AW159" s="214" t="str">
        <f>IF(AND($D159&gt;=1,$D159&lt;=19)=TRUE,"25%",IF($D159=20,"15%",IF($D159=21,"13%",IF($D159=22,"12%",IF($D159=23,"11%",IF(OR($D159=24,$D159=25)=TRUE,"10%",IF($D159=26,"9%",IF($D159=27,"8%",IF($D159=28,"7%",IF(OR($D159=29,$D159=30)=TRUE,"6%",IF($D159=31,"5%","0%")))))))))))</f>
        <v>25%</v>
      </c>
      <c r="AX159" s="215">
        <v>22</v>
      </c>
      <c r="AY159" s="213">
        <v>150</v>
      </c>
      <c r="AZ159" s="214">
        <v>22</v>
      </c>
      <c r="BA159" s="213">
        <v>50</v>
      </c>
      <c r="BB159" s="213">
        <f t="shared" si="257"/>
        <v>0</v>
      </c>
      <c r="BC159" s="213">
        <f t="shared" si="258"/>
        <v>1100</v>
      </c>
      <c r="BD159" s="215"/>
    </row>
    <row r="160" spans="1:59" s="356" customFormat="1" ht="35.25" customHeight="1" x14ac:dyDescent="0.25">
      <c r="A160" s="358"/>
      <c r="B160" s="358"/>
      <c r="C160" s="359" t="s">
        <v>102</v>
      </c>
      <c r="D160" s="360"/>
      <c r="E160" s="355">
        <f>ROUND(SUM(E156:E159),2)</f>
        <v>119016</v>
      </c>
      <c r="F160" s="355">
        <f t="shared" ref="F160:BD160" si="259">ROUND(SUM(F156:F159),2)</f>
        <v>300</v>
      </c>
      <c r="G160" s="355">
        <f t="shared" si="259"/>
        <v>14281.92</v>
      </c>
      <c r="H160" s="355">
        <f t="shared" si="259"/>
        <v>119016</v>
      </c>
      <c r="I160" s="355">
        <f t="shared" si="259"/>
        <v>6000</v>
      </c>
      <c r="J160" s="355">
        <f t="shared" si="259"/>
        <v>3300</v>
      </c>
      <c r="K160" s="355">
        <f t="shared" si="259"/>
        <v>450</v>
      </c>
      <c r="L160" s="355">
        <f t="shared" si="259"/>
        <v>29754</v>
      </c>
      <c r="M160" s="355">
        <f>ROUND(SUM(M156:M159),2)</f>
        <v>158520</v>
      </c>
      <c r="N160" s="355">
        <f t="shared" si="259"/>
        <v>11468.3</v>
      </c>
      <c r="O160" s="355">
        <f t="shared" si="259"/>
        <v>2380.3200000000002</v>
      </c>
      <c r="P160" s="355">
        <f t="shared" si="259"/>
        <v>10711.44</v>
      </c>
      <c r="Q160" s="355">
        <f t="shared" si="259"/>
        <v>0</v>
      </c>
      <c r="R160" s="355">
        <f t="shared" si="259"/>
        <v>0</v>
      </c>
      <c r="S160" s="355">
        <f t="shared" si="259"/>
        <v>0</v>
      </c>
      <c r="T160" s="355">
        <f t="shared" si="259"/>
        <v>0</v>
      </c>
      <c r="U160" s="355">
        <f t="shared" si="259"/>
        <v>0</v>
      </c>
      <c r="V160" s="355">
        <f t="shared" si="259"/>
        <v>0</v>
      </c>
      <c r="W160" s="355">
        <f t="shared" si="259"/>
        <v>0</v>
      </c>
      <c r="X160" s="355">
        <f t="shared" si="259"/>
        <v>0</v>
      </c>
      <c r="Y160" s="355">
        <f t="shared" si="259"/>
        <v>0</v>
      </c>
      <c r="Z160" s="355">
        <f t="shared" si="259"/>
        <v>300</v>
      </c>
      <c r="AA160" s="355">
        <f t="shared" si="259"/>
        <v>0</v>
      </c>
      <c r="AB160" s="355">
        <f t="shared" si="259"/>
        <v>0</v>
      </c>
      <c r="AC160" s="355">
        <f t="shared" si="259"/>
        <v>0</v>
      </c>
      <c r="AD160" s="355">
        <f t="shared" si="259"/>
        <v>0</v>
      </c>
      <c r="AE160" s="355">
        <f t="shared" si="259"/>
        <v>0</v>
      </c>
      <c r="AF160" s="355">
        <f t="shared" si="259"/>
        <v>0</v>
      </c>
      <c r="AG160" s="355">
        <f t="shared" si="259"/>
        <v>0</v>
      </c>
      <c r="AH160" s="355">
        <f t="shared" si="259"/>
        <v>0</v>
      </c>
      <c r="AI160" s="355">
        <f t="shared" si="259"/>
        <v>0</v>
      </c>
      <c r="AJ160" s="355">
        <f t="shared" si="259"/>
        <v>0</v>
      </c>
      <c r="AK160" s="355">
        <f t="shared" si="259"/>
        <v>0</v>
      </c>
      <c r="AL160" s="355">
        <f t="shared" si="259"/>
        <v>24860.06</v>
      </c>
      <c r="AM160" s="355">
        <f>ROUND(SUM(AM156:AM159),2)</f>
        <v>133659.94</v>
      </c>
      <c r="AN160" s="355">
        <f t="shared" si="259"/>
        <v>0</v>
      </c>
      <c r="AO160" s="355">
        <f t="shared" si="259"/>
        <v>0</v>
      </c>
      <c r="AP160" s="355">
        <f t="shared" si="259"/>
        <v>0</v>
      </c>
      <c r="AQ160" s="355">
        <f t="shared" si="259"/>
        <v>0</v>
      </c>
      <c r="AR160" s="355">
        <f t="shared" si="259"/>
        <v>133659.94</v>
      </c>
      <c r="AS160" s="355">
        <f t="shared" si="259"/>
        <v>0</v>
      </c>
      <c r="AT160" s="355">
        <f t="shared" si="259"/>
        <v>0</v>
      </c>
      <c r="AU160" s="355">
        <f t="shared" si="259"/>
        <v>1636.47</v>
      </c>
      <c r="AV160" s="355">
        <f t="shared" si="259"/>
        <v>0</v>
      </c>
      <c r="AW160" s="355">
        <f t="shared" si="259"/>
        <v>0</v>
      </c>
      <c r="AX160" s="355">
        <f t="shared" si="259"/>
        <v>66</v>
      </c>
      <c r="AY160" s="355">
        <f t="shared" si="259"/>
        <v>600</v>
      </c>
      <c r="AZ160" s="355">
        <f t="shared" si="259"/>
        <v>88</v>
      </c>
      <c r="BA160" s="355">
        <f t="shared" si="259"/>
        <v>200</v>
      </c>
      <c r="BB160" s="355">
        <f t="shared" si="259"/>
        <v>0</v>
      </c>
      <c r="BC160" s="355">
        <f t="shared" si="259"/>
        <v>3300</v>
      </c>
      <c r="BD160" s="355">
        <f t="shared" si="259"/>
        <v>0</v>
      </c>
      <c r="BE160" s="355"/>
      <c r="BF160" s="355"/>
      <c r="BG160" s="355"/>
    </row>
    <row r="161" spans="1:58" s="356" customFormat="1" ht="45" customHeight="1" x14ac:dyDescent="0.25">
      <c r="A161" s="358"/>
      <c r="B161" s="358"/>
      <c r="C161" s="359" t="s">
        <v>103</v>
      </c>
      <c r="D161" s="360"/>
      <c r="E161" s="355">
        <f>ROUND(SUM(E29,E50,E71,E92,E113,E134,E155,E160),2)</f>
        <v>5673096</v>
      </c>
      <c r="F161" s="355">
        <f t="shared" ref="F161:AJ161" si="260">ROUND(SUM(F29,F50,F71,F92,F113,F134,F155,F160),2)</f>
        <v>14200</v>
      </c>
      <c r="G161" s="355">
        <f t="shared" si="260"/>
        <v>676010.88</v>
      </c>
      <c r="H161" s="355">
        <f t="shared" si="260"/>
        <v>5633424</v>
      </c>
      <c r="I161" s="355">
        <f t="shared" si="260"/>
        <v>284000</v>
      </c>
      <c r="J161" s="355">
        <f t="shared" si="260"/>
        <v>152900</v>
      </c>
      <c r="K161" s="355">
        <f t="shared" si="260"/>
        <v>21000</v>
      </c>
      <c r="L161" s="355">
        <f t="shared" si="260"/>
        <v>1388520</v>
      </c>
      <c r="M161" s="355">
        <f>ROUND(SUM(M29,M50,M71,M92,M113,M134,M155,M160),2)</f>
        <v>7479844</v>
      </c>
      <c r="N161" s="355">
        <f t="shared" si="260"/>
        <v>1529285.72</v>
      </c>
      <c r="O161" s="355">
        <f t="shared" si="260"/>
        <v>112668.48</v>
      </c>
      <c r="P161" s="355">
        <f t="shared" si="260"/>
        <v>507008.16</v>
      </c>
      <c r="Q161" s="355">
        <f t="shared" si="260"/>
        <v>0</v>
      </c>
      <c r="R161" s="355">
        <f t="shared" si="260"/>
        <v>0</v>
      </c>
      <c r="S161" s="355">
        <f t="shared" si="260"/>
        <v>0</v>
      </c>
      <c r="T161" s="355">
        <f t="shared" si="260"/>
        <v>0</v>
      </c>
      <c r="U161" s="355">
        <f t="shared" si="260"/>
        <v>0</v>
      </c>
      <c r="V161" s="355">
        <f t="shared" si="260"/>
        <v>0</v>
      </c>
      <c r="W161" s="355">
        <f t="shared" si="260"/>
        <v>0</v>
      </c>
      <c r="X161" s="355">
        <f t="shared" si="260"/>
        <v>0</v>
      </c>
      <c r="Y161" s="355">
        <f t="shared" si="260"/>
        <v>0</v>
      </c>
      <c r="Z161" s="355">
        <f t="shared" si="260"/>
        <v>14200</v>
      </c>
      <c r="AA161" s="355">
        <f t="shared" si="260"/>
        <v>0</v>
      </c>
      <c r="AB161" s="355">
        <f t="shared" si="260"/>
        <v>0</v>
      </c>
      <c r="AC161" s="355">
        <f t="shared" si="260"/>
        <v>0</v>
      </c>
      <c r="AD161" s="355">
        <f t="shared" si="260"/>
        <v>0</v>
      </c>
      <c r="AE161" s="355">
        <f t="shared" si="260"/>
        <v>0</v>
      </c>
      <c r="AF161" s="355">
        <f t="shared" si="260"/>
        <v>0</v>
      </c>
      <c r="AG161" s="355">
        <f t="shared" si="260"/>
        <v>0</v>
      </c>
      <c r="AH161" s="355">
        <f t="shared" si="260"/>
        <v>0</v>
      </c>
      <c r="AI161" s="355">
        <f t="shared" si="260"/>
        <v>0</v>
      </c>
      <c r="AJ161" s="355">
        <f t="shared" si="260"/>
        <v>0</v>
      </c>
      <c r="AK161" s="355">
        <f t="shared" ref="AK161:BD161" si="261">ROUND(SUM(AK29,AK50,AK71,AK92,AK113,AK134,AK155,AK160),2)</f>
        <v>0</v>
      </c>
      <c r="AL161" s="355">
        <f t="shared" si="261"/>
        <v>2152006.6</v>
      </c>
      <c r="AM161" s="355">
        <f t="shared" si="261"/>
        <v>5327837.4000000004</v>
      </c>
      <c r="AN161" s="355">
        <f t="shared" si="261"/>
        <v>0</v>
      </c>
      <c r="AO161" s="355">
        <f t="shared" si="261"/>
        <v>0</v>
      </c>
      <c r="AP161" s="355">
        <f t="shared" si="261"/>
        <v>0</v>
      </c>
      <c r="AQ161" s="355">
        <f t="shared" si="261"/>
        <v>0</v>
      </c>
      <c r="AR161" s="355">
        <f t="shared" si="261"/>
        <v>5327837.4000000004</v>
      </c>
      <c r="AS161" s="355">
        <f t="shared" si="261"/>
        <v>0</v>
      </c>
      <c r="AT161" s="355">
        <f t="shared" si="261"/>
        <v>0</v>
      </c>
      <c r="AU161" s="355">
        <f t="shared" si="261"/>
        <v>78005.070000000007</v>
      </c>
      <c r="AV161" s="355">
        <f t="shared" si="261"/>
        <v>0</v>
      </c>
      <c r="AW161" s="355">
        <f t="shared" si="261"/>
        <v>0</v>
      </c>
      <c r="AX161" s="355">
        <f t="shared" si="261"/>
        <v>3124</v>
      </c>
      <c r="AY161" s="355">
        <f t="shared" si="261"/>
        <v>21600</v>
      </c>
      <c r="AZ161" s="355">
        <f t="shared" si="261"/>
        <v>3168</v>
      </c>
      <c r="BA161" s="355">
        <f t="shared" si="261"/>
        <v>7200</v>
      </c>
      <c r="BB161" s="355">
        <f t="shared" si="261"/>
        <v>3300</v>
      </c>
      <c r="BC161" s="355">
        <f t="shared" si="261"/>
        <v>156200</v>
      </c>
      <c r="BD161" s="355">
        <f t="shared" si="261"/>
        <v>66</v>
      </c>
      <c r="BE161" s="355"/>
      <c r="BF161" s="355"/>
    </row>
    <row r="162" spans="1:58" ht="25.5" customHeight="1" x14ac:dyDescent="0.2">
      <c r="A162" s="235" t="s">
        <v>428</v>
      </c>
      <c r="B162" s="236"/>
      <c r="D162" s="1"/>
      <c r="I162" s="110"/>
      <c r="J162" s="111" t="s">
        <v>112</v>
      </c>
      <c r="AL162" s="5"/>
      <c r="AM162" s="5"/>
      <c r="AN162" s="127"/>
      <c r="AO162" s="1"/>
      <c r="AP162" s="6"/>
      <c r="AQ162" s="6"/>
      <c r="AR162" s="6"/>
      <c r="AS162" s="4"/>
      <c r="AT162" s="1"/>
      <c r="AU162" s="4"/>
      <c r="AV162" s="6"/>
      <c r="AW162" s="4"/>
      <c r="AX162" s="1"/>
      <c r="AY162" s="1"/>
      <c r="AZ162" s="6"/>
      <c r="BC162" s="1"/>
    </row>
    <row r="163" spans="1:58" x14ac:dyDescent="0.2">
      <c r="A163" s="205"/>
      <c r="I163" s="110" t="s">
        <v>196</v>
      </c>
      <c r="J163" s="111" t="s">
        <v>113</v>
      </c>
      <c r="AL163" s="5"/>
      <c r="AM163" s="5"/>
      <c r="AN163" s="127"/>
      <c r="AO163" s="1"/>
      <c r="AP163" s="6"/>
      <c r="AQ163" s="6"/>
      <c r="AR163" s="6"/>
      <c r="AS163" s="4"/>
      <c r="AT163" s="1"/>
      <c r="AU163" s="4"/>
      <c r="AV163" s="6"/>
      <c r="AW163" s="4"/>
      <c r="AX163" s="1"/>
      <c r="AY163" s="1"/>
      <c r="AZ163" s="6"/>
      <c r="BC163" s="1"/>
    </row>
    <row r="164" spans="1:58" x14ac:dyDescent="0.2">
      <c r="A164" s="205"/>
      <c r="I164" s="110"/>
      <c r="J164" s="111"/>
      <c r="AL164" s="5"/>
      <c r="AM164" s="5"/>
      <c r="AN164" s="127"/>
      <c r="AO164" s="1"/>
      <c r="AP164" s="6"/>
      <c r="AQ164" s="6"/>
      <c r="AR164" s="6"/>
      <c r="AS164" s="4"/>
      <c r="AT164" s="1"/>
      <c r="AU164" s="4"/>
      <c r="AV164" s="6"/>
      <c r="AW164" s="4"/>
      <c r="AX164" s="1"/>
      <c r="AY164" s="1"/>
      <c r="AZ164" s="6"/>
      <c r="BC164" s="1"/>
    </row>
    <row r="165" spans="1:58" ht="12.75" customHeight="1" x14ac:dyDescent="0.2">
      <c r="A165" s="205"/>
      <c r="I165" s="110"/>
      <c r="J165" s="111"/>
      <c r="X165" s="1"/>
      <c r="AL165" s="1"/>
      <c r="AM165" s="1"/>
      <c r="AN165" s="110"/>
      <c r="AO165" s="1"/>
      <c r="AP165" s="6"/>
      <c r="AQ165" s="6"/>
      <c r="AR165" s="6"/>
      <c r="AS165" s="4"/>
      <c r="AT165" s="1"/>
      <c r="AU165" s="4"/>
      <c r="AV165" s="6"/>
      <c r="AW165" s="4"/>
      <c r="AX165" s="1"/>
      <c r="AY165" s="1"/>
      <c r="AZ165" s="6"/>
      <c r="BC165" s="1"/>
    </row>
    <row r="166" spans="1:58" s="262" customFormat="1" x14ac:dyDescent="0.2">
      <c r="A166" s="278" t="s">
        <v>420</v>
      </c>
      <c r="B166" s="279"/>
      <c r="C166" s="279"/>
      <c r="D166" s="279"/>
      <c r="E166" s="279"/>
      <c r="F166" s="279"/>
      <c r="I166" s="280"/>
      <c r="J166" s="525" t="s">
        <v>416</v>
      </c>
      <c r="K166" s="526"/>
      <c r="L166" s="526"/>
      <c r="M166" s="526"/>
      <c r="N166" s="526"/>
      <c r="O166" s="526"/>
      <c r="P166" s="526"/>
      <c r="Q166" s="526"/>
      <c r="R166" s="526"/>
      <c r="S166" s="526"/>
      <c r="T166" s="526"/>
      <c r="U166" s="526"/>
      <c r="V166" s="526"/>
      <c r="W166" s="526"/>
      <c r="X166" s="526"/>
      <c r="Y166" s="526"/>
      <c r="Z166" s="526"/>
      <c r="AA166" s="526"/>
      <c r="AB166" s="526"/>
      <c r="AC166" s="526"/>
      <c r="AD166" s="526"/>
      <c r="AE166" s="526"/>
      <c r="AF166" s="526"/>
      <c r="AG166" s="526"/>
      <c r="AH166" s="526"/>
      <c r="AI166" s="526"/>
      <c r="AJ166" s="526"/>
      <c r="AK166" s="526"/>
      <c r="AL166" s="526"/>
      <c r="AM166" s="526"/>
      <c r="AN166" s="536"/>
      <c r="AP166" s="263"/>
      <c r="AQ166" s="263"/>
      <c r="AR166" s="263"/>
      <c r="AV166" s="263"/>
      <c r="AZ166" s="263"/>
    </row>
    <row r="167" spans="1:58" s="281" customFormat="1" x14ac:dyDescent="0.25">
      <c r="A167" s="336" t="s">
        <v>421</v>
      </c>
      <c r="I167" s="282"/>
      <c r="J167" s="537" t="s">
        <v>234</v>
      </c>
      <c r="K167" s="538"/>
      <c r="L167" s="538"/>
      <c r="M167" s="538"/>
      <c r="N167" s="538"/>
      <c r="O167" s="538"/>
      <c r="P167" s="538"/>
      <c r="Q167" s="538"/>
      <c r="R167" s="538"/>
      <c r="S167" s="538"/>
      <c r="T167" s="538"/>
      <c r="U167" s="538"/>
      <c r="V167" s="538"/>
      <c r="W167" s="538"/>
      <c r="X167" s="538"/>
      <c r="Y167" s="538"/>
      <c r="Z167" s="538"/>
      <c r="AA167" s="538"/>
      <c r="AB167" s="538"/>
      <c r="AC167" s="538"/>
      <c r="AD167" s="538"/>
      <c r="AE167" s="538"/>
      <c r="AF167" s="538"/>
      <c r="AG167" s="538"/>
      <c r="AH167" s="538"/>
      <c r="AI167" s="538"/>
      <c r="AJ167" s="538"/>
      <c r="AK167" s="538"/>
      <c r="AL167" s="538"/>
      <c r="AM167" s="538"/>
      <c r="AN167" s="539"/>
      <c r="AP167" s="283"/>
      <c r="AQ167" s="283"/>
      <c r="AR167" s="283"/>
      <c r="AV167" s="283"/>
      <c r="AZ167" s="283"/>
    </row>
    <row r="168" spans="1:58" ht="16.5" thickBot="1" x14ac:dyDescent="0.25">
      <c r="A168" s="252" t="s">
        <v>422</v>
      </c>
      <c r="B168" s="253"/>
      <c r="C168" s="253"/>
      <c r="D168" s="253"/>
      <c r="E168" s="253"/>
      <c r="F168" s="253"/>
      <c r="I168" s="110"/>
      <c r="J168" s="523" t="s">
        <v>115</v>
      </c>
      <c r="K168" s="524"/>
      <c r="L168" s="524"/>
      <c r="M168" s="524"/>
      <c r="N168" s="524"/>
      <c r="O168" s="524"/>
      <c r="P168" s="524"/>
      <c r="Q168" s="524"/>
      <c r="R168" s="524"/>
      <c r="S168" s="524"/>
      <c r="T168" s="524"/>
      <c r="U168" s="524"/>
      <c r="V168" s="524"/>
      <c r="W168" s="524"/>
      <c r="X168" s="524"/>
      <c r="Y168" s="524"/>
      <c r="Z168" s="524"/>
      <c r="AA168" s="524"/>
      <c r="AB168" s="524"/>
      <c r="AC168" s="524"/>
      <c r="AD168" s="524"/>
      <c r="AE168" s="524"/>
      <c r="AF168" s="524"/>
      <c r="AG168" s="524"/>
      <c r="AH168" s="524"/>
      <c r="AI168" s="524"/>
      <c r="AJ168" s="524"/>
      <c r="AK168" s="524"/>
      <c r="AL168" s="524"/>
      <c r="AM168" s="524"/>
      <c r="AN168" s="540"/>
      <c r="AO168" s="1"/>
      <c r="AP168" s="6"/>
      <c r="AQ168" s="6"/>
      <c r="AR168" s="6"/>
      <c r="AS168" s="4"/>
      <c r="AT168" s="1"/>
      <c r="AU168" s="4"/>
      <c r="AV168" s="6"/>
      <c r="AW168" s="4"/>
      <c r="AX168" s="1"/>
      <c r="AY168" s="1"/>
      <c r="AZ168" s="6"/>
      <c r="BC168" s="1"/>
    </row>
    <row r="169" spans="1:58" x14ac:dyDescent="0.2">
      <c r="A169" s="112" t="s">
        <v>429</v>
      </c>
      <c r="B169" s="113"/>
      <c r="C169" s="222"/>
      <c r="D169" s="206"/>
      <c r="E169" s="114"/>
      <c r="F169" s="114"/>
      <c r="G169" s="114"/>
      <c r="H169" s="114"/>
      <c r="I169" s="115"/>
      <c r="J169" s="111" t="s">
        <v>430</v>
      </c>
      <c r="AL169" s="116"/>
      <c r="AM169" s="5"/>
      <c r="AN169" s="127"/>
      <c r="AO169" s="1"/>
      <c r="AP169" s="6"/>
      <c r="AQ169" s="6"/>
      <c r="AR169" s="6"/>
      <c r="AS169" s="4"/>
      <c r="AT169" s="1"/>
      <c r="AU169" s="4"/>
      <c r="AV169" s="6"/>
      <c r="AW169" s="4"/>
      <c r="AX169" s="1"/>
      <c r="AY169" s="1"/>
      <c r="AZ169" s="6"/>
      <c r="BC169" s="1"/>
    </row>
    <row r="170" spans="1:58" x14ac:dyDescent="0.2">
      <c r="A170" s="111" t="s">
        <v>118</v>
      </c>
      <c r="B170" s="1"/>
      <c r="I170" s="110"/>
      <c r="J170" s="111" t="s">
        <v>119</v>
      </c>
      <c r="Q170" s="1" t="s">
        <v>120</v>
      </c>
      <c r="AL170" s="116"/>
      <c r="AM170" s="5"/>
      <c r="AN170" s="127"/>
      <c r="AO170" s="1"/>
      <c r="AP170" s="6"/>
      <c r="AQ170" s="6"/>
      <c r="AR170" s="6"/>
      <c r="AS170" s="4"/>
      <c r="AT170" s="1"/>
      <c r="AU170" s="4"/>
      <c r="AV170" s="6"/>
      <c r="AW170" s="4"/>
      <c r="AX170" s="1"/>
      <c r="AY170" s="1"/>
      <c r="AZ170" s="6"/>
      <c r="BC170" s="1"/>
    </row>
    <row r="171" spans="1:58" x14ac:dyDescent="0.2">
      <c r="A171" s="111"/>
      <c r="B171" s="1"/>
      <c r="I171" s="110"/>
      <c r="J171" s="111"/>
      <c r="AL171" s="117" t="s">
        <v>121</v>
      </c>
      <c r="AM171" s="118"/>
      <c r="AN171" s="128"/>
      <c r="AO171" s="1"/>
      <c r="AP171" s="6"/>
      <c r="AQ171" s="6"/>
      <c r="AR171" s="6"/>
      <c r="AS171" s="4"/>
      <c r="AT171" s="1"/>
      <c r="AU171" s="4"/>
      <c r="AV171" s="6"/>
      <c r="AW171" s="4"/>
      <c r="AX171" s="1"/>
      <c r="AY171" s="1"/>
      <c r="AZ171" s="6"/>
      <c r="BC171" s="1"/>
    </row>
    <row r="172" spans="1:58" x14ac:dyDescent="0.2">
      <c r="A172" s="205"/>
      <c r="I172" s="110"/>
      <c r="J172" s="111"/>
      <c r="Q172" s="1" t="s">
        <v>122</v>
      </c>
      <c r="AL172" s="117" t="s">
        <v>123</v>
      </c>
      <c r="AM172" s="118"/>
      <c r="AN172" s="128"/>
      <c r="AO172" s="1"/>
      <c r="AP172" s="6"/>
      <c r="AQ172" s="6"/>
      <c r="AR172" s="6"/>
      <c r="AS172" s="4"/>
      <c r="AT172" s="1"/>
      <c r="AU172" s="4"/>
      <c r="AV172" s="6"/>
      <c r="AW172" s="4"/>
      <c r="AX172" s="1"/>
      <c r="AY172" s="1"/>
      <c r="AZ172" s="6"/>
      <c r="BC172" s="1"/>
    </row>
    <row r="173" spans="1:58" x14ac:dyDescent="0.2">
      <c r="A173" s="111" t="s">
        <v>417</v>
      </c>
      <c r="B173" s="1"/>
      <c r="C173" s="1"/>
      <c r="D173" s="1"/>
      <c r="H173" s="119"/>
      <c r="I173" s="110"/>
      <c r="J173" s="525" t="s">
        <v>125</v>
      </c>
      <c r="K173" s="526"/>
      <c r="L173" s="526"/>
      <c r="M173" s="526"/>
      <c r="P173" s="120"/>
      <c r="Q173" s="120" t="s">
        <v>126</v>
      </c>
      <c r="R173" s="120"/>
      <c r="S173" s="120"/>
      <c r="T173" s="120"/>
      <c r="U173" s="120"/>
      <c r="V173" s="120"/>
      <c r="W173" s="120"/>
      <c r="X173" s="121"/>
      <c r="Y173" s="120"/>
      <c r="Z173" s="120"/>
      <c r="AL173" s="117" t="s">
        <v>127</v>
      </c>
      <c r="AM173" s="118"/>
      <c r="AN173" s="128"/>
      <c r="AO173" s="1"/>
      <c r="AP173" s="6"/>
      <c r="AQ173" s="6"/>
      <c r="AR173" s="6"/>
      <c r="AS173" s="1"/>
      <c r="AT173" s="1"/>
      <c r="AU173" s="1"/>
      <c r="AV173" s="6"/>
      <c r="AX173" s="1"/>
      <c r="AY173" s="1"/>
      <c r="AZ173" s="6"/>
      <c r="BC173" s="1"/>
    </row>
    <row r="174" spans="1:58" x14ac:dyDescent="0.2">
      <c r="A174" s="111" t="s">
        <v>418</v>
      </c>
      <c r="B174" s="1"/>
      <c r="C174" s="1"/>
      <c r="D174" s="1"/>
      <c r="H174" s="532" t="s">
        <v>129</v>
      </c>
      <c r="I174" s="533"/>
      <c r="J174" s="534" t="s">
        <v>130</v>
      </c>
      <c r="K174" s="535"/>
      <c r="L174" s="535"/>
      <c r="M174" s="535"/>
      <c r="P174" s="532" t="s">
        <v>131</v>
      </c>
      <c r="Q174" s="532"/>
      <c r="R174" s="532"/>
      <c r="S174" s="532"/>
      <c r="T174" s="532"/>
      <c r="U174" s="532"/>
      <c r="V174" s="532"/>
      <c r="W174" s="532"/>
      <c r="X174" s="532"/>
      <c r="Y174" s="532"/>
      <c r="Z174" s="532"/>
      <c r="AL174" s="117" t="s">
        <v>123</v>
      </c>
      <c r="AM174" s="118"/>
      <c r="AN174" s="128"/>
      <c r="AO174" s="1"/>
      <c r="AP174" s="6"/>
      <c r="AQ174" s="6"/>
      <c r="AR174" s="6"/>
      <c r="AS174" s="1"/>
      <c r="AT174" s="1"/>
      <c r="AU174" s="1"/>
      <c r="AV174" s="6"/>
      <c r="AX174" s="1"/>
      <c r="AY174" s="1"/>
      <c r="AZ174" s="6"/>
      <c r="BC174" s="1"/>
    </row>
    <row r="175" spans="1:58" s="270" customFormat="1" ht="32.25" customHeight="1" thickBot="1" x14ac:dyDescent="0.3">
      <c r="A175" s="284" t="s">
        <v>419</v>
      </c>
      <c r="B175" s="272"/>
      <c r="C175" s="272"/>
      <c r="D175" s="273"/>
      <c r="E175" s="273"/>
      <c r="F175" s="273"/>
      <c r="G175" s="273"/>
      <c r="H175" s="273"/>
      <c r="I175" s="274"/>
      <c r="J175" s="523" t="s">
        <v>132</v>
      </c>
      <c r="K175" s="524"/>
      <c r="L175" s="524"/>
      <c r="M175" s="524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5"/>
      <c r="Y175" s="273"/>
      <c r="Z175" s="273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6"/>
      <c r="AM175" s="275"/>
      <c r="AN175" s="277"/>
      <c r="AP175" s="271"/>
      <c r="AQ175" s="271"/>
      <c r="AR175" s="271"/>
      <c r="AV175" s="271"/>
      <c r="AZ175" s="271"/>
    </row>
  </sheetData>
  <autoFilter ref="A8:AU162"/>
  <mergeCells count="14">
    <mergeCell ref="J175:M175"/>
    <mergeCell ref="J173:M173"/>
    <mergeCell ref="A7:T7"/>
    <mergeCell ref="A1:AN1"/>
    <mergeCell ref="A2:AN2"/>
    <mergeCell ref="A3:AN3"/>
    <mergeCell ref="A4:AN4"/>
    <mergeCell ref="A5:AN5"/>
    <mergeCell ref="H174:I174"/>
    <mergeCell ref="J174:M174"/>
    <mergeCell ref="P174:Z174"/>
    <mergeCell ref="J166:AN166"/>
    <mergeCell ref="J167:AN167"/>
    <mergeCell ref="J168:AN168"/>
  </mergeCells>
  <phoneticPr fontId="64" type="noConversion"/>
  <conditionalFormatting sqref="B161">
    <cfRule type="duplicateValues" dxfId="124" priority="169"/>
  </conditionalFormatting>
  <conditionalFormatting sqref="B172 B163:B165">
    <cfRule type="duplicateValues" dxfId="123" priority="167"/>
  </conditionalFormatting>
  <conditionalFormatting sqref="B27">
    <cfRule type="duplicateValues" dxfId="122" priority="166"/>
  </conditionalFormatting>
  <conditionalFormatting sqref="B77 B64 B69">
    <cfRule type="duplicateValues" dxfId="121" priority="155"/>
  </conditionalFormatting>
  <conditionalFormatting sqref="B87">
    <cfRule type="duplicateValues" dxfId="120" priority="142"/>
  </conditionalFormatting>
  <conditionalFormatting sqref="B86">
    <cfRule type="duplicateValues" dxfId="119" priority="231"/>
  </conditionalFormatting>
  <conditionalFormatting sqref="B58 B56">
    <cfRule type="duplicateValues" dxfId="118" priority="137"/>
  </conditionalFormatting>
  <conditionalFormatting sqref="B59">
    <cfRule type="duplicateValues" dxfId="117" priority="136"/>
  </conditionalFormatting>
  <conditionalFormatting sqref="B47:B48 B50:B52">
    <cfRule type="duplicateValues" dxfId="116" priority="282"/>
  </conditionalFormatting>
  <conditionalFormatting sqref="B95:B98 B100">
    <cfRule type="duplicateValues" dxfId="115" priority="135"/>
  </conditionalFormatting>
  <conditionalFormatting sqref="B103:B104">
    <cfRule type="duplicateValues" dxfId="114" priority="132"/>
  </conditionalFormatting>
  <conditionalFormatting sqref="B105">
    <cfRule type="duplicateValues" dxfId="113" priority="131"/>
  </conditionalFormatting>
  <conditionalFormatting sqref="B121">
    <cfRule type="duplicateValues" dxfId="112" priority="128"/>
  </conditionalFormatting>
  <conditionalFormatting sqref="B131">
    <cfRule type="duplicateValues" dxfId="111" priority="125"/>
  </conditionalFormatting>
  <conditionalFormatting sqref="B123:B124">
    <cfRule type="duplicateValues" dxfId="110" priority="124"/>
  </conditionalFormatting>
  <conditionalFormatting sqref="B141:B143">
    <cfRule type="duplicateValues" dxfId="109" priority="119"/>
  </conditionalFormatting>
  <conditionalFormatting sqref="B146">
    <cfRule type="duplicateValues" dxfId="108" priority="117"/>
  </conditionalFormatting>
  <conditionalFormatting sqref="B152">
    <cfRule type="duplicateValues" dxfId="107" priority="115"/>
  </conditionalFormatting>
  <conditionalFormatting sqref="B73:B76">
    <cfRule type="duplicateValues" dxfId="106" priority="568"/>
  </conditionalFormatting>
  <conditionalFormatting sqref="B176:B1048576 B128 B161 B8:B25 B28:B34">
    <cfRule type="duplicateValues" dxfId="105" priority="716"/>
  </conditionalFormatting>
  <conditionalFormatting sqref="B62:B63">
    <cfRule type="duplicateValues" dxfId="104" priority="794"/>
  </conditionalFormatting>
  <conditionalFormatting sqref="B37:B43">
    <cfRule type="duplicateValues" dxfId="103" priority="1159"/>
  </conditionalFormatting>
  <conditionalFormatting sqref="B144:B145 B133">
    <cfRule type="duplicateValues" dxfId="102" priority="1381"/>
  </conditionalFormatting>
  <conditionalFormatting sqref="B57">
    <cfRule type="duplicateValues" dxfId="101" priority="80"/>
  </conditionalFormatting>
  <conditionalFormatting sqref="B122">
    <cfRule type="duplicateValues" dxfId="100" priority="77"/>
  </conditionalFormatting>
  <conditionalFormatting sqref="B157">
    <cfRule type="duplicateValues" dxfId="99" priority="1725"/>
  </conditionalFormatting>
  <conditionalFormatting sqref="B156">
    <cfRule type="duplicateValues" dxfId="98" priority="1738"/>
  </conditionalFormatting>
  <conditionalFormatting sqref="B85">
    <cfRule type="duplicateValues" dxfId="97" priority="51"/>
  </conditionalFormatting>
  <conditionalFormatting sqref="B135:B140">
    <cfRule type="duplicateValues" dxfId="96" priority="1779"/>
  </conditionalFormatting>
  <conditionalFormatting sqref="B26">
    <cfRule type="duplicateValues" dxfId="95" priority="19"/>
  </conditionalFormatting>
  <conditionalFormatting sqref="B101">
    <cfRule type="duplicateValues" dxfId="94" priority="18"/>
  </conditionalFormatting>
  <conditionalFormatting sqref="B35:B36">
    <cfRule type="duplicateValues" dxfId="93" priority="1788"/>
  </conditionalFormatting>
  <conditionalFormatting sqref="B44:B46">
    <cfRule type="duplicateValues" dxfId="92" priority="1971"/>
  </conditionalFormatting>
  <conditionalFormatting sqref="B102:B107 B109">
    <cfRule type="duplicateValues" dxfId="91" priority="1979"/>
  </conditionalFormatting>
  <conditionalFormatting sqref="B129:B130 B125:B127">
    <cfRule type="duplicateValues" dxfId="90" priority="2027"/>
  </conditionalFormatting>
  <conditionalFormatting sqref="B147:B151">
    <cfRule type="duplicateValues" dxfId="89" priority="2034"/>
  </conditionalFormatting>
  <conditionalFormatting sqref="B160">
    <cfRule type="duplicateValues" dxfId="88" priority="2062"/>
  </conditionalFormatting>
  <conditionalFormatting sqref="B53:B54">
    <cfRule type="duplicateValues" dxfId="87" priority="2083"/>
  </conditionalFormatting>
  <conditionalFormatting sqref="B58:B61 B55:B56">
    <cfRule type="duplicateValues" dxfId="86" priority="2093"/>
  </conditionalFormatting>
  <conditionalFormatting sqref="B78:B82 B84">
    <cfRule type="duplicateValues" dxfId="85" priority="2101"/>
  </conditionalFormatting>
  <conditionalFormatting sqref="B71:B72 B65:B68">
    <cfRule type="duplicateValues" dxfId="84" priority="2111"/>
  </conditionalFormatting>
  <conditionalFormatting sqref="B99">
    <cfRule type="duplicateValues" dxfId="83" priority="15"/>
  </conditionalFormatting>
  <conditionalFormatting sqref="B83">
    <cfRule type="duplicateValues" dxfId="82" priority="14"/>
  </conditionalFormatting>
  <conditionalFormatting sqref="B111">
    <cfRule type="duplicateValues" dxfId="81" priority="2189"/>
  </conditionalFormatting>
  <conditionalFormatting sqref="B110">
    <cfRule type="duplicateValues" dxfId="80" priority="13"/>
  </conditionalFormatting>
  <conditionalFormatting sqref="B113">
    <cfRule type="duplicateValues" dxfId="79" priority="12"/>
  </conditionalFormatting>
  <conditionalFormatting sqref="B114:B117">
    <cfRule type="duplicateValues" dxfId="78" priority="2243"/>
  </conditionalFormatting>
  <conditionalFormatting sqref="B70">
    <cfRule type="duplicateValues" dxfId="77" priority="10"/>
  </conditionalFormatting>
  <conditionalFormatting sqref="B49">
    <cfRule type="duplicateValues" dxfId="76" priority="9"/>
  </conditionalFormatting>
  <conditionalFormatting sqref="B92:B94 B89:B90">
    <cfRule type="duplicateValues" dxfId="75" priority="2249"/>
  </conditionalFormatting>
  <conditionalFormatting sqref="B108">
    <cfRule type="duplicateValues" dxfId="74" priority="6"/>
  </conditionalFormatting>
  <conditionalFormatting sqref="B108">
    <cfRule type="duplicateValues" dxfId="73" priority="7"/>
  </conditionalFormatting>
  <conditionalFormatting sqref="B155">
    <cfRule type="duplicateValues" dxfId="72" priority="5"/>
  </conditionalFormatting>
  <conditionalFormatting sqref="B118:B120">
    <cfRule type="duplicateValues" dxfId="71" priority="2334"/>
  </conditionalFormatting>
  <conditionalFormatting sqref="B156:B157 B123:B127 B100 B102:B107 B88:B98 B109:B121 B129:B154">
    <cfRule type="duplicateValues" dxfId="70" priority="2340"/>
  </conditionalFormatting>
  <conditionalFormatting sqref="B156:B157 B123:B127 B112:B121 B129:B154">
    <cfRule type="duplicateValues" dxfId="69" priority="2348"/>
  </conditionalFormatting>
  <conditionalFormatting sqref="B159">
    <cfRule type="duplicateValues" dxfId="68" priority="1"/>
  </conditionalFormatting>
  <conditionalFormatting sqref="B158">
    <cfRule type="duplicateValues" dxfId="67" priority="2"/>
  </conditionalFormatting>
  <conditionalFormatting sqref="B158:B159">
    <cfRule type="duplicateValues" dxfId="66" priority="3"/>
  </conditionalFormatting>
  <conditionalFormatting sqref="B158:B159">
    <cfRule type="duplicateValues" dxfId="65" priority="4"/>
  </conditionalFormatting>
  <printOptions horizontalCentered="1"/>
  <pageMargins left="0" right="0" top="0" bottom="0" header="0" footer="0"/>
  <pageSetup paperSize="119" scale="65" orientation="landscape" blackAndWhite="1" errors="NA" r:id="rId1"/>
  <headerFooter scaleWithDoc="0" alignWithMargins="0">
    <oddFooter>Page &amp;P of &amp;N</oddFooter>
  </headerFooter>
  <rowBreaks count="7" manualBreakCount="7">
    <brk id="29" max="40" man="1"/>
    <brk id="50" max="40" man="1"/>
    <brk id="71" max="40" man="1"/>
    <brk id="92" max="40" man="1"/>
    <brk id="113" max="40" man="1"/>
    <brk id="134" max="40" man="1"/>
    <brk id="155" max="4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A1:BE49"/>
  <sheetViews>
    <sheetView view="pageBreakPreview" zoomScale="86" zoomScaleNormal="82" zoomScaleSheetLayoutView="86" workbookViewId="0">
      <pane xSplit="3" ySplit="8" topLeftCell="D28" activePane="bottomRight" state="frozen"/>
      <selection activeCell="H2" sqref="H2"/>
      <selection pane="topRight" activeCell="H2" sqref="H2"/>
      <selection pane="bottomLeft" activeCell="H2" sqref="H2"/>
      <selection pane="bottomRight" activeCell="M35" sqref="M35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0.28515625" style="221" customWidth="1"/>
    <col min="4" max="4" width="5.42578125" style="4" customWidth="1"/>
    <col min="5" max="5" width="16.42578125" style="1" hidden="1" customWidth="1"/>
    <col min="6" max="6" width="13.140625" style="1" hidden="1" customWidth="1"/>
    <col min="7" max="7" width="13.7109375" style="1" hidden="1" customWidth="1"/>
    <col min="8" max="8" width="15" style="1" customWidth="1"/>
    <col min="9" max="9" width="13.42578125" style="1" customWidth="1"/>
    <col min="10" max="10" width="13.28515625" style="1" customWidth="1"/>
    <col min="11" max="11" width="11.5703125" style="1" customWidth="1"/>
    <col min="12" max="14" width="13.7109375" style="1" customWidth="1"/>
    <col min="15" max="15" width="12.28515625" style="1" customWidth="1"/>
    <col min="16" max="16" width="13.1406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1.425781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3.5703125" style="2" customWidth="1" collapsed="1"/>
    <col min="39" max="39" width="15.28515625" style="2" customWidth="1"/>
    <col min="40" max="40" width="24.1406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1.42578125" style="1" customWidth="1"/>
    <col min="57" max="16384" width="9.140625" style="1"/>
  </cols>
  <sheetData>
    <row r="1" spans="1:57" ht="25.5" x14ac:dyDescent="0.35">
      <c r="A1" s="552" t="s">
        <v>105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552"/>
      <c r="AJ1" s="552"/>
      <c r="AK1" s="552"/>
      <c r="AL1" s="552"/>
      <c r="AM1" s="552"/>
      <c r="AN1" s="552"/>
      <c r="AO1" s="101"/>
      <c r="AP1" s="101"/>
      <c r="AQ1" s="101"/>
    </row>
    <row r="2" spans="1:57" x14ac:dyDescent="0.25">
      <c r="A2" s="553" t="s">
        <v>106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102"/>
      <c r="AP2" s="102"/>
      <c r="AQ2" s="102"/>
    </row>
    <row r="3" spans="1:57" x14ac:dyDescent="0.2">
      <c r="A3" s="554" t="s">
        <v>107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4"/>
      <c r="AN3" s="554"/>
      <c r="AO3" s="103"/>
      <c r="AP3" s="103"/>
      <c r="AQ3" s="103"/>
    </row>
    <row r="4" spans="1:57" x14ac:dyDescent="0.25">
      <c r="A4" s="555" t="s">
        <v>465</v>
      </c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5"/>
      <c r="AI4" s="555"/>
      <c r="AJ4" s="555"/>
      <c r="AK4" s="555"/>
      <c r="AL4" s="555"/>
      <c r="AM4" s="555"/>
      <c r="AN4" s="555"/>
      <c r="AO4" s="104"/>
      <c r="AP4" s="104"/>
      <c r="AQ4" s="104"/>
    </row>
    <row r="5" spans="1:57" x14ac:dyDescent="0.2">
      <c r="A5" s="554" t="s">
        <v>108</v>
      </c>
      <c r="B5" s="554"/>
      <c r="C5" s="554"/>
      <c r="D5" s="554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  <c r="Z5" s="554"/>
      <c r="AA5" s="554"/>
      <c r="AB5" s="554"/>
      <c r="AC5" s="554"/>
      <c r="AD5" s="554"/>
      <c r="AE5" s="554"/>
      <c r="AF5" s="554"/>
      <c r="AG5" s="554"/>
      <c r="AH5" s="554"/>
      <c r="AI5" s="554"/>
      <c r="AJ5" s="554"/>
      <c r="AK5" s="554"/>
      <c r="AL5" s="554"/>
      <c r="AM5" s="554"/>
      <c r="AN5" s="554"/>
      <c r="AO5" s="103"/>
      <c r="AP5" s="103"/>
      <c r="AQ5" s="103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ht="16.5" thickBot="1" x14ac:dyDescent="0.3">
      <c r="A7" s="527" t="s">
        <v>432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99"/>
      <c r="AO7" s="1"/>
    </row>
    <row r="8" spans="1:57" s="3" customFormat="1" ht="31.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411</v>
      </c>
      <c r="AP8" s="8" t="s">
        <v>413</v>
      </c>
      <c r="AQ8" s="8" t="s">
        <v>36</v>
      </c>
      <c r="AR8" s="9" t="s">
        <v>11</v>
      </c>
      <c r="AS8" s="8" t="str">
        <f>AO8</f>
        <v>JAN 1 - 15</v>
      </c>
      <c r="AT8" s="8" t="str">
        <f>AP8</f>
        <v>JAN 16 - 31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7" s="217" customFormat="1" ht="29.25" customHeight="1" x14ac:dyDescent="0.25">
      <c r="A9" s="208" t="s">
        <v>187</v>
      </c>
      <c r="B9" s="210"/>
      <c r="C9" s="230" t="s">
        <v>208</v>
      </c>
      <c r="D9" s="200">
        <v>11</v>
      </c>
      <c r="E9" s="201">
        <v>27000</v>
      </c>
      <c r="F9" s="201">
        <f t="shared" ref="F9:F13" si="0">IF(H9&gt;0,100,0)</f>
        <v>100</v>
      </c>
      <c r="G9" s="201">
        <f t="shared" ref="G9:G13" si="1">+ROUND(H9*12%,2)</f>
        <v>3240</v>
      </c>
      <c r="H9" s="202">
        <f t="shared" ref="H9:H13" si="2">ROUND(IF(AX9&gt;22,0,IF(AX9=22,E9,IF(AX9&lt;22,E9*(AX9/AZ9),IF(OR(AX9=0,AX9=" ")=TRUE,0)))),2)</f>
        <v>27000</v>
      </c>
      <c r="I9" s="202">
        <f>ROUND(IF(AND(H9&gt;0,AX9=22)=TRUE,2000,IF(AND(H9&gt;0,AX9&lt;22,AX9&gt;0)=TRUE,2000*(AX9/AZ9),IF(AX9&lt;0,0,0))),2)</f>
        <v>2000</v>
      </c>
      <c r="J9" s="202">
        <f>IF(H9&gt;0,BC9-BB9,0)</f>
        <v>1100</v>
      </c>
      <c r="K9" s="202">
        <f>IF(AND(H9&gt;0,AX9&gt;11)=TRUE,150,0)</f>
        <v>150</v>
      </c>
      <c r="L9" s="202">
        <f>ROUND(IF(AND($H9&gt;0,AX9&gt;11)=TRUE,$AW9*$E9,0),2)</f>
        <v>6750</v>
      </c>
      <c r="M9" s="202">
        <f t="shared" ref="M9:M13" si="3">ROUND(SUM(H9:L9),2)</f>
        <v>37000</v>
      </c>
      <c r="N9" s="202">
        <v>5278.78</v>
      </c>
      <c r="O9" s="202">
        <f>E9*0.04/2</f>
        <v>540</v>
      </c>
      <c r="P9" s="203">
        <f t="shared" ref="P9:P24" si="4">ROUND($H9*9%,2)</f>
        <v>2430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:Z13" si="5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:AL13" si="6">SUM(N9:AK9)</f>
        <v>8348.7799999999988</v>
      </c>
      <c r="AM9" s="204">
        <f t="shared" ref="AM9:AM13" si="7">ROUND(M9-AL9,2)</f>
        <v>28651.22</v>
      </c>
      <c r="AN9" s="209"/>
      <c r="AO9" s="211"/>
      <c r="AP9" s="207"/>
      <c r="AQ9" s="212">
        <f>SUM(AO9:AP9)</f>
        <v>0</v>
      </c>
      <c r="AR9" s="213">
        <f>+AM9-AQ9</f>
        <v>28651.22</v>
      </c>
      <c r="AS9" s="213"/>
      <c r="AT9" s="213"/>
      <c r="AU9" s="213">
        <f>IF(E9=0,0,IF(E9&lt;=10000,137.5,IF(AND(E9&gt;10000,E9&lt;40000)=TRUE,E9*2.75%*50%,IF(E9&gt;=40000,550,0))))</f>
        <v>371.25</v>
      </c>
      <c r="AV9" s="214"/>
      <c r="AW9" s="214" t="str">
        <f t="shared" ref="AW9:AW24" si="8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22</v>
      </c>
      <c r="AY9" s="213">
        <v>150</v>
      </c>
      <c r="AZ9" s="214">
        <v>22</v>
      </c>
      <c r="BA9" s="213">
        <v>50</v>
      </c>
      <c r="BB9" s="213">
        <f t="shared" ref="BB9:BB13" si="9">IF(AX9&gt;0,(AZ9-AX9+BD9)*BA9,0)</f>
        <v>0</v>
      </c>
      <c r="BC9" s="213">
        <f t="shared" ref="BC9:BC13" si="10">IF(AX9&gt;0,1100,0)</f>
        <v>1100</v>
      </c>
      <c r="BD9" s="215"/>
      <c r="BE9" s="216"/>
    </row>
    <row r="10" spans="1:57" s="217" customFormat="1" ht="29.25" customHeight="1" x14ac:dyDescent="0.25">
      <c r="A10" s="208" t="s">
        <v>188</v>
      </c>
      <c r="B10" s="210"/>
      <c r="C10" s="230" t="s">
        <v>209</v>
      </c>
      <c r="D10" s="200">
        <v>11</v>
      </c>
      <c r="E10" s="201">
        <v>27000</v>
      </c>
      <c r="F10" s="201">
        <f t="shared" si="0"/>
        <v>100</v>
      </c>
      <c r="G10" s="201">
        <f t="shared" si="1"/>
        <v>3240</v>
      </c>
      <c r="H10" s="202">
        <f t="shared" si="2"/>
        <v>27000</v>
      </c>
      <c r="I10" s="202">
        <f>ROUND(IF(AND(H10&gt;0,AX10=22)=TRUE,2000,IF(AND(H10&gt;0,AX10&lt;22,AX10&gt;0)=TRUE,2000*(AX10/AZ10),IF(AX10&lt;0,0,0))),2)</f>
        <v>2000</v>
      </c>
      <c r="J10" s="202">
        <f>IF(H10&gt;0,BC10-BB10,0)</f>
        <v>1100</v>
      </c>
      <c r="K10" s="202">
        <f>IF(AND(H10&gt;0,AX10&gt;11)=TRUE,150,0)</f>
        <v>150</v>
      </c>
      <c r="L10" s="202">
        <f>ROUND(IF(AND($H10&gt;0,AX10&gt;11)=TRUE,$AW10*$E10,0),2)</f>
        <v>6750</v>
      </c>
      <c r="M10" s="202">
        <f t="shared" si="3"/>
        <v>37000</v>
      </c>
      <c r="N10" s="202">
        <v>5393.67</v>
      </c>
      <c r="O10" s="202">
        <f t="shared" ref="O10:O31" si="11">E10*0.04/2</f>
        <v>540</v>
      </c>
      <c r="P10" s="203">
        <f t="shared" si="4"/>
        <v>2430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si="5"/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si="6"/>
        <v>8463.67</v>
      </c>
      <c r="AM10" s="204">
        <f t="shared" si="7"/>
        <v>28536.33</v>
      </c>
      <c r="AN10" s="209"/>
      <c r="AO10" s="211"/>
      <c r="AP10" s="207"/>
      <c r="AQ10" s="212">
        <f>SUM(AO10:AP10)</f>
        <v>0</v>
      </c>
      <c r="AR10" s="213">
        <f>+AM10-AQ10</f>
        <v>28536.33</v>
      </c>
      <c r="AS10" s="213"/>
      <c r="AT10" s="213"/>
      <c r="AU10" s="213">
        <f>IF(E10=0,0,IF(E10&lt;=10000,137.5,IF(AND(E10&gt;10000,E10&lt;40000)=TRUE,E10*2.75%*50%,IF(E10&gt;=40000,550,0))))</f>
        <v>371.25</v>
      </c>
      <c r="AV10" s="214"/>
      <c r="AW10" s="214" t="str">
        <f t="shared" si="8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 t="shared" si="9"/>
        <v>0</v>
      </c>
      <c r="BC10" s="213">
        <f t="shared" si="10"/>
        <v>1100</v>
      </c>
      <c r="BD10" s="215"/>
      <c r="BE10" s="216"/>
    </row>
    <row r="11" spans="1:57" s="217" customFormat="1" ht="29.25" customHeight="1" x14ac:dyDescent="0.25">
      <c r="A11" s="208" t="s">
        <v>443</v>
      </c>
      <c r="B11" s="210"/>
      <c r="C11" s="230" t="s">
        <v>219</v>
      </c>
      <c r="D11" s="200">
        <v>11</v>
      </c>
      <c r="E11" s="201">
        <v>27000</v>
      </c>
      <c r="F11" s="201">
        <f t="shared" si="0"/>
        <v>100</v>
      </c>
      <c r="G11" s="201">
        <f t="shared" si="1"/>
        <v>3240</v>
      </c>
      <c r="H11" s="202">
        <f t="shared" si="2"/>
        <v>27000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6750</v>
      </c>
      <c r="M11" s="202">
        <f t="shared" si="3"/>
        <v>37000</v>
      </c>
      <c r="N11" s="202">
        <v>4493.67</v>
      </c>
      <c r="O11" s="202">
        <f t="shared" si="11"/>
        <v>540</v>
      </c>
      <c r="P11" s="203">
        <f t="shared" si="4"/>
        <v>2430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5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6"/>
        <v>7563.67</v>
      </c>
      <c r="AM11" s="204">
        <f t="shared" si="7"/>
        <v>29436.33</v>
      </c>
      <c r="AN11" s="209"/>
      <c r="AO11" s="211"/>
      <c r="AP11" s="207"/>
      <c r="AQ11" s="212">
        <f>SUM(AO11:AP11)</f>
        <v>0</v>
      </c>
      <c r="AR11" s="213">
        <f>+AM11-AQ11</f>
        <v>29436.33</v>
      </c>
      <c r="AS11" s="213"/>
      <c r="AT11" s="213"/>
      <c r="AU11" s="213">
        <f>IF(E11=0,0,IF(E11&lt;=10000,137.5,IF(AND(E11&gt;10000,E11&lt;40000)=TRUE,E11*2.75%*50%,IF(E11&gt;=40000,550,0))))</f>
        <v>371.25</v>
      </c>
      <c r="AV11" s="214"/>
      <c r="AW11" s="214" t="str">
        <f t="shared" si="8"/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 t="shared" si="9"/>
        <v>0</v>
      </c>
      <c r="BC11" s="213">
        <f t="shared" si="10"/>
        <v>1100</v>
      </c>
      <c r="BD11" s="215"/>
    </row>
    <row r="12" spans="1:57" s="217" customFormat="1" ht="29.25" customHeight="1" x14ac:dyDescent="0.25">
      <c r="A12" s="208" t="s">
        <v>444</v>
      </c>
      <c r="B12" s="210"/>
      <c r="C12" s="230" t="s">
        <v>211</v>
      </c>
      <c r="D12" s="200">
        <v>11</v>
      </c>
      <c r="E12" s="201">
        <v>27000</v>
      </c>
      <c r="F12" s="201">
        <f t="shared" si="0"/>
        <v>100</v>
      </c>
      <c r="G12" s="201">
        <f t="shared" si="1"/>
        <v>3240</v>
      </c>
      <c r="H12" s="202">
        <f t="shared" si="2"/>
        <v>27000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6750</v>
      </c>
      <c r="M12" s="202">
        <f t="shared" si="3"/>
        <v>37000</v>
      </c>
      <c r="N12" s="202">
        <v>5193.67</v>
      </c>
      <c r="O12" s="202">
        <f t="shared" si="11"/>
        <v>540</v>
      </c>
      <c r="P12" s="203">
        <f t="shared" si="4"/>
        <v>2430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5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6"/>
        <v>8263.67</v>
      </c>
      <c r="AM12" s="204">
        <f t="shared" si="7"/>
        <v>28736.33</v>
      </c>
      <c r="AN12" s="209"/>
      <c r="AO12" s="211"/>
      <c r="AP12" s="207"/>
      <c r="AQ12" s="212">
        <f>SUM(AO12:AP12)</f>
        <v>0</v>
      </c>
      <c r="AR12" s="213">
        <f>+AM12-AQ12</f>
        <v>28736.33</v>
      </c>
      <c r="AS12" s="213"/>
      <c r="AT12" s="213"/>
      <c r="AU12" s="213">
        <f>IF(E12=0,0,IF(E12&lt;=10000,137.5,IF(AND(E12&gt;10000,E12&lt;40000)=TRUE,E12*2.75%*50%,IF(E12&gt;=40000,550,0))))</f>
        <v>371.25</v>
      </c>
      <c r="AV12" s="214"/>
      <c r="AW12" s="214" t="str">
        <f t="shared" si="8"/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 t="shared" si="9"/>
        <v>0</v>
      </c>
      <c r="BC12" s="213">
        <f t="shared" si="10"/>
        <v>1100</v>
      </c>
      <c r="BD12" s="215"/>
    </row>
    <row r="13" spans="1:57" s="217" customFormat="1" ht="29.25" customHeight="1" x14ac:dyDescent="0.25">
      <c r="A13" s="208" t="s">
        <v>445</v>
      </c>
      <c r="B13" s="210"/>
      <c r="C13" s="230" t="s">
        <v>212</v>
      </c>
      <c r="D13" s="200">
        <v>11</v>
      </c>
      <c r="E13" s="201">
        <v>27000</v>
      </c>
      <c r="F13" s="201">
        <f t="shared" si="0"/>
        <v>100</v>
      </c>
      <c r="G13" s="201">
        <f t="shared" si="1"/>
        <v>3240</v>
      </c>
      <c r="H13" s="202">
        <f t="shared" si="2"/>
        <v>27000</v>
      </c>
      <c r="I13" s="202">
        <f t="shared" ref="I13:I24" si="12">ROUND(IF(AND(H13&gt;0,AX13=22)=TRUE,2000,IF(AND(H13&gt;0,AX13&lt;22,AX13&gt;0)=TRUE,2000*(AX13/AZ13),IF(AX13&lt;0,0,0))),2)</f>
        <v>2000</v>
      </c>
      <c r="J13" s="202">
        <f t="shared" ref="J13:J24" si="13">IF(H13&gt;0,BC13-BB13,0)</f>
        <v>1100</v>
      </c>
      <c r="K13" s="202">
        <f t="shared" ref="K13:K24" si="14">IF(AND(H13&gt;0,AX13&gt;11)=TRUE,150,0)</f>
        <v>150</v>
      </c>
      <c r="L13" s="202">
        <f t="shared" ref="L13:L24" si="15">ROUND(IF(AND($H13&gt;0,AX13&gt;11)=TRUE,$AW13*$E13,0),2)</f>
        <v>6750</v>
      </c>
      <c r="M13" s="202">
        <f t="shared" si="3"/>
        <v>37000</v>
      </c>
      <c r="N13" s="202">
        <v>5193.67</v>
      </c>
      <c r="O13" s="202">
        <f t="shared" si="11"/>
        <v>540</v>
      </c>
      <c r="P13" s="203">
        <f t="shared" si="4"/>
        <v>2430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5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6"/>
        <v>8263.67</v>
      </c>
      <c r="AM13" s="204">
        <f t="shared" si="7"/>
        <v>28736.33</v>
      </c>
      <c r="AN13" s="209"/>
      <c r="AO13" s="211"/>
      <c r="AP13" s="207"/>
      <c r="AQ13" s="212">
        <f t="shared" ref="AQ13:AQ24" si="16">SUM(AO13:AP13)</f>
        <v>0</v>
      </c>
      <c r="AR13" s="213">
        <f t="shared" ref="AR13:AR24" si="17">+AM13-AQ13</f>
        <v>28736.33</v>
      </c>
      <c r="AS13" s="213"/>
      <c r="AT13" s="213"/>
      <c r="AU13" s="213">
        <f t="shared" ref="AU13:AU24" si="18">IF(E13=0,0,IF(E13&lt;=10000,137.5,IF(AND(E13&gt;10000,E13&lt;40000)=TRUE,E13*2.75%*50%,IF(E13&gt;=40000,550,0))))</f>
        <v>371.25</v>
      </c>
      <c r="AV13" s="214"/>
      <c r="AW13" s="214" t="str">
        <f t="shared" si="8"/>
        <v>25%</v>
      </c>
      <c r="AX13" s="215">
        <v>22</v>
      </c>
      <c r="AY13" s="213">
        <v>150</v>
      </c>
      <c r="AZ13" s="214">
        <v>22</v>
      </c>
      <c r="BA13" s="213">
        <v>50</v>
      </c>
      <c r="BB13" s="213">
        <f t="shared" si="9"/>
        <v>0</v>
      </c>
      <c r="BC13" s="213">
        <f t="shared" si="10"/>
        <v>1100</v>
      </c>
      <c r="BD13" s="215"/>
      <c r="BE13" s="216"/>
    </row>
    <row r="14" spans="1:57" s="217" customFormat="1" ht="29.25" customHeight="1" x14ac:dyDescent="0.25">
      <c r="A14" s="208" t="s">
        <v>446</v>
      </c>
      <c r="B14" s="210"/>
      <c r="C14" s="230" t="s">
        <v>213</v>
      </c>
      <c r="D14" s="200">
        <v>11</v>
      </c>
      <c r="E14" s="201">
        <v>27000</v>
      </c>
      <c r="F14" s="201">
        <f t="shared" ref="F14" si="19">IF(H14&gt;0,100,0)</f>
        <v>100</v>
      </c>
      <c r="G14" s="201">
        <f t="shared" ref="G14" si="20">+ROUND(H14*12%,2)</f>
        <v>3240</v>
      </c>
      <c r="H14" s="202">
        <f t="shared" ref="H14" si="21">ROUND(IF(AX14&gt;22,0,IF(AX14=22,E14,IF(AX14&lt;22,E14*(AX14/AZ14),IF(OR(AX14=0,AX14=" ")=TRUE,0)))),2)</f>
        <v>27000</v>
      </c>
      <c r="I14" s="202">
        <f t="shared" si="12"/>
        <v>2000</v>
      </c>
      <c r="J14" s="202">
        <f t="shared" si="13"/>
        <v>1100</v>
      </c>
      <c r="K14" s="202">
        <f t="shared" si="14"/>
        <v>150</v>
      </c>
      <c r="L14" s="202">
        <f t="shared" si="15"/>
        <v>6750</v>
      </c>
      <c r="M14" s="202">
        <f t="shared" ref="M14" si="22">ROUND(SUM(H14:L14),2)</f>
        <v>37000</v>
      </c>
      <c r="N14" s="202">
        <v>5393.67</v>
      </c>
      <c r="O14" s="202">
        <f t="shared" si="11"/>
        <v>540</v>
      </c>
      <c r="P14" s="203">
        <f t="shared" si="4"/>
        <v>2430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ref="Z14" si="23">ROUND(IF(H14&gt;0,100,0),2)</f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ref="AL14" si="24">SUM(N14:AK14)</f>
        <v>8463.67</v>
      </c>
      <c r="AM14" s="204">
        <f t="shared" ref="AM14" si="25">ROUND(M14-AL14,2)</f>
        <v>28536.33</v>
      </c>
      <c r="AN14" s="209"/>
      <c r="AO14" s="211"/>
      <c r="AP14" s="207"/>
      <c r="AQ14" s="212">
        <f t="shared" si="16"/>
        <v>0</v>
      </c>
      <c r="AR14" s="213">
        <f t="shared" si="17"/>
        <v>28536.33</v>
      </c>
      <c r="AS14" s="213"/>
      <c r="AT14" s="213"/>
      <c r="AU14" s="213">
        <f t="shared" si="18"/>
        <v>371.25</v>
      </c>
      <c r="AV14" s="214"/>
      <c r="AW14" s="214" t="str">
        <f t="shared" si="8"/>
        <v>25%</v>
      </c>
      <c r="AX14" s="215">
        <v>22</v>
      </c>
      <c r="AY14" s="213">
        <v>150</v>
      </c>
      <c r="AZ14" s="214">
        <v>22</v>
      </c>
      <c r="BA14" s="213">
        <v>50</v>
      </c>
      <c r="BB14" s="213">
        <f t="shared" ref="BB14" si="26">IF(AX14&gt;0,(AZ14-AX14+BD14)*BA14,0)</f>
        <v>0</v>
      </c>
      <c r="BC14" s="213">
        <f t="shared" ref="BC14" si="27">IF(AX14&gt;0,1100,0)</f>
        <v>1100</v>
      </c>
      <c r="BD14" s="215"/>
    </row>
    <row r="15" spans="1:57" s="217" customFormat="1" ht="29.25" customHeight="1" x14ac:dyDescent="0.25">
      <c r="A15" s="208" t="s">
        <v>447</v>
      </c>
      <c r="B15" s="210"/>
      <c r="C15" s="230" t="s">
        <v>214</v>
      </c>
      <c r="D15" s="200">
        <v>11</v>
      </c>
      <c r="E15" s="201">
        <v>27000</v>
      </c>
      <c r="F15" s="201">
        <f t="shared" ref="F15" si="28">IF(H15&gt;0,100,0)</f>
        <v>100</v>
      </c>
      <c r="G15" s="201">
        <f t="shared" ref="G15" si="29">+ROUND(H15*12%,2)</f>
        <v>3240</v>
      </c>
      <c r="H15" s="202">
        <f t="shared" ref="H15" si="30">ROUND(IF(AX15&gt;22,0,IF(AX15=22,E15,IF(AX15&lt;22,E15*(AX15/AZ15),IF(OR(AX15=0,AX15=" ")=TRUE,0)))),2)</f>
        <v>27000</v>
      </c>
      <c r="I15" s="202">
        <f t="shared" ref="I15" si="31">ROUND(IF(AND(H15&gt;0,AX15=22)=TRUE,2000,IF(AND(H15&gt;0,AX15&lt;22,AX15&gt;0)=TRUE,2000*(AX15/AZ15),IF(AX15&lt;0,0,0))),2)</f>
        <v>2000</v>
      </c>
      <c r="J15" s="202">
        <f t="shared" ref="J15" si="32">IF(H15&gt;0,BC15-BB15,0)</f>
        <v>1100</v>
      </c>
      <c r="K15" s="202">
        <f t="shared" ref="K15" si="33">IF(AND(H15&gt;0,AX15&gt;11)=TRUE,150,0)</f>
        <v>150</v>
      </c>
      <c r="L15" s="202">
        <f t="shared" ref="L15" si="34">ROUND(IF(AND($H15&gt;0,AX15&gt;11)=TRUE,$AW15*$E15,0),2)</f>
        <v>6750</v>
      </c>
      <c r="M15" s="202">
        <f t="shared" ref="M15" si="35">ROUND(SUM(H15:L15),2)</f>
        <v>37000</v>
      </c>
      <c r="N15" s="202">
        <v>5293.67</v>
      </c>
      <c r="O15" s="202">
        <f t="shared" si="11"/>
        <v>540</v>
      </c>
      <c r="P15" s="203">
        <f t="shared" si="4"/>
        <v>2430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ref="Z15" si="36">ROUND(IF(H15&gt;0,100,0),2)</f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ref="AL15" si="37">SUM(N15:AK15)</f>
        <v>8363.67</v>
      </c>
      <c r="AM15" s="204">
        <f t="shared" ref="AM15" si="38">ROUND(M15-AL15,2)</f>
        <v>28636.33</v>
      </c>
      <c r="AN15" s="209"/>
      <c r="AO15" s="211"/>
      <c r="AP15" s="207"/>
      <c r="AQ15" s="212">
        <f t="shared" ref="AQ15" si="39">SUM(AO15:AP15)</f>
        <v>0</v>
      </c>
      <c r="AR15" s="213">
        <f t="shared" ref="AR15" si="40">+AM15-AQ15</f>
        <v>28636.33</v>
      </c>
      <c r="AS15" s="213"/>
      <c r="AT15" s="213"/>
      <c r="AU15" s="213">
        <f t="shared" ref="AU15" si="41">IF(E15=0,0,IF(E15&lt;=10000,137.5,IF(AND(E15&gt;10000,E15&lt;40000)=TRUE,E15*2.75%*50%,IF(E15&gt;=40000,550,0))))</f>
        <v>371.25</v>
      </c>
      <c r="AV15" s="214"/>
      <c r="AW15" s="214" t="str">
        <f t="shared" si="8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ref="BB15" si="42">IF(AX15&gt;0,(AZ15-AX15+BD15)*BA15,0)</f>
        <v>0</v>
      </c>
      <c r="BC15" s="213">
        <f t="shared" ref="BC15" si="43">IF(AX15&gt;0,1100,0)</f>
        <v>1100</v>
      </c>
      <c r="BD15" s="215"/>
    </row>
    <row r="16" spans="1:57" s="217" customFormat="1" ht="29.25" customHeight="1" x14ac:dyDescent="0.25">
      <c r="A16" s="208" t="s">
        <v>448</v>
      </c>
      <c r="B16" s="210"/>
      <c r="C16" s="230" t="s">
        <v>395</v>
      </c>
      <c r="D16" s="200">
        <v>11</v>
      </c>
      <c r="E16" s="201">
        <v>27000</v>
      </c>
      <c r="F16" s="201">
        <f t="shared" ref="F16" si="44">IF(H16&gt;0,100,0)</f>
        <v>100</v>
      </c>
      <c r="G16" s="201">
        <f t="shared" ref="G16" si="45">+ROUND(H16*12%,2)</f>
        <v>3240</v>
      </c>
      <c r="H16" s="202">
        <f t="shared" ref="H16" si="46">ROUND(IF(AX16&gt;22,0,IF(AX16=22,E16,IF(AX16&lt;22,E16*(AX16/AZ16),IF(OR(AX16=0,AX16=" ")=TRUE,0)))),2)</f>
        <v>27000</v>
      </c>
      <c r="I16" s="202">
        <f t="shared" ref="I16" si="47">ROUND(IF(AND(H16&gt;0,AX16=22)=TRUE,2000,IF(AND(H16&gt;0,AX16&lt;22,AX16&gt;0)=TRUE,2000*(AX16/AZ16),IF(AX16&lt;0,0,0))),2)</f>
        <v>2000</v>
      </c>
      <c r="J16" s="202">
        <f t="shared" ref="J16" si="48">IF(H16&gt;0,BC16-BB16,0)</f>
        <v>1100</v>
      </c>
      <c r="K16" s="202">
        <f t="shared" ref="K16" si="49">IF(AND(H16&gt;0,AX16&gt;11)=TRUE,150,0)</f>
        <v>150</v>
      </c>
      <c r="L16" s="202">
        <f t="shared" ref="L16" si="50">ROUND(IF(AND($H16&gt;0,AX16&gt;11)=TRUE,$AW16*$E16,0),2)</f>
        <v>6750</v>
      </c>
      <c r="M16" s="202">
        <f t="shared" ref="M16" si="51">ROUND(SUM(H16:L16),2)</f>
        <v>37000</v>
      </c>
      <c r="N16" s="202">
        <v>5393.67</v>
      </c>
      <c r="O16" s="202">
        <f t="shared" si="11"/>
        <v>540</v>
      </c>
      <c r="P16" s="203">
        <f t="shared" si="4"/>
        <v>2430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 t="shared" ref="Z16" si="52">ROUND(IF(H16&gt;0,100,0),2)</f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 t="shared" ref="AL16" si="53">SUM(N16:AK16)</f>
        <v>8463.67</v>
      </c>
      <c r="AM16" s="204">
        <f t="shared" ref="AM16" si="54">ROUND(M16-AL16,2)</f>
        <v>28536.33</v>
      </c>
      <c r="AN16" s="209"/>
      <c r="AO16" s="211"/>
      <c r="AP16" s="207"/>
      <c r="AQ16" s="212">
        <f t="shared" ref="AQ16" si="55">SUM(AO16:AP16)</f>
        <v>0</v>
      </c>
      <c r="AR16" s="213">
        <f t="shared" ref="AR16" si="56">+AM16-AQ16</f>
        <v>28536.33</v>
      </c>
      <c r="AS16" s="213"/>
      <c r="AT16" s="213"/>
      <c r="AU16" s="213">
        <f t="shared" ref="AU16" si="57">IF(E16=0,0,IF(E16&lt;=10000,137.5,IF(AND(E16&gt;10000,E16&lt;40000)=TRUE,E16*2.75%*50%,IF(E16&gt;=40000,550,0))))</f>
        <v>371.25</v>
      </c>
      <c r="AV16" s="214"/>
      <c r="AW16" s="214" t="str">
        <f t="shared" si="8"/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 t="shared" ref="BB16" si="58">IF(AX16&gt;0,(AZ16-AX16+BD16)*BA16,0)</f>
        <v>0</v>
      </c>
      <c r="BC16" s="213">
        <f t="shared" ref="BC16" si="59">IF(AX16&gt;0,1100,0)</f>
        <v>1100</v>
      </c>
      <c r="BD16" s="215"/>
    </row>
    <row r="17" spans="1:57" s="217" customFormat="1" ht="29.25" customHeight="1" x14ac:dyDescent="0.25">
      <c r="A17" s="208" t="s">
        <v>449</v>
      </c>
      <c r="B17" s="210"/>
      <c r="C17" s="230" t="s">
        <v>396</v>
      </c>
      <c r="D17" s="200">
        <v>11</v>
      </c>
      <c r="E17" s="201">
        <v>27000</v>
      </c>
      <c r="F17" s="201">
        <f t="shared" ref="F17:F19" si="60">IF(H17&gt;0,100,0)</f>
        <v>100</v>
      </c>
      <c r="G17" s="201">
        <f t="shared" ref="G17:G19" si="61">+ROUND(H17*12%,2)</f>
        <v>3240</v>
      </c>
      <c r="H17" s="202">
        <f t="shared" ref="H17:H19" si="62">ROUND(IF(AX17&gt;22,0,IF(AX17=22,E17,IF(AX17&lt;22,E17*(AX17/AZ17),IF(OR(AX17=0,AX17=" ")=TRUE,0)))),2)</f>
        <v>27000</v>
      </c>
      <c r="I17" s="202">
        <f t="shared" si="12"/>
        <v>2000</v>
      </c>
      <c r="J17" s="202">
        <f t="shared" si="13"/>
        <v>1100</v>
      </c>
      <c r="K17" s="202">
        <f t="shared" si="14"/>
        <v>150</v>
      </c>
      <c r="L17" s="202">
        <f t="shared" si="15"/>
        <v>6750</v>
      </c>
      <c r="M17" s="202">
        <f t="shared" ref="M17:M19" si="63">ROUND(SUM(H17:L17),2)</f>
        <v>37000</v>
      </c>
      <c r="N17" s="202">
        <v>5393.67</v>
      </c>
      <c r="O17" s="202">
        <f t="shared" si="11"/>
        <v>540</v>
      </c>
      <c r="P17" s="203">
        <f t="shared" si="4"/>
        <v>2430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>
        <f t="shared" ref="Z17:Z19" si="64">ROUND(IF(H17&gt;0,100,0),2)</f>
        <v>100</v>
      </c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>
        <f t="shared" ref="AL17:AL19" si="65">SUM(N17:AK17)</f>
        <v>8463.67</v>
      </c>
      <c r="AM17" s="204">
        <f t="shared" ref="AM17:AM19" si="66">ROUND(M17-AL17,2)</f>
        <v>28536.33</v>
      </c>
      <c r="AN17" s="209"/>
      <c r="AO17" s="211"/>
      <c r="AP17" s="207"/>
      <c r="AQ17" s="212">
        <f t="shared" si="16"/>
        <v>0</v>
      </c>
      <c r="AR17" s="213">
        <f t="shared" si="17"/>
        <v>28536.33</v>
      </c>
      <c r="AS17" s="213"/>
      <c r="AT17" s="213"/>
      <c r="AU17" s="213">
        <f t="shared" si="18"/>
        <v>371.25</v>
      </c>
      <c r="AV17" s="214"/>
      <c r="AW17" s="214" t="str">
        <f t="shared" si="8"/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 t="shared" ref="BB17:BB19" si="67">IF(AX17&gt;0,(AZ17-AX17+BD17)*BA17,0)</f>
        <v>0</v>
      </c>
      <c r="BC17" s="213">
        <f t="shared" ref="BC17:BC19" si="68">IF(AX17&gt;0,1100,0)</f>
        <v>1100</v>
      </c>
      <c r="BD17" s="215"/>
    </row>
    <row r="18" spans="1:57" s="217" customFormat="1" ht="29.25" customHeight="1" x14ac:dyDescent="0.25">
      <c r="A18" s="208" t="s">
        <v>450</v>
      </c>
      <c r="B18" s="210"/>
      <c r="C18" s="230" t="s">
        <v>397</v>
      </c>
      <c r="D18" s="200">
        <v>11</v>
      </c>
      <c r="E18" s="201">
        <v>27000</v>
      </c>
      <c r="F18" s="201">
        <f t="shared" si="60"/>
        <v>100</v>
      </c>
      <c r="G18" s="201">
        <f t="shared" si="61"/>
        <v>3240</v>
      </c>
      <c r="H18" s="202">
        <f t="shared" si="62"/>
        <v>27000</v>
      </c>
      <c r="I18" s="202">
        <f t="shared" si="12"/>
        <v>2000</v>
      </c>
      <c r="J18" s="202">
        <f t="shared" si="13"/>
        <v>1100</v>
      </c>
      <c r="K18" s="202">
        <f t="shared" si="14"/>
        <v>150</v>
      </c>
      <c r="L18" s="202">
        <f t="shared" si="15"/>
        <v>6750</v>
      </c>
      <c r="M18" s="202">
        <f t="shared" si="63"/>
        <v>37000</v>
      </c>
      <c r="N18" s="202">
        <v>5193.67</v>
      </c>
      <c r="O18" s="202">
        <f t="shared" si="11"/>
        <v>540</v>
      </c>
      <c r="P18" s="203">
        <f t="shared" si="4"/>
        <v>2430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64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65"/>
        <v>8263.67</v>
      </c>
      <c r="AM18" s="204">
        <f t="shared" si="66"/>
        <v>28736.33</v>
      </c>
      <c r="AN18" s="209"/>
      <c r="AO18" s="211"/>
      <c r="AP18" s="207"/>
      <c r="AQ18" s="212">
        <f t="shared" si="16"/>
        <v>0</v>
      </c>
      <c r="AR18" s="213">
        <f t="shared" si="17"/>
        <v>28736.33</v>
      </c>
      <c r="AS18" s="213"/>
      <c r="AT18" s="213"/>
      <c r="AU18" s="213">
        <f t="shared" si="18"/>
        <v>371.25</v>
      </c>
      <c r="AV18" s="214"/>
      <c r="AW18" s="214" t="str">
        <f t="shared" si="8"/>
        <v>25%</v>
      </c>
      <c r="AX18" s="215">
        <v>22</v>
      </c>
      <c r="AY18" s="213">
        <v>150</v>
      </c>
      <c r="AZ18" s="214">
        <v>22</v>
      </c>
      <c r="BA18" s="213">
        <v>50</v>
      </c>
      <c r="BB18" s="213">
        <f t="shared" si="67"/>
        <v>0</v>
      </c>
      <c r="BC18" s="213">
        <f t="shared" si="68"/>
        <v>1100</v>
      </c>
      <c r="BD18" s="215"/>
    </row>
    <row r="19" spans="1:57" s="217" customFormat="1" ht="29.25" customHeight="1" x14ac:dyDescent="0.25">
      <c r="A19" s="208" t="s">
        <v>451</v>
      </c>
      <c r="B19" s="210"/>
      <c r="C19" s="246" t="s">
        <v>398</v>
      </c>
      <c r="D19" s="200">
        <v>11</v>
      </c>
      <c r="E19" s="201">
        <v>27000</v>
      </c>
      <c r="F19" s="201">
        <f t="shared" si="60"/>
        <v>100</v>
      </c>
      <c r="G19" s="201">
        <f t="shared" si="61"/>
        <v>3240</v>
      </c>
      <c r="H19" s="202">
        <f t="shared" si="62"/>
        <v>27000</v>
      </c>
      <c r="I19" s="202">
        <f t="shared" si="12"/>
        <v>2000</v>
      </c>
      <c r="J19" s="202">
        <f t="shared" si="13"/>
        <v>1100</v>
      </c>
      <c r="K19" s="202">
        <f t="shared" si="14"/>
        <v>150</v>
      </c>
      <c r="L19" s="202">
        <f t="shared" si="15"/>
        <v>6750</v>
      </c>
      <c r="M19" s="202">
        <f t="shared" si="63"/>
        <v>37000</v>
      </c>
      <c r="N19" s="202">
        <v>5393.67</v>
      </c>
      <c r="O19" s="202">
        <f t="shared" si="11"/>
        <v>540</v>
      </c>
      <c r="P19" s="203">
        <f t="shared" si="4"/>
        <v>2430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>
        <f t="shared" si="64"/>
        <v>100</v>
      </c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>
        <f t="shared" si="65"/>
        <v>8463.67</v>
      </c>
      <c r="AM19" s="204">
        <f t="shared" si="66"/>
        <v>28536.33</v>
      </c>
      <c r="AN19" s="209"/>
      <c r="AO19" s="211"/>
      <c r="AP19" s="207"/>
      <c r="AQ19" s="212">
        <f t="shared" si="16"/>
        <v>0</v>
      </c>
      <c r="AR19" s="213">
        <f t="shared" si="17"/>
        <v>28536.33</v>
      </c>
      <c r="AS19" s="213"/>
      <c r="AT19" s="213"/>
      <c r="AU19" s="213">
        <f t="shared" si="18"/>
        <v>371.25</v>
      </c>
      <c r="AV19" s="214"/>
      <c r="AW19" s="214" t="str">
        <f t="shared" si="8"/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 t="shared" si="67"/>
        <v>0</v>
      </c>
      <c r="BC19" s="213">
        <f t="shared" si="68"/>
        <v>1100</v>
      </c>
      <c r="BD19" s="215"/>
    </row>
    <row r="20" spans="1:57" s="217" customFormat="1" ht="29.25" customHeight="1" x14ac:dyDescent="0.25">
      <c r="A20" s="208" t="s">
        <v>452</v>
      </c>
      <c r="B20" s="210"/>
      <c r="C20" s="230" t="s">
        <v>399</v>
      </c>
      <c r="D20" s="200">
        <v>11</v>
      </c>
      <c r="E20" s="201">
        <v>27000</v>
      </c>
      <c r="F20" s="201">
        <f>IF(H20&gt;0,100,0)</f>
        <v>100</v>
      </c>
      <c r="G20" s="201">
        <f>+ROUND(H20*12%,2)</f>
        <v>3240</v>
      </c>
      <c r="H20" s="202">
        <f>ROUND(IF(AX20&gt;22,0,IF(AX20=22,E20,IF(AX20&lt;22,E20*(AX20/AZ20),IF(OR(AX20=0,AX20=" ")=TRUE,0)))),2)</f>
        <v>27000</v>
      </c>
      <c r="I20" s="202">
        <f t="shared" ref="I20:I23" si="69">ROUND(IF(AND(H20&gt;0,AX20=22)=TRUE,2000,IF(AND(H20&gt;0,AX20&lt;22,AX20&gt;0)=TRUE,2000*(AX20/AZ20),IF(AX20&lt;0,0,0))),2)</f>
        <v>2000</v>
      </c>
      <c r="J20" s="202">
        <f t="shared" ref="J20:J23" si="70">IF(H20&gt;0,BC20-BB20,0)</f>
        <v>1100</v>
      </c>
      <c r="K20" s="202">
        <f t="shared" ref="K20:K23" si="71">IF(AND(H20&gt;0,AX20&gt;11)=TRUE,150,0)</f>
        <v>150</v>
      </c>
      <c r="L20" s="202">
        <f t="shared" ref="L20:L23" si="72">ROUND(IF(AND($H20&gt;0,AX20&gt;11)=TRUE,$AW20*$E20,0),2)</f>
        <v>6750</v>
      </c>
      <c r="M20" s="202">
        <f>ROUND(SUM(H20:L20),2)</f>
        <v>37000</v>
      </c>
      <c r="N20" s="202">
        <v>5317.07</v>
      </c>
      <c r="O20" s="202">
        <f t="shared" si="11"/>
        <v>540</v>
      </c>
      <c r="P20" s="203">
        <f t="shared" si="4"/>
        <v>2430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>
        <f>ROUND(IF(H20&gt;0,100,0),2)</f>
        <v>100</v>
      </c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>
        <f>SUM(N20:AK20)</f>
        <v>8387.07</v>
      </c>
      <c r="AM20" s="204">
        <f>ROUND(M20-AL20,2)</f>
        <v>28612.93</v>
      </c>
      <c r="AN20" s="209"/>
      <c r="AO20" s="211"/>
      <c r="AP20" s="207"/>
      <c r="AQ20" s="212">
        <f t="shared" ref="AQ20:AQ23" si="73">SUM(AO20:AP20)</f>
        <v>0</v>
      </c>
      <c r="AR20" s="213">
        <f t="shared" ref="AR20:AR23" si="74">+AM20-AQ20</f>
        <v>28612.93</v>
      </c>
      <c r="AS20" s="213"/>
      <c r="AT20" s="213"/>
      <c r="AU20" s="213">
        <f t="shared" ref="AU20:AU23" si="75">IF(E20=0,0,IF(E20&lt;=10000,137.5,IF(AND(E20&gt;10000,E20&lt;40000)=TRUE,E20*2.75%*50%,IF(E20&gt;=40000,550,0))))</f>
        <v>371.25</v>
      </c>
      <c r="AV20" s="214"/>
      <c r="AW20" s="214" t="str">
        <f t="shared" si="8"/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>IF(AX20&gt;0,(AZ20-AX20+BD20)*BA20,0)</f>
        <v>0</v>
      </c>
      <c r="BC20" s="213">
        <f>IF(AX20&gt;0,1100,0)</f>
        <v>1100</v>
      </c>
      <c r="BD20" s="215"/>
      <c r="BE20" s="216"/>
    </row>
    <row r="21" spans="1:57" s="217" customFormat="1" ht="29.25" customHeight="1" x14ac:dyDescent="0.25">
      <c r="A21" s="208" t="s">
        <v>453</v>
      </c>
      <c r="B21" s="210"/>
      <c r="C21" s="230" t="s">
        <v>400</v>
      </c>
      <c r="D21" s="200">
        <v>11</v>
      </c>
      <c r="E21" s="201">
        <v>27000</v>
      </c>
      <c r="F21" s="201">
        <f t="shared" ref="F21" si="76">IF(H21&gt;0,100,0)</f>
        <v>100</v>
      </c>
      <c r="G21" s="201">
        <f t="shared" ref="G21" si="77">+ROUND(H21*12%,2)</f>
        <v>3240</v>
      </c>
      <c r="H21" s="202">
        <f t="shared" ref="H21" si="78">ROUND(IF(AX21&gt;22,0,IF(AX21=22,E21,IF(AX21&lt;22,E21*(AX21/AZ21),IF(OR(AX21=0,AX21=" ")=TRUE,0)))),2)</f>
        <v>27000</v>
      </c>
      <c r="I21" s="202">
        <f t="shared" si="69"/>
        <v>2000</v>
      </c>
      <c r="J21" s="202">
        <f t="shared" si="70"/>
        <v>1100</v>
      </c>
      <c r="K21" s="202">
        <f t="shared" si="71"/>
        <v>150</v>
      </c>
      <c r="L21" s="202">
        <f t="shared" si="72"/>
        <v>6750</v>
      </c>
      <c r="M21" s="202">
        <f t="shared" ref="M21" si="79">ROUND(SUM(H21:L21),2)</f>
        <v>37000</v>
      </c>
      <c r="N21" s="202">
        <v>5393.67</v>
      </c>
      <c r="O21" s="202">
        <f t="shared" si="11"/>
        <v>540</v>
      </c>
      <c r="P21" s="203">
        <f t="shared" si="4"/>
        <v>2430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 t="shared" ref="Z21" si="80"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 t="shared" ref="AL21" si="81">SUM(N21:AK21)</f>
        <v>8463.67</v>
      </c>
      <c r="AM21" s="204">
        <f t="shared" ref="AM21" si="82">ROUND(M21-AL21,2)</f>
        <v>28536.33</v>
      </c>
      <c r="AN21" s="209"/>
      <c r="AO21" s="211"/>
      <c r="AP21" s="207"/>
      <c r="AQ21" s="212">
        <f t="shared" si="73"/>
        <v>0</v>
      </c>
      <c r="AR21" s="213">
        <f t="shared" si="74"/>
        <v>28536.33</v>
      </c>
      <c r="AS21" s="213"/>
      <c r="AT21" s="213"/>
      <c r="AU21" s="213">
        <f t="shared" si="75"/>
        <v>371.25</v>
      </c>
      <c r="AV21" s="214"/>
      <c r="AW21" s="214" t="str">
        <f t="shared" si="8"/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 t="shared" ref="BB21" si="83">IF(AX21&gt;0,(AZ21-AX21+BD21)*BA21,0)</f>
        <v>0</v>
      </c>
      <c r="BC21" s="213">
        <f t="shared" ref="BC21" si="84">IF(AX21&gt;0,1100,0)</f>
        <v>1100</v>
      </c>
      <c r="BD21" s="215"/>
    </row>
    <row r="22" spans="1:57" s="217" customFormat="1" ht="29.25" customHeight="1" x14ac:dyDescent="0.25">
      <c r="A22" s="208" t="s">
        <v>454</v>
      </c>
      <c r="B22" s="210"/>
      <c r="C22" s="230" t="s">
        <v>401</v>
      </c>
      <c r="D22" s="200">
        <v>11</v>
      </c>
      <c r="E22" s="201">
        <v>27000</v>
      </c>
      <c r="F22" s="201">
        <f>IF(H22&gt;0,100,0)</f>
        <v>100</v>
      </c>
      <c r="G22" s="201">
        <f>+ROUND(H22*12%,2)</f>
        <v>3240</v>
      </c>
      <c r="H22" s="202">
        <f>ROUND(IF(AX22&gt;22,0,IF(AX22=22,E22,IF(AX22&lt;22,E22*(AX22/AZ22),IF(OR(AX22=0,AX22=" ")=TRUE,0)))),2)</f>
        <v>27000</v>
      </c>
      <c r="I22" s="202">
        <f t="shared" si="69"/>
        <v>2000</v>
      </c>
      <c r="J22" s="202">
        <f t="shared" si="70"/>
        <v>1100</v>
      </c>
      <c r="K22" s="202">
        <f t="shared" si="71"/>
        <v>150</v>
      </c>
      <c r="L22" s="202">
        <f t="shared" si="72"/>
        <v>6750</v>
      </c>
      <c r="M22" s="202">
        <f>ROUND(SUM(H22:L22),2)</f>
        <v>37000</v>
      </c>
      <c r="N22" s="202">
        <v>5393.67</v>
      </c>
      <c r="O22" s="202">
        <f>E22*0.04/2</f>
        <v>540</v>
      </c>
      <c r="P22" s="203">
        <f t="shared" si="4"/>
        <v>2430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>ROUND(IF(H22&gt;0,100,0),2)</f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>SUM(N22:AK22)</f>
        <v>8463.67</v>
      </c>
      <c r="AM22" s="204">
        <f>ROUND(M22-AL22,2)</f>
        <v>28536.33</v>
      </c>
      <c r="AN22" s="209"/>
      <c r="AO22" s="211"/>
      <c r="AP22" s="207"/>
      <c r="AQ22" s="212">
        <f t="shared" si="73"/>
        <v>0</v>
      </c>
      <c r="AR22" s="213">
        <f t="shared" si="74"/>
        <v>28536.33</v>
      </c>
      <c r="AS22" s="213"/>
      <c r="AT22" s="213"/>
      <c r="AU22" s="213">
        <f t="shared" si="75"/>
        <v>371.25</v>
      </c>
      <c r="AV22" s="214"/>
      <c r="AW22" s="214" t="str">
        <f t="shared" si="8"/>
        <v>25%</v>
      </c>
      <c r="AX22" s="215">
        <v>22</v>
      </c>
      <c r="AY22" s="213">
        <v>150</v>
      </c>
      <c r="AZ22" s="214">
        <v>22</v>
      </c>
      <c r="BA22" s="213">
        <v>50</v>
      </c>
      <c r="BB22" s="213">
        <f>IF(AX22&gt;0,(AZ22-AX22+BD22)*BA22,0)</f>
        <v>0</v>
      </c>
      <c r="BC22" s="213">
        <f>IF(AX22&gt;0,1100,0)</f>
        <v>1100</v>
      </c>
      <c r="BD22" s="215"/>
      <c r="BE22" s="216"/>
    </row>
    <row r="23" spans="1:57" s="217" customFormat="1" ht="29.25" customHeight="1" x14ac:dyDescent="0.25">
      <c r="A23" s="208" t="s">
        <v>455</v>
      </c>
      <c r="B23" s="210"/>
      <c r="C23" s="230" t="s">
        <v>402</v>
      </c>
      <c r="D23" s="200">
        <v>11</v>
      </c>
      <c r="E23" s="201">
        <v>27000</v>
      </c>
      <c r="F23" s="201">
        <f t="shared" ref="F23" si="85">IF(H23&gt;0,100,0)</f>
        <v>100</v>
      </c>
      <c r="G23" s="201">
        <f t="shared" ref="G23" si="86">+ROUND(H23*12%,2)</f>
        <v>3240</v>
      </c>
      <c r="H23" s="202">
        <f t="shared" ref="H23" si="87">ROUND(IF(AX23&gt;22,0,IF(AX23=22,E23,IF(AX23&lt;22,E23*(AX23/AZ23),IF(OR(AX23=0,AX23=" ")=TRUE,0)))),2)</f>
        <v>27000</v>
      </c>
      <c r="I23" s="202">
        <f t="shared" si="69"/>
        <v>2000</v>
      </c>
      <c r="J23" s="202">
        <f t="shared" si="70"/>
        <v>1100</v>
      </c>
      <c r="K23" s="202">
        <f t="shared" si="71"/>
        <v>150</v>
      </c>
      <c r="L23" s="202">
        <f t="shared" si="72"/>
        <v>6750</v>
      </c>
      <c r="M23" s="202">
        <f t="shared" ref="M23" si="88">ROUND(SUM(H23:L23),2)</f>
        <v>37000</v>
      </c>
      <c r="N23" s="202">
        <v>5393.67</v>
      </c>
      <c r="O23" s="202">
        <f t="shared" si="11"/>
        <v>540</v>
      </c>
      <c r="P23" s="203">
        <f t="shared" si="4"/>
        <v>2430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 t="shared" ref="Z23" si="89">ROUND(IF(H23&gt;0,100,0),2)</f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 t="shared" ref="AL23" si="90">SUM(N23:AK23)</f>
        <v>8463.67</v>
      </c>
      <c r="AM23" s="204">
        <f t="shared" ref="AM23" si="91">ROUND(M23-AL23,2)</f>
        <v>28536.33</v>
      </c>
      <c r="AN23" s="209"/>
      <c r="AO23" s="211"/>
      <c r="AP23" s="207"/>
      <c r="AQ23" s="212">
        <f t="shared" si="73"/>
        <v>0</v>
      </c>
      <c r="AR23" s="213">
        <f t="shared" si="74"/>
        <v>28536.33</v>
      </c>
      <c r="AS23" s="213"/>
      <c r="AT23" s="213"/>
      <c r="AU23" s="213">
        <f t="shared" si="75"/>
        <v>371.25</v>
      </c>
      <c r="AV23" s="214"/>
      <c r="AW23" s="214" t="str">
        <f t="shared" si="8"/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 t="shared" ref="BB23" si="92">IF(AX23&gt;0,(AZ23-AX23+BD23)*BA23,0)</f>
        <v>0</v>
      </c>
      <c r="BC23" s="213">
        <f t="shared" ref="BC23" si="93">IF(AX23&gt;0,1100,0)</f>
        <v>1100</v>
      </c>
      <c r="BD23" s="215"/>
    </row>
    <row r="24" spans="1:57" s="217" customFormat="1" ht="29.25" customHeight="1" x14ac:dyDescent="0.25">
      <c r="A24" s="208" t="s">
        <v>456</v>
      </c>
      <c r="B24" s="210"/>
      <c r="C24" s="230" t="s">
        <v>403</v>
      </c>
      <c r="D24" s="200">
        <v>11</v>
      </c>
      <c r="E24" s="201">
        <v>27000</v>
      </c>
      <c r="F24" s="201">
        <f>IF(H24&gt;0,100,0)</f>
        <v>100</v>
      </c>
      <c r="G24" s="201">
        <f>+ROUND(H24*12%,2)</f>
        <v>3240</v>
      </c>
      <c r="H24" s="202">
        <f>ROUND(IF(AX24&gt;22,0,IF(AX24=22,E24,IF(AX24&lt;22,E24*(AX24/AZ24),IF(OR(AX24=0,AX24=" ")=TRUE,0)))),2)</f>
        <v>27000</v>
      </c>
      <c r="I24" s="202">
        <f t="shared" si="12"/>
        <v>2000</v>
      </c>
      <c r="J24" s="202">
        <f t="shared" si="13"/>
        <v>1100</v>
      </c>
      <c r="K24" s="202">
        <f t="shared" si="14"/>
        <v>150</v>
      </c>
      <c r="L24" s="202">
        <f t="shared" si="15"/>
        <v>6750</v>
      </c>
      <c r="M24" s="202">
        <f>ROUND(SUM(H24:L24),2)</f>
        <v>37000</v>
      </c>
      <c r="N24" s="202">
        <v>5193.67</v>
      </c>
      <c r="O24" s="202">
        <f t="shared" si="11"/>
        <v>540</v>
      </c>
      <c r="P24" s="203">
        <f t="shared" si="4"/>
        <v>2430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>ROUND(IF(H24&gt;0,100,0),2)</f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>SUM(N24:AK24)</f>
        <v>8263.67</v>
      </c>
      <c r="AM24" s="204">
        <f>ROUND(M24-AL24,2)</f>
        <v>28736.33</v>
      </c>
      <c r="AN24" s="209"/>
      <c r="AO24" s="211"/>
      <c r="AP24" s="207"/>
      <c r="AQ24" s="212">
        <f t="shared" si="16"/>
        <v>0</v>
      </c>
      <c r="AR24" s="213">
        <f t="shared" si="17"/>
        <v>28736.33</v>
      </c>
      <c r="AS24" s="213"/>
      <c r="AT24" s="213"/>
      <c r="AU24" s="213">
        <f t="shared" si="18"/>
        <v>371.25</v>
      </c>
      <c r="AV24" s="214"/>
      <c r="AW24" s="214" t="str">
        <f t="shared" si="8"/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>IF(AX24&gt;0,(AZ24-AX24+BD24)*BA24,0)</f>
        <v>0</v>
      </c>
      <c r="BC24" s="213">
        <f>IF(AX24&gt;0,1100,0)</f>
        <v>1100</v>
      </c>
      <c r="BD24" s="215"/>
      <c r="BE24" s="216"/>
    </row>
    <row r="25" spans="1:57" s="217" customFormat="1" ht="29.25" customHeight="1" x14ac:dyDescent="0.25">
      <c r="A25" s="208" t="s">
        <v>457</v>
      </c>
      <c r="B25" s="210"/>
      <c r="C25" s="230" t="s">
        <v>404</v>
      </c>
      <c r="D25" s="200">
        <v>11</v>
      </c>
      <c r="E25" s="201">
        <v>27000</v>
      </c>
      <c r="F25" s="201">
        <f>IF(H25&gt;0,100,0)</f>
        <v>100</v>
      </c>
      <c r="G25" s="201">
        <f>+ROUND(H25*12%,2)</f>
        <v>3240</v>
      </c>
      <c r="H25" s="202">
        <f>ROUND(IF(AX25&gt;22,0,IF(AX25=22,E25,IF(AX25&lt;22,E25*(AX25/AZ25),IF(OR(AX25=0,AX25=" ")=TRUE,0)))),2)</f>
        <v>27000</v>
      </c>
      <c r="I25" s="202">
        <f>ROUND(IF(AND(H25&gt;0,AX25=22)=TRUE,2000,IF(AND(H25&gt;0,AX25&lt;22,AX25&gt;0)=TRUE,2000*(AX25/AZ25),IF(AX25&lt;0,0,0))),2)</f>
        <v>2000</v>
      </c>
      <c r="J25" s="202">
        <f>IF(H25&gt;0,BC25-BB25,0)</f>
        <v>1100</v>
      </c>
      <c r="K25" s="202">
        <f>IF(AND(H25&gt;0,AX25&gt;11)=TRUE,150,0)</f>
        <v>150</v>
      </c>
      <c r="L25" s="202">
        <f>ROUND(IF(AND($H25&gt;0,AX25&gt;11)=TRUE,$AW25*$E25,0),2)</f>
        <v>6750</v>
      </c>
      <c r="M25" s="202">
        <f>ROUND(SUM(H25:L25),2)</f>
        <v>37000</v>
      </c>
      <c r="N25" s="202">
        <v>5393.67</v>
      </c>
      <c r="O25" s="202">
        <f>E25*0.04/2</f>
        <v>540</v>
      </c>
      <c r="P25" s="203">
        <f>ROUND($H25*9%,2)</f>
        <v>2430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>ROUND(IF(H25&gt;0,100,0),2)</f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>SUM(N25:AK25)</f>
        <v>8463.67</v>
      </c>
      <c r="AM25" s="204">
        <f>ROUND(M25-AL25,2)</f>
        <v>28536.33</v>
      </c>
      <c r="AN25" s="209"/>
      <c r="AO25" s="211"/>
      <c r="AP25" s="207"/>
      <c r="AQ25" s="212">
        <f>SUM(AO25:AP25)</f>
        <v>0</v>
      </c>
      <c r="AR25" s="213">
        <f>+AM25-AQ25</f>
        <v>28536.33</v>
      </c>
      <c r="AS25" s="213"/>
      <c r="AT25" s="213"/>
      <c r="AU25" s="213">
        <f>IF(E25=0,0,IF(E25&lt;=10000,137.5,IF(AND(E25&gt;10000,E25&lt;40000)=TRUE,E25*2.75%*50%,IF(E25&gt;=40000,550,0))))</f>
        <v>371.25</v>
      </c>
      <c r="AV25" s="214"/>
      <c r="AW25" s="214" t="str">
        <f>IF(AND($D25&gt;=1,$D25&lt;=19)=TRUE,"25%",IF($D25=20,"15%",IF($D25=21,"13%",IF($D25=22,"12%",IF($D25=23,"11%",IF(OR($D25=24,$D25=25)=TRUE,"10%",IF($D25=26,"9%",IF($D25=27,"8%",IF($D25=28,"7%",IF(OR($D25=29,$D25=30)=TRUE,"6%",IF($D25=31,"5%","0%")))))))))))</f>
        <v>25%</v>
      </c>
      <c r="AX25" s="215">
        <v>22</v>
      </c>
      <c r="AY25" s="213">
        <v>150</v>
      </c>
      <c r="AZ25" s="214">
        <v>22</v>
      </c>
      <c r="BA25" s="213">
        <v>50</v>
      </c>
      <c r="BB25" s="213">
        <f>IF(AX25&gt;0,(AZ25-AX25+BD25)*BA25,0)</f>
        <v>0</v>
      </c>
      <c r="BC25" s="213">
        <f>IF(AX25&gt;0,1100,0)</f>
        <v>1100</v>
      </c>
      <c r="BD25" s="215"/>
    </row>
    <row r="26" spans="1:57" s="217" customFormat="1" ht="29.25" customHeight="1" x14ac:dyDescent="0.25">
      <c r="A26" s="290" t="s">
        <v>458</v>
      </c>
      <c r="B26" s="210"/>
      <c r="C26" s="230" t="s">
        <v>405</v>
      </c>
      <c r="D26" s="200">
        <v>11</v>
      </c>
      <c r="E26" s="201">
        <v>27000</v>
      </c>
      <c r="F26" s="201">
        <f t="shared" ref="F26" si="94">IF(H26&gt;0,100,0)</f>
        <v>100</v>
      </c>
      <c r="G26" s="201">
        <f t="shared" ref="G26" si="95">+ROUND(H26*12%,2)</f>
        <v>3240</v>
      </c>
      <c r="H26" s="202">
        <f t="shared" ref="H26" si="96">ROUND(IF(AX26&gt;22,0,IF(AX26=22,E26,IF(AX26&lt;22,E26*(AX26/AZ26),IF(OR(AX26=0,AX26=" ")=TRUE,0)))),2)</f>
        <v>27000</v>
      </c>
      <c r="I26" s="202">
        <f>ROUND(IF(AND(H26&gt;0,AX26=22)=TRUE,2000,IF(AND(H26&gt;0,AX26&lt;22,AX26&gt;0)=TRUE,2000*(AX26/AZ26),IF(AX26&lt;0,0,0))),2)</f>
        <v>2000</v>
      </c>
      <c r="J26" s="202">
        <f>IF(H26&gt;0,BC26-BB26,0)</f>
        <v>1100</v>
      </c>
      <c r="K26" s="202">
        <f>IF(AND(H26&gt;0,AX26&gt;11)=TRUE,150,0)</f>
        <v>150</v>
      </c>
      <c r="L26" s="202">
        <f>ROUND(IF(AND($H26&gt;0,AX26&gt;11)=TRUE,$AW26*$E26,0),2)</f>
        <v>6750</v>
      </c>
      <c r="M26" s="202">
        <f t="shared" ref="M26" si="97">ROUND(SUM(H26:L26),2)</f>
        <v>37000</v>
      </c>
      <c r="N26" s="202">
        <v>5393.67</v>
      </c>
      <c r="O26" s="202">
        <f>E26*0.04/2</f>
        <v>540</v>
      </c>
      <c r="P26" s="203">
        <f>ROUND($H26*9%,2)</f>
        <v>2430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>ROUND(IF(H26&gt;0,100,0),2)</f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ref="AL26" si="98">SUM(N26:AK26)</f>
        <v>8463.67</v>
      </c>
      <c r="AM26" s="204">
        <f t="shared" ref="AM26" si="99">ROUND(M26-AL26,2)</f>
        <v>28536.33</v>
      </c>
      <c r="AN26" s="209"/>
      <c r="AO26" s="318"/>
      <c r="AP26" s="319"/>
      <c r="AQ26" s="320">
        <f t="shared" ref="AQ26" si="100">SUM(AO26:AP26)</f>
        <v>0</v>
      </c>
      <c r="AR26" s="213">
        <f>+AM26-AQ26</f>
        <v>28536.33</v>
      </c>
      <c r="AS26" s="213"/>
      <c r="AT26" s="213"/>
      <c r="AU26" s="213">
        <f>IF(E26=0,0,IF(E26&lt;=10000,137.5,IF(AND(E26&gt;10000,E26&lt;40000)=TRUE,E26*2.75%*50%,IF(E26&gt;=40000,550,0))))</f>
        <v>371.25</v>
      </c>
      <c r="AV26" s="214"/>
      <c r="AW26" s="214" t="str">
        <f>IF(AND($D26&gt;=1,$D26&lt;=19)=TRUE,"25%",IF($D26=20,"15%",IF($D26=21,"13%",IF($D26=22,"12%",IF($D26=23,"11%",IF(OR($D26=24,$D26=25)=TRUE,"10%",IF($D26=26,"9%",IF($D26=27,"8%",IF($D26=28,"7%",IF(OR($D26=29,$D26=30)=TRUE,"6%",IF($D26=31,"5%","0%")))))))))))</f>
        <v>25%</v>
      </c>
      <c r="AX26" s="215">
        <v>22</v>
      </c>
      <c r="AY26" s="213">
        <v>150</v>
      </c>
      <c r="AZ26" s="214">
        <v>22</v>
      </c>
      <c r="BA26" s="213">
        <v>50</v>
      </c>
      <c r="BB26" s="213">
        <f t="shared" ref="BB26" si="101">IF(AX26&gt;0,(AZ26-AX26+BD26)*BA26,0)</f>
        <v>0</v>
      </c>
      <c r="BC26" s="213">
        <f t="shared" ref="BC26" si="102">IF(AX26&gt;0,1100,0)</f>
        <v>1100</v>
      </c>
      <c r="BD26" s="215"/>
    </row>
    <row r="27" spans="1:57" s="217" customFormat="1" ht="34.5" customHeight="1" x14ac:dyDescent="0.25">
      <c r="A27" s="324" t="s">
        <v>459</v>
      </c>
      <c r="B27" s="298"/>
      <c r="C27" s="299" t="s">
        <v>406</v>
      </c>
      <c r="D27" s="300">
        <v>11</v>
      </c>
      <c r="E27" s="201">
        <v>27000</v>
      </c>
      <c r="F27" s="301">
        <f>IF(H27&gt;0,100,0)</f>
        <v>100</v>
      </c>
      <c r="G27" s="301">
        <f>+ROUND(H27*12%,2)</f>
        <v>3240</v>
      </c>
      <c r="H27" s="302">
        <f>ROUND(IF(AX27&gt;22,0,IF(AX27=22,E27,IF(AX27&lt;22,E27*(AX27/AZ27),IF(OR(AX27=0,AX27=" ")=TRUE,0)))),2)</f>
        <v>27000</v>
      </c>
      <c r="I27" s="302">
        <f t="shared" ref="I27" si="103">ROUND(IF(AND(H27&gt;0,AX27=22)=TRUE,2000,IF(AND(H27&gt;0,AX27&lt;22,AX27&gt;0)=TRUE,2000*(AX27/AZ27),IF(AX27&lt;0,0,0))),2)</f>
        <v>2000</v>
      </c>
      <c r="J27" s="302">
        <f t="shared" ref="J27" si="104">IF(H27&gt;0,BC27-BB27,0)</f>
        <v>1100</v>
      </c>
      <c r="K27" s="302">
        <f t="shared" ref="K27" si="105">IF(AND(H27&gt;0,AX27&gt;11)=TRUE,150,0)</f>
        <v>150</v>
      </c>
      <c r="L27" s="302">
        <f>ROUND(IF(AND($H27&gt;0,AX27&gt;11)=TRUE,$AW27*$E27,0),2)</f>
        <v>6750</v>
      </c>
      <c r="M27" s="302">
        <f>ROUND(SUM(H27:L27),2)</f>
        <v>37000</v>
      </c>
      <c r="N27" s="302">
        <v>5393.67</v>
      </c>
      <c r="O27" s="302">
        <f t="shared" ref="O27:O28" si="106">E27*0.04/2</f>
        <v>540</v>
      </c>
      <c r="P27" s="303">
        <f>ROUND($H27*9%,2)</f>
        <v>2430</v>
      </c>
      <c r="Q27" s="303"/>
      <c r="R27" s="303"/>
      <c r="S27" s="303"/>
      <c r="T27" s="303"/>
      <c r="U27" s="303"/>
      <c r="V27" s="303"/>
      <c r="W27" s="303"/>
      <c r="X27" s="303"/>
      <c r="Y27" s="303"/>
      <c r="Z27" s="303">
        <f>ROUND(IF(H27&gt;0,100,0),2)</f>
        <v>100</v>
      </c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>
        <f>SUM(N27:AK27)</f>
        <v>8463.67</v>
      </c>
      <c r="AM27" s="304">
        <f>ROUND(M27-AL27,2)</f>
        <v>28536.33</v>
      </c>
      <c r="AN27" s="321"/>
      <c r="AO27" s="306"/>
      <c r="AP27" s="307"/>
      <c r="AQ27" s="308">
        <f t="shared" ref="AQ27" si="107">SUM(AO27:AP27)</f>
        <v>0</v>
      </c>
      <c r="AR27" s="213">
        <f t="shared" ref="AR27" si="108">+AM27-AQ27</f>
        <v>28536.33</v>
      </c>
      <c r="AS27" s="213"/>
      <c r="AT27" s="213"/>
      <c r="AU27" s="213">
        <f t="shared" ref="AU27" si="109">IF(E27=0,0,IF(E27&lt;=10000,137.5,IF(AND(E27&gt;10000,E27&lt;40000)=TRUE,E27*2.75%*50%,IF(E27&gt;=40000,550,0))))</f>
        <v>371.25</v>
      </c>
      <c r="AV27" s="214"/>
      <c r="AW27" s="214" t="str">
        <f>IF(AND($D27&gt;=1,$D27&lt;=19)=TRUE,"25%",IF($D27=20,"15%",IF($D27=21,"13%",IF($D27=22,"12%",IF($D27=23,"11%",IF(OR($D27=24,$D27=25)=TRUE,"10%",IF($D27=26,"9%",IF($D27=27,"8%",IF($D27=28,"7%",IF(OR($D27=29,$D27=30)=TRUE,"6%",IF($D27=31,"5%","0%")))))))))))</f>
        <v>25%</v>
      </c>
      <c r="AX27" s="215">
        <v>22</v>
      </c>
      <c r="AY27" s="213">
        <v>150</v>
      </c>
      <c r="AZ27" s="214">
        <v>22</v>
      </c>
      <c r="BA27" s="213">
        <v>50</v>
      </c>
      <c r="BB27" s="213">
        <f>IF(AX27&gt;0,(AZ27-AX27+BD27)*BA27,0)</f>
        <v>0</v>
      </c>
      <c r="BC27" s="213">
        <f>IF(AX27&gt;0,1100,0)</f>
        <v>1100</v>
      </c>
      <c r="BD27" s="215"/>
      <c r="BE27" s="216"/>
    </row>
    <row r="28" spans="1:57" s="217" customFormat="1" ht="34.5" customHeight="1" x14ac:dyDescent="0.25">
      <c r="A28" s="208" t="s">
        <v>460</v>
      </c>
      <c r="B28" s="210"/>
      <c r="C28" s="230" t="s">
        <v>407</v>
      </c>
      <c r="D28" s="200">
        <v>11</v>
      </c>
      <c r="E28" s="201">
        <v>27000</v>
      </c>
      <c r="F28" s="201">
        <f>IF(H28&gt;0,100,0)</f>
        <v>100</v>
      </c>
      <c r="G28" s="201">
        <f>+ROUND(H28*12%,2)</f>
        <v>3240</v>
      </c>
      <c r="H28" s="202">
        <f>ROUND(IF(AX28&gt;22,0,IF(AX28=22,E28,IF(AX28&lt;22,E28*(AX28/AZ28),IF(OR(AX28=0,AX28=" ")=TRUE,0)))),2)</f>
        <v>27000</v>
      </c>
      <c r="I28" s="202">
        <f>ROUND(IF(AND(H28&gt;0,AX28=22)=TRUE,2000,IF(AND(H28&gt;0,AX28&lt;22,AX28&gt;0)=TRUE,2000*(AX28/AZ28),IF(AX28&lt;0,0,0))),2)</f>
        <v>2000</v>
      </c>
      <c r="J28" s="202">
        <f>IF(H28&gt;0,BC28-BB28,0)</f>
        <v>1100</v>
      </c>
      <c r="K28" s="302">
        <f t="shared" ref="K28" si="110">IF(AND(H28&gt;0,AX28&gt;11)=TRUE,150,0)</f>
        <v>150</v>
      </c>
      <c r="L28" s="302">
        <f>ROUND(IF(AND($H28&gt;0,AX28&gt;11)=TRUE,$AW28*$E28,0),2)</f>
        <v>6750</v>
      </c>
      <c r="M28" s="202">
        <f>ROUND(SUM(H28:L28),2)</f>
        <v>37000</v>
      </c>
      <c r="N28" s="202">
        <v>4268.67</v>
      </c>
      <c r="O28" s="202">
        <f t="shared" si="106"/>
        <v>540</v>
      </c>
      <c r="P28" s="203">
        <f>ROUND($H28*9%,2)</f>
        <v>2430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>
        <f>ROUND(IF(H28&gt;0,100,0),2)</f>
        <v>100</v>
      </c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>
        <f>SUM(N28:AK28)</f>
        <v>7338.67</v>
      </c>
      <c r="AM28" s="204">
        <f>ROUND(M28-AL28,2)</f>
        <v>29661.33</v>
      </c>
      <c r="AN28" s="209"/>
      <c r="AO28" s="211"/>
      <c r="AP28" s="207"/>
      <c r="AQ28" s="212">
        <f>SUM(AO28:AP28)</f>
        <v>0</v>
      </c>
      <c r="AR28" s="213">
        <f>+AM28-AQ28</f>
        <v>29661.33</v>
      </c>
      <c r="AS28" s="213"/>
      <c r="AT28" s="213"/>
      <c r="AU28" s="213">
        <f>IF(E28=0,0,IF(E28&lt;=10000,137.5,IF(AND(E28&gt;10000,E28&lt;40000)=TRUE,E28*2.75%*50%,IF(E28&gt;=40000,550,0))))</f>
        <v>371.25</v>
      </c>
      <c r="AV28" s="214"/>
      <c r="AW28" s="214" t="str">
        <f>IF(AND($D28&gt;=1,$D28&lt;=19)=TRUE,"25%",IF($D28=20,"15%",IF($D28=21,"13%",IF($D28=22,"12%",IF($D28=23,"11%",IF(OR($D28=24,$D28=25)=TRUE,"10%",IF($D28=26,"9%",IF($D28=27,"8%",IF($D28=28,"7%",IF(OR($D28=29,$D28=30)=TRUE,"6%",IF($D28=31,"5%","0%")))))))))))</f>
        <v>25%</v>
      </c>
      <c r="AX28" s="215">
        <v>22</v>
      </c>
      <c r="AY28" s="213">
        <v>150</v>
      </c>
      <c r="AZ28" s="214">
        <v>22</v>
      </c>
      <c r="BA28" s="213">
        <v>50</v>
      </c>
      <c r="BB28" s="213">
        <f>IF(AX28&gt;0,(AZ28-AX28+BD28)*BA28,0)</f>
        <v>0</v>
      </c>
      <c r="BC28" s="213">
        <f>IF(AX28&gt;0,1100,0)</f>
        <v>1100</v>
      </c>
      <c r="BD28" s="215"/>
      <c r="BE28" s="216"/>
    </row>
    <row r="29" spans="1:57" s="361" customFormat="1" ht="29.25" customHeight="1" x14ac:dyDescent="0.25">
      <c r="A29" s="357"/>
      <c r="B29" s="358"/>
      <c r="C29" s="359" t="s">
        <v>102</v>
      </c>
      <c r="D29" s="360"/>
      <c r="E29" s="355">
        <f>ROUND(SUM(E9:E28),2)</f>
        <v>540000</v>
      </c>
      <c r="F29" s="355">
        <f t="shared" ref="F29:BD29" si="111">ROUND(SUM(F9:F28),2)</f>
        <v>2000</v>
      </c>
      <c r="G29" s="355">
        <f t="shared" si="111"/>
        <v>64800</v>
      </c>
      <c r="H29" s="355">
        <f>ROUND(SUM(H9:H28),2)</f>
        <v>540000</v>
      </c>
      <c r="I29" s="355">
        <f t="shared" si="111"/>
        <v>40000</v>
      </c>
      <c r="J29" s="355">
        <f t="shared" si="111"/>
        <v>22000</v>
      </c>
      <c r="K29" s="355">
        <f t="shared" si="111"/>
        <v>3000</v>
      </c>
      <c r="L29" s="355">
        <f t="shared" si="111"/>
        <v>135000</v>
      </c>
      <c r="M29" s="355">
        <f>ROUND(SUM(M9:M28),2)</f>
        <v>740000</v>
      </c>
      <c r="N29" s="355">
        <f t="shared" si="111"/>
        <v>104756.91</v>
      </c>
      <c r="O29" s="355">
        <f t="shared" si="111"/>
        <v>10800</v>
      </c>
      <c r="P29" s="355">
        <f t="shared" si="111"/>
        <v>48600</v>
      </c>
      <c r="Q29" s="355">
        <f t="shared" si="111"/>
        <v>0</v>
      </c>
      <c r="R29" s="355">
        <f t="shared" si="111"/>
        <v>0</v>
      </c>
      <c r="S29" s="355">
        <f t="shared" si="111"/>
        <v>0</v>
      </c>
      <c r="T29" s="355">
        <f t="shared" si="111"/>
        <v>0</v>
      </c>
      <c r="U29" s="355">
        <f t="shared" si="111"/>
        <v>0</v>
      </c>
      <c r="V29" s="355">
        <f t="shared" si="111"/>
        <v>0</v>
      </c>
      <c r="W29" s="355">
        <f t="shared" si="111"/>
        <v>0</v>
      </c>
      <c r="X29" s="355">
        <f t="shared" si="111"/>
        <v>0</v>
      </c>
      <c r="Y29" s="355">
        <f t="shared" si="111"/>
        <v>0</v>
      </c>
      <c r="Z29" s="355">
        <f t="shared" si="111"/>
        <v>2000</v>
      </c>
      <c r="AA29" s="355">
        <f t="shared" si="111"/>
        <v>0</v>
      </c>
      <c r="AB29" s="355">
        <f t="shared" si="111"/>
        <v>0</v>
      </c>
      <c r="AC29" s="355">
        <f t="shared" si="111"/>
        <v>0</v>
      </c>
      <c r="AD29" s="355">
        <f t="shared" si="111"/>
        <v>0</v>
      </c>
      <c r="AE29" s="355">
        <f t="shared" si="111"/>
        <v>0</v>
      </c>
      <c r="AF29" s="355">
        <f t="shared" si="111"/>
        <v>0</v>
      </c>
      <c r="AG29" s="355">
        <f t="shared" si="111"/>
        <v>0</v>
      </c>
      <c r="AH29" s="355">
        <f t="shared" si="111"/>
        <v>0</v>
      </c>
      <c r="AI29" s="355">
        <f t="shared" si="111"/>
        <v>0</v>
      </c>
      <c r="AJ29" s="355">
        <f t="shared" si="111"/>
        <v>0</v>
      </c>
      <c r="AK29" s="355">
        <f t="shared" si="111"/>
        <v>0</v>
      </c>
      <c r="AL29" s="355">
        <f t="shared" si="111"/>
        <v>166156.91</v>
      </c>
      <c r="AM29" s="355">
        <f t="shared" si="111"/>
        <v>573843.09</v>
      </c>
      <c r="AN29" s="608">
        <f t="shared" si="111"/>
        <v>0</v>
      </c>
      <c r="AO29" s="605">
        <f t="shared" si="111"/>
        <v>0</v>
      </c>
      <c r="AP29" s="355">
        <f t="shared" si="111"/>
        <v>0</v>
      </c>
      <c r="AQ29" s="355">
        <f t="shared" si="111"/>
        <v>0</v>
      </c>
      <c r="AR29" s="355">
        <f t="shared" si="111"/>
        <v>573843.09</v>
      </c>
      <c r="AS29" s="355">
        <f t="shared" si="111"/>
        <v>0</v>
      </c>
      <c r="AT29" s="355">
        <f t="shared" si="111"/>
        <v>0</v>
      </c>
      <c r="AU29" s="355">
        <f t="shared" si="111"/>
        <v>7425</v>
      </c>
      <c r="AV29" s="355">
        <f t="shared" si="111"/>
        <v>0</v>
      </c>
      <c r="AW29" s="355">
        <f t="shared" si="111"/>
        <v>0</v>
      </c>
      <c r="AX29" s="355">
        <f t="shared" si="111"/>
        <v>440</v>
      </c>
      <c r="AY29" s="355">
        <f t="shared" si="111"/>
        <v>3000</v>
      </c>
      <c r="AZ29" s="355">
        <f t="shared" si="111"/>
        <v>440</v>
      </c>
      <c r="BA29" s="355">
        <f t="shared" si="111"/>
        <v>1000</v>
      </c>
      <c r="BB29" s="355">
        <f t="shared" si="111"/>
        <v>0</v>
      </c>
      <c r="BC29" s="355">
        <f t="shared" si="111"/>
        <v>22000</v>
      </c>
      <c r="BD29" s="355">
        <f t="shared" si="111"/>
        <v>0</v>
      </c>
      <c r="BE29" s="355">
        <f>ROUND(SUM(BE9:BE26),2)</f>
        <v>0</v>
      </c>
    </row>
    <row r="30" spans="1:57" s="217" customFormat="1" ht="36.75" customHeight="1" x14ac:dyDescent="0.25">
      <c r="A30" s="324">
        <v>21</v>
      </c>
      <c r="B30" s="210"/>
      <c r="C30" s="247" t="s">
        <v>426</v>
      </c>
      <c r="D30" s="200">
        <v>11</v>
      </c>
      <c r="E30" s="201">
        <v>27000</v>
      </c>
      <c r="F30" s="201">
        <f>IF(H30&gt;0,100,0)</f>
        <v>100</v>
      </c>
      <c r="G30" s="201">
        <f>+ROUND(H30*12%,2)</f>
        <v>3240</v>
      </c>
      <c r="H30" s="202">
        <f>ROUND(IF(AX30&gt;22,0,IF(AX30=22,E30,IF(AX30&lt;22,E30*(AX30/AZ30),IF(OR(AX30=0,AX30=" ")=TRUE,0)))),2)</f>
        <v>27000</v>
      </c>
      <c r="I30" s="202">
        <f>ROUND(IF(AND(H30&gt;0,AX30=22)=TRUE,2000,IF(AND(H30&gt;0,AX30&lt;22,AX30&gt;0)=TRUE,2000*(AX30/AZ30),IF(AX30&lt;0,0,0))),2)</f>
        <v>2000</v>
      </c>
      <c r="J30" s="202">
        <f>IF(H30&gt;0,BC30-BB30,0)</f>
        <v>1100</v>
      </c>
      <c r="K30" s="202">
        <f>IF(AND(H30&gt;0,AX30&gt;11)=TRUE,150,0)</f>
        <v>150</v>
      </c>
      <c r="L30" s="202">
        <f>ROUND(IF(AND($H30&gt;0,AX30&gt;11)=TRUE,$AW30*$E30,0),2)</f>
        <v>6750</v>
      </c>
      <c r="M30" s="202">
        <f>ROUND(SUM(H30:L30),2)</f>
        <v>37000</v>
      </c>
      <c r="N30" s="202"/>
      <c r="O30" s="202">
        <f t="shared" si="11"/>
        <v>540</v>
      </c>
      <c r="P30" s="203">
        <f>ROUND($H30*9%,2)</f>
        <v>2430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>
        <f t="shared" ref="Z30:Z31" si="112">ROUND(IF(H30&gt;0,100,0),2)</f>
        <v>100</v>
      </c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>
        <f>SUM(N30:AK30)</f>
        <v>3070</v>
      </c>
      <c r="AM30" s="204">
        <f>ROUND(M30-AL30,2)</f>
        <v>33930</v>
      </c>
      <c r="AN30" s="209"/>
      <c r="AO30" s="211"/>
      <c r="AP30" s="207"/>
      <c r="AQ30" s="212">
        <f>SUM(AO30:AP30)</f>
        <v>0</v>
      </c>
      <c r="AR30" s="213">
        <f>+AM30-AQ30</f>
        <v>33930</v>
      </c>
      <c r="AS30" s="213"/>
      <c r="AT30" s="213"/>
      <c r="AU30" s="213">
        <f>IF(E30=0,0,IF(E30&lt;=10000,137.5,IF(AND(E30&gt;10000,E30&lt;40000)=TRUE,E30*2.75%*50%,IF(E30&gt;=40000,550,0))))</f>
        <v>371.25</v>
      </c>
      <c r="AV30" s="214"/>
      <c r="AW30" s="214" t="str">
        <f>IF(AND($D30&gt;=1,$D30&lt;=19)=TRUE,"25%",IF($D30=20,"15%",IF($D30=21,"13%",IF($D30=22,"12%",IF($D30=23,"11%",IF(OR($D30=24,$D30=25)=TRUE,"10%",IF($D30=26,"9%",IF($D30=27,"8%",IF($D30=28,"7%",IF(OR($D30=29,$D30=30)=TRUE,"6%",IF($D30=31,"5%","0%")))))))))))</f>
        <v>25%</v>
      </c>
      <c r="AX30" s="215">
        <v>22</v>
      </c>
      <c r="AY30" s="213">
        <v>150</v>
      </c>
      <c r="AZ30" s="214">
        <v>22</v>
      </c>
      <c r="BA30" s="213">
        <v>50</v>
      </c>
      <c r="BB30" s="213">
        <f>IF(AX30&gt;0,(AZ30-AX30+BD30)*BA30,0)</f>
        <v>0</v>
      </c>
      <c r="BC30" s="213">
        <f>IF(AX30&gt;0,1100,0)</f>
        <v>1100</v>
      </c>
      <c r="BD30" s="215"/>
    </row>
    <row r="31" spans="1:57" s="217" customFormat="1" ht="36.75" customHeight="1" x14ac:dyDescent="0.25">
      <c r="A31" s="324">
        <v>22</v>
      </c>
      <c r="B31" s="210"/>
      <c r="C31" s="246" t="s">
        <v>215</v>
      </c>
      <c r="D31" s="200">
        <v>11</v>
      </c>
      <c r="E31" s="201">
        <v>27000</v>
      </c>
      <c r="F31" s="201">
        <f>IF(H31&gt;0,100,0)</f>
        <v>100</v>
      </c>
      <c r="G31" s="201">
        <f>+ROUND(H31*12%,2)</f>
        <v>3240</v>
      </c>
      <c r="H31" s="202">
        <f>ROUND(IF(AX31&gt;22,0,IF(AX31=22,E31,IF(AX31&lt;22,E31*(AX31/AZ31),IF(OR(AX31=0,AX31=" ")=TRUE,0)))),2)</f>
        <v>27000</v>
      </c>
      <c r="I31" s="202">
        <f>ROUND(IF(AND(H31&gt;0,AX31=22)=TRUE,2000,IF(AND(H31&gt;0,AX31&lt;22,AX31&gt;0)=TRUE,2000*(AX31/AZ31),IF(AX31&lt;0,0,0))),2)</f>
        <v>2000</v>
      </c>
      <c r="J31" s="202">
        <f>IF(H31&gt;0,BC31-BB31,0)</f>
        <v>1100</v>
      </c>
      <c r="K31" s="202">
        <f>IF(AND(H31&gt;0,AX31&gt;11)=TRUE,150,0)</f>
        <v>150</v>
      </c>
      <c r="L31" s="202">
        <f>ROUND(IF(AND($H31&gt;0,AX31&gt;11)=TRUE,$AW31*$E31,0),2)</f>
        <v>6750</v>
      </c>
      <c r="M31" s="202">
        <f>ROUND(SUM(H31:L31),2)</f>
        <v>37000</v>
      </c>
      <c r="N31" s="202">
        <v>5393.67</v>
      </c>
      <c r="O31" s="202">
        <f t="shared" si="11"/>
        <v>540</v>
      </c>
      <c r="P31" s="203">
        <f>ROUND($H31*9%,2)</f>
        <v>2430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>
        <f t="shared" si="112"/>
        <v>100</v>
      </c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>
        <f>SUM(N31:AK31)</f>
        <v>8463.67</v>
      </c>
      <c r="AM31" s="204">
        <f>ROUND(M31-AL31,2)</f>
        <v>28536.33</v>
      </c>
      <c r="AN31" s="209"/>
      <c r="AO31" s="211"/>
      <c r="AP31" s="207"/>
      <c r="AQ31" s="212">
        <f>SUM(AO31:AP31)</f>
        <v>0</v>
      </c>
      <c r="AR31" s="213">
        <f>+AM31-AQ31</f>
        <v>28536.33</v>
      </c>
      <c r="AS31" s="213"/>
      <c r="AT31" s="213"/>
      <c r="AU31" s="213">
        <f>IF(E31=0,0,IF(E31&lt;=10000,137.5,IF(AND(E31&gt;10000,E31&lt;40000)=TRUE,E31*2.75%*50%,IF(E31&gt;=40000,550,0))))</f>
        <v>371.25</v>
      </c>
      <c r="AV31" s="214"/>
      <c r="AW31" s="214" t="str">
        <f>IF(AND($D31&gt;=1,$D31&lt;=19)=TRUE,"25%",IF($D31=20,"15%",IF($D31=21,"13%",IF($D31=22,"12%",IF($D31=23,"11%",IF(OR($D31=24,$D31=25)=TRUE,"10%",IF($D31=26,"9%",IF($D31=27,"8%",IF($D31=28,"7%",IF(OR($D31=29,$D31=30)=TRUE,"6%",IF($D31=31,"5%","0%")))))))))))</f>
        <v>25%</v>
      </c>
      <c r="AX31" s="215">
        <v>22</v>
      </c>
      <c r="AY31" s="213">
        <v>150</v>
      </c>
      <c r="AZ31" s="214">
        <v>22</v>
      </c>
      <c r="BA31" s="213">
        <v>50</v>
      </c>
      <c r="BB31" s="213">
        <f>IF(AX31&gt;0,(AZ31-AX31+BD31)*BA31,0)</f>
        <v>0</v>
      </c>
      <c r="BC31" s="213">
        <f>IF(AX31&gt;0,1100,0)</f>
        <v>1100</v>
      </c>
      <c r="BD31" s="215"/>
    </row>
    <row r="32" spans="1:57" s="217" customFormat="1" ht="36.75" customHeight="1" x14ac:dyDescent="0.25">
      <c r="A32" s="324">
        <v>23</v>
      </c>
      <c r="B32" s="210"/>
      <c r="C32" s="246" t="s">
        <v>427</v>
      </c>
      <c r="D32" s="200">
        <v>11</v>
      </c>
      <c r="E32" s="201">
        <v>27000</v>
      </c>
      <c r="F32" s="201">
        <f>IF(H32&gt;0,100,0)</f>
        <v>100</v>
      </c>
      <c r="G32" s="201">
        <f>+ROUND(H32*12%,2)</f>
        <v>3240</v>
      </c>
      <c r="H32" s="202">
        <f>ROUND(IF(AX32&gt;22,0,IF(AX32=22,E32,IF(AX32&lt;22,E32*(AX32/AZ32),IF(OR(AX32=0,AX32=" ")=TRUE,0)))),2)</f>
        <v>27000</v>
      </c>
      <c r="I32" s="202">
        <f>ROUND(IF(AND(H32&gt;0,AX32=22)=TRUE,2000,IF(AND(H32&gt;0,AX32&lt;22,AX32&gt;0)=TRUE,2000*(AX32/AZ32),IF(AX32&lt;0,0,0))),2)</f>
        <v>2000</v>
      </c>
      <c r="J32" s="202">
        <f>IF(H32&gt;0,BC32-BB32,0)</f>
        <v>1100</v>
      </c>
      <c r="K32" s="202">
        <f>IF(AND(H32&gt;0,AX32&gt;11)=TRUE,150,0)</f>
        <v>150</v>
      </c>
      <c r="L32" s="202">
        <f>ROUND(IF(AND($H32&gt;0,AX32&gt;11)=TRUE,$AW32*$E32,0),2)</f>
        <v>6750</v>
      </c>
      <c r="M32" s="202">
        <f>ROUND(SUM(H32:L32),2)</f>
        <v>37000</v>
      </c>
      <c r="N32" s="202">
        <v>4048.83</v>
      </c>
      <c r="O32" s="202">
        <f t="shared" ref="O32" si="113">E32*0.04/2</f>
        <v>540</v>
      </c>
      <c r="P32" s="203">
        <f>ROUND($H32*9%,2)</f>
        <v>2430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>
        <f t="shared" ref="Z32" si="114">ROUND(IF(H32&gt;0,100,0),2)</f>
        <v>100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>
        <f>SUM(N32:AK32)</f>
        <v>7118.83</v>
      </c>
      <c r="AM32" s="204">
        <f>ROUND(M32-AL32,2)</f>
        <v>29881.17</v>
      </c>
      <c r="AN32" s="325"/>
      <c r="AO32" s="211"/>
      <c r="AP32" s="207"/>
      <c r="AQ32" s="212">
        <f>SUM(AO32:AP32)</f>
        <v>0</v>
      </c>
      <c r="AR32" s="213">
        <f>+AM32-AQ32</f>
        <v>29881.17</v>
      </c>
      <c r="AS32" s="213"/>
      <c r="AT32" s="213"/>
      <c r="AU32" s="213">
        <f>IF(E32=0,0,IF(E32&lt;=10000,137.5,IF(AND(E32&gt;10000,E32&lt;40000)=TRUE,E32*2.75%*50%,IF(E32&gt;=40000,550,0))))</f>
        <v>371.25</v>
      </c>
      <c r="AV32" s="214"/>
      <c r="AW32" s="214" t="str">
        <f>IF(AND($D32&gt;=1,$D32&lt;=19)=TRUE,"25%",IF($D32=20,"15%",IF($D32=21,"13%",IF($D32=22,"12%",IF($D32=23,"11%",IF(OR($D32=24,$D32=25)=TRUE,"10%",IF($D32=26,"9%",IF($D32=27,"8%",IF($D32=28,"7%",IF(OR($D32=29,$D32=30)=TRUE,"6%",IF($D32=31,"5%","0%")))))))))))</f>
        <v>25%</v>
      </c>
      <c r="AX32" s="215">
        <v>22</v>
      </c>
      <c r="AY32" s="213">
        <v>150</v>
      </c>
      <c r="AZ32" s="214">
        <v>22</v>
      </c>
      <c r="BA32" s="213">
        <v>50</v>
      </c>
      <c r="BB32" s="213">
        <f>IF(AX32&gt;0,(AZ32-AX32+BD32)*BA32,0)</f>
        <v>0</v>
      </c>
      <c r="BC32" s="213">
        <f>IF(AX32&gt;0,1100,0)</f>
        <v>1100</v>
      </c>
      <c r="BD32" s="215"/>
    </row>
    <row r="33" spans="1:57" s="217" customFormat="1" ht="36.75" customHeight="1" x14ac:dyDescent="0.25">
      <c r="A33" s="324">
        <v>24</v>
      </c>
      <c r="B33" s="210"/>
      <c r="C33" s="246" t="s">
        <v>461</v>
      </c>
      <c r="D33" s="200">
        <v>11</v>
      </c>
      <c r="E33" s="201">
        <v>27000</v>
      </c>
      <c r="F33" s="201">
        <f>IF(H33&gt;0,100,0)</f>
        <v>100</v>
      </c>
      <c r="G33" s="201">
        <f>+ROUND(H33*12%,2)</f>
        <v>3240</v>
      </c>
      <c r="H33" s="202">
        <f>ROUND(IF(AX33&gt;22,0,IF(AX33=22,E33,IF(AX33&lt;22,E33*(AX33/AZ33),IF(OR(AX33=0,AX33=" ")=TRUE,0)))),2)</f>
        <v>27000</v>
      </c>
      <c r="I33" s="202">
        <f>ROUND(IF(AND(H33&gt;0,AX33=22)=TRUE,2000,IF(AND(H33&gt;0,AX33&lt;22,AX33&gt;0)=TRUE,2000*(AX33/AZ33),IF(AX33&lt;0,0,0))),2)</f>
        <v>2000</v>
      </c>
      <c r="J33" s="202">
        <f>IF(H33&gt;0,BC33-BB33,0)</f>
        <v>1100</v>
      </c>
      <c r="K33" s="202">
        <f>IF(AND(H33&gt;0,AX33&gt;11)=TRUE,150,0)</f>
        <v>150</v>
      </c>
      <c r="L33" s="202">
        <f>ROUND(IF(AND($H33&gt;0,AX33&gt;11)=TRUE,$AW33*$E33,0),2)</f>
        <v>6750</v>
      </c>
      <c r="M33" s="202">
        <f>ROUND(SUM(H33:L33),2)</f>
        <v>37000</v>
      </c>
      <c r="N33" s="202">
        <v>1914.75</v>
      </c>
      <c r="O33" s="202">
        <f t="shared" ref="O33" si="115">E33*0.04/2</f>
        <v>540</v>
      </c>
      <c r="P33" s="203">
        <f>ROUND($H33*9%,2)</f>
        <v>2430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>
        <f t="shared" ref="Z33" si="116">ROUND(IF(H33&gt;0,100,0),2)</f>
        <v>100</v>
      </c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>
        <f>SUM(N33:AK33)</f>
        <v>4984.75</v>
      </c>
      <c r="AM33" s="204">
        <f>ROUND(M33-AL33,2)</f>
        <v>32015.25</v>
      </c>
      <c r="AN33" s="337"/>
      <c r="AO33" s="211"/>
      <c r="AP33" s="207"/>
      <c r="AQ33" s="212">
        <f>SUM(AO33:AP33)</f>
        <v>0</v>
      </c>
      <c r="AR33" s="213">
        <f>+AM33-AQ33</f>
        <v>32015.25</v>
      </c>
      <c r="AS33" s="213"/>
      <c r="AT33" s="213"/>
      <c r="AU33" s="213">
        <f>IF(E33=0,0,IF(E33&lt;=10000,137.5,IF(AND(E33&gt;10000,E33&lt;40000)=TRUE,E33*2.75%*50%,IF(E33&gt;=40000,550,0))))</f>
        <v>371.25</v>
      </c>
      <c r="AV33" s="214"/>
      <c r="AW33" s="214" t="str">
        <f>IF(AND($D33&gt;=1,$D33&lt;=19)=TRUE,"25%",IF($D33=20,"15%",IF($D33=21,"13%",IF($D33=22,"12%",IF($D33=23,"11%",IF(OR($D33=24,$D33=25)=TRUE,"10%",IF($D33=26,"9%",IF($D33=27,"8%",IF($D33=28,"7%",IF(OR($D33=29,$D33=30)=TRUE,"6%",IF($D33=31,"5%","0%")))))))))))</f>
        <v>25%</v>
      </c>
      <c r="AX33" s="215">
        <v>22</v>
      </c>
      <c r="AY33" s="213">
        <v>150</v>
      </c>
      <c r="AZ33" s="214">
        <v>22</v>
      </c>
      <c r="BA33" s="213">
        <v>50</v>
      </c>
      <c r="BB33" s="213">
        <f>IF(AX33&gt;0,(AZ33-AX33+BD33)*BA33,0)</f>
        <v>0</v>
      </c>
      <c r="BC33" s="213">
        <f>IF(AX33&gt;0,1100,0)</f>
        <v>1100</v>
      </c>
      <c r="BD33" s="215"/>
    </row>
    <row r="34" spans="1:57" s="356" customFormat="1" ht="34.5" customHeight="1" x14ac:dyDescent="0.25">
      <c r="A34" s="362"/>
      <c r="B34" s="363"/>
      <c r="C34" s="359" t="s">
        <v>193</v>
      </c>
      <c r="D34" s="360"/>
      <c r="E34" s="355">
        <f>ROUND(SUM(E30:E33),2)</f>
        <v>108000</v>
      </c>
      <c r="F34" s="355">
        <f t="shared" ref="F34:BD34" si="117">ROUND(SUM(F30:F33),2)</f>
        <v>400</v>
      </c>
      <c r="G34" s="355">
        <f t="shared" si="117"/>
        <v>12960</v>
      </c>
      <c r="H34" s="355">
        <f>ROUND(SUM(H30:H33),2)</f>
        <v>108000</v>
      </c>
      <c r="I34" s="355">
        <f t="shared" si="117"/>
        <v>8000</v>
      </c>
      <c r="J34" s="355">
        <f t="shared" si="117"/>
        <v>4400</v>
      </c>
      <c r="K34" s="355">
        <f t="shared" si="117"/>
        <v>600</v>
      </c>
      <c r="L34" s="355">
        <f t="shared" si="117"/>
        <v>27000</v>
      </c>
      <c r="M34" s="355">
        <f>ROUND(SUM(M30:M33),2)</f>
        <v>148000</v>
      </c>
      <c r="N34" s="355">
        <f t="shared" si="117"/>
        <v>11357.25</v>
      </c>
      <c r="O34" s="355">
        <f t="shared" si="117"/>
        <v>2160</v>
      </c>
      <c r="P34" s="355">
        <f t="shared" si="117"/>
        <v>9720</v>
      </c>
      <c r="Q34" s="355">
        <f t="shared" si="117"/>
        <v>0</v>
      </c>
      <c r="R34" s="355">
        <f t="shared" si="117"/>
        <v>0</v>
      </c>
      <c r="S34" s="355">
        <f t="shared" si="117"/>
        <v>0</v>
      </c>
      <c r="T34" s="355">
        <f t="shared" si="117"/>
        <v>0</v>
      </c>
      <c r="U34" s="355">
        <f t="shared" si="117"/>
        <v>0</v>
      </c>
      <c r="V34" s="355">
        <f t="shared" si="117"/>
        <v>0</v>
      </c>
      <c r="W34" s="355">
        <f t="shared" si="117"/>
        <v>0</v>
      </c>
      <c r="X34" s="355">
        <f t="shared" si="117"/>
        <v>0</v>
      </c>
      <c r="Y34" s="355">
        <f t="shared" si="117"/>
        <v>0</v>
      </c>
      <c r="Z34" s="355">
        <f t="shared" si="117"/>
        <v>400</v>
      </c>
      <c r="AA34" s="355">
        <f t="shared" si="117"/>
        <v>0</v>
      </c>
      <c r="AB34" s="355">
        <f t="shared" si="117"/>
        <v>0</v>
      </c>
      <c r="AC34" s="355">
        <f t="shared" si="117"/>
        <v>0</v>
      </c>
      <c r="AD34" s="355">
        <f t="shared" si="117"/>
        <v>0</v>
      </c>
      <c r="AE34" s="355">
        <f t="shared" si="117"/>
        <v>0</v>
      </c>
      <c r="AF34" s="355">
        <f t="shared" si="117"/>
        <v>0</v>
      </c>
      <c r="AG34" s="355">
        <f t="shared" si="117"/>
        <v>0</v>
      </c>
      <c r="AH34" s="355">
        <f t="shared" si="117"/>
        <v>0</v>
      </c>
      <c r="AI34" s="355">
        <f t="shared" si="117"/>
        <v>0</v>
      </c>
      <c r="AJ34" s="355">
        <f t="shared" si="117"/>
        <v>0</v>
      </c>
      <c r="AK34" s="355">
        <f t="shared" si="117"/>
        <v>0</v>
      </c>
      <c r="AL34" s="355">
        <f t="shared" si="117"/>
        <v>23637.25</v>
      </c>
      <c r="AM34" s="355">
        <f>ROUND(SUM(AM30:AM33),2)</f>
        <v>124362.75</v>
      </c>
      <c r="AN34" s="608">
        <f t="shared" si="117"/>
        <v>0</v>
      </c>
      <c r="AO34" s="605">
        <f t="shared" si="117"/>
        <v>0</v>
      </c>
      <c r="AP34" s="355">
        <f t="shared" si="117"/>
        <v>0</v>
      </c>
      <c r="AQ34" s="355">
        <f t="shared" si="117"/>
        <v>0</v>
      </c>
      <c r="AR34" s="355">
        <f t="shared" si="117"/>
        <v>124362.75</v>
      </c>
      <c r="AS34" s="355">
        <f t="shared" si="117"/>
        <v>0</v>
      </c>
      <c r="AT34" s="355">
        <f t="shared" si="117"/>
        <v>0</v>
      </c>
      <c r="AU34" s="355">
        <f t="shared" si="117"/>
        <v>1485</v>
      </c>
      <c r="AV34" s="355">
        <f t="shared" si="117"/>
        <v>0</v>
      </c>
      <c r="AW34" s="355">
        <f t="shared" si="117"/>
        <v>0</v>
      </c>
      <c r="AX34" s="355">
        <f t="shared" si="117"/>
        <v>88</v>
      </c>
      <c r="AY34" s="355">
        <f t="shared" si="117"/>
        <v>600</v>
      </c>
      <c r="AZ34" s="355">
        <f t="shared" si="117"/>
        <v>88</v>
      </c>
      <c r="BA34" s="355">
        <f t="shared" si="117"/>
        <v>200</v>
      </c>
      <c r="BB34" s="355">
        <f t="shared" si="117"/>
        <v>0</v>
      </c>
      <c r="BC34" s="355">
        <f t="shared" si="117"/>
        <v>4400</v>
      </c>
      <c r="BD34" s="355">
        <f t="shared" si="117"/>
        <v>0</v>
      </c>
      <c r="BE34" s="355">
        <f>ROUND(SUM(BE27:BE32),2)</f>
        <v>0</v>
      </c>
    </row>
    <row r="35" spans="1:57" s="356" customFormat="1" ht="39.75" customHeight="1" x14ac:dyDescent="0.25">
      <c r="A35" s="364"/>
      <c r="B35" s="358"/>
      <c r="C35" s="359" t="s">
        <v>103</v>
      </c>
      <c r="D35" s="360"/>
      <c r="E35" s="355">
        <f>ROUND(SUM(E29,E34),2)</f>
        <v>648000</v>
      </c>
      <c r="F35" s="355">
        <f t="shared" ref="F35:BD35" si="118">ROUND(SUM(F29,F34),2)</f>
        <v>2400</v>
      </c>
      <c r="G35" s="355">
        <f t="shared" si="118"/>
        <v>77760</v>
      </c>
      <c r="H35" s="355">
        <f>ROUND(SUM(H29,H34),2)</f>
        <v>648000</v>
      </c>
      <c r="I35" s="355">
        <f t="shared" si="118"/>
        <v>48000</v>
      </c>
      <c r="J35" s="355">
        <f t="shared" si="118"/>
        <v>26400</v>
      </c>
      <c r="K35" s="355">
        <f t="shared" si="118"/>
        <v>3600</v>
      </c>
      <c r="L35" s="355">
        <f t="shared" si="118"/>
        <v>162000</v>
      </c>
      <c r="M35" s="355">
        <f>ROUND(SUM(M29,M34),2)</f>
        <v>888000</v>
      </c>
      <c r="N35" s="355">
        <f t="shared" si="118"/>
        <v>116114.16</v>
      </c>
      <c r="O35" s="355">
        <f t="shared" si="118"/>
        <v>12960</v>
      </c>
      <c r="P35" s="355">
        <f t="shared" si="118"/>
        <v>58320</v>
      </c>
      <c r="Q35" s="355">
        <f t="shared" si="118"/>
        <v>0</v>
      </c>
      <c r="R35" s="355">
        <f t="shared" si="118"/>
        <v>0</v>
      </c>
      <c r="S35" s="355">
        <f t="shared" si="118"/>
        <v>0</v>
      </c>
      <c r="T35" s="355">
        <f t="shared" si="118"/>
        <v>0</v>
      </c>
      <c r="U35" s="355">
        <f t="shared" si="118"/>
        <v>0</v>
      </c>
      <c r="V35" s="355">
        <f t="shared" si="118"/>
        <v>0</v>
      </c>
      <c r="W35" s="355">
        <f t="shared" si="118"/>
        <v>0</v>
      </c>
      <c r="X35" s="355">
        <f t="shared" si="118"/>
        <v>0</v>
      </c>
      <c r="Y35" s="355">
        <f t="shared" si="118"/>
        <v>0</v>
      </c>
      <c r="Z35" s="355">
        <f t="shared" si="118"/>
        <v>2400</v>
      </c>
      <c r="AA35" s="355">
        <f t="shared" si="118"/>
        <v>0</v>
      </c>
      <c r="AB35" s="355">
        <f t="shared" si="118"/>
        <v>0</v>
      </c>
      <c r="AC35" s="355">
        <f t="shared" si="118"/>
        <v>0</v>
      </c>
      <c r="AD35" s="355">
        <f t="shared" si="118"/>
        <v>0</v>
      </c>
      <c r="AE35" s="355">
        <f t="shared" si="118"/>
        <v>0</v>
      </c>
      <c r="AF35" s="355">
        <f t="shared" si="118"/>
        <v>0</v>
      </c>
      <c r="AG35" s="355">
        <f t="shared" si="118"/>
        <v>0</v>
      </c>
      <c r="AH35" s="355">
        <f t="shared" si="118"/>
        <v>0</v>
      </c>
      <c r="AI35" s="355">
        <f t="shared" si="118"/>
        <v>0</v>
      </c>
      <c r="AJ35" s="355">
        <f t="shared" si="118"/>
        <v>0</v>
      </c>
      <c r="AK35" s="355">
        <f t="shared" si="118"/>
        <v>0</v>
      </c>
      <c r="AL35" s="355">
        <f t="shared" si="118"/>
        <v>189794.16</v>
      </c>
      <c r="AM35" s="355">
        <f t="shared" si="118"/>
        <v>698205.84</v>
      </c>
      <c r="AN35" s="608">
        <f t="shared" si="118"/>
        <v>0</v>
      </c>
      <c r="AO35" s="605">
        <f t="shared" si="118"/>
        <v>0</v>
      </c>
      <c r="AP35" s="355">
        <f t="shared" si="118"/>
        <v>0</v>
      </c>
      <c r="AQ35" s="355">
        <f t="shared" si="118"/>
        <v>0</v>
      </c>
      <c r="AR35" s="355">
        <f t="shared" si="118"/>
        <v>698205.84</v>
      </c>
      <c r="AS35" s="355">
        <f t="shared" si="118"/>
        <v>0</v>
      </c>
      <c r="AT35" s="355">
        <f t="shared" si="118"/>
        <v>0</v>
      </c>
      <c r="AU35" s="355">
        <f t="shared" si="118"/>
        <v>8910</v>
      </c>
      <c r="AV35" s="355">
        <f t="shared" si="118"/>
        <v>0</v>
      </c>
      <c r="AW35" s="355">
        <f t="shared" si="118"/>
        <v>0</v>
      </c>
      <c r="AX35" s="355">
        <f t="shared" si="118"/>
        <v>528</v>
      </c>
      <c r="AY35" s="355">
        <f t="shared" si="118"/>
        <v>3600</v>
      </c>
      <c r="AZ35" s="355">
        <f t="shared" si="118"/>
        <v>528</v>
      </c>
      <c r="BA35" s="355">
        <f t="shared" si="118"/>
        <v>1200</v>
      </c>
      <c r="BB35" s="355">
        <f t="shared" si="118"/>
        <v>0</v>
      </c>
      <c r="BC35" s="355">
        <f t="shared" si="118"/>
        <v>26400</v>
      </c>
      <c r="BD35" s="355">
        <f t="shared" si="118"/>
        <v>0</v>
      </c>
      <c r="BE35" s="355">
        <f>ROUND(SUM(BE25,BE34),2)</f>
        <v>0</v>
      </c>
    </row>
    <row r="36" spans="1:57" ht="28.5" customHeight="1" x14ac:dyDescent="0.2">
      <c r="A36" s="235" t="s">
        <v>111</v>
      </c>
      <c r="B36" s="236"/>
      <c r="D36" s="1"/>
      <c r="I36" s="110"/>
      <c r="J36" s="111" t="s">
        <v>112</v>
      </c>
      <c r="AL36" s="5"/>
      <c r="AM36" s="5"/>
      <c r="AN36" s="127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7" ht="18.75" customHeight="1" x14ac:dyDescent="0.2">
      <c r="A37" s="205"/>
      <c r="I37" s="110"/>
      <c r="J37" s="111" t="s">
        <v>113</v>
      </c>
      <c r="AL37" s="5"/>
      <c r="AM37" s="5"/>
      <c r="AN37" s="127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7" x14ac:dyDescent="0.2">
      <c r="A38" s="205"/>
      <c r="I38" s="110"/>
      <c r="J38" s="111"/>
      <c r="AL38" s="5"/>
      <c r="AM38" s="5"/>
      <c r="AN38" s="127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7" ht="21.75" customHeight="1" x14ac:dyDescent="0.2">
      <c r="A39" s="205"/>
      <c r="I39" s="110"/>
      <c r="J39" s="111"/>
      <c r="X39" s="1"/>
      <c r="AL39" s="1"/>
      <c r="AM39" s="1"/>
      <c r="AN39" s="110"/>
      <c r="AO39" s="1"/>
      <c r="AP39" s="6">
        <v>432005</v>
      </c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  <row r="40" spans="1:57" x14ac:dyDescent="0.2">
      <c r="A40" s="548" t="s">
        <v>114</v>
      </c>
      <c r="B40" s="549"/>
      <c r="C40" s="549"/>
      <c r="D40" s="549"/>
      <c r="E40" s="549"/>
      <c r="F40" s="549"/>
      <c r="I40" s="110"/>
      <c r="J40" s="525" t="s">
        <v>416</v>
      </c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06"/>
      <c r="AB40" s="606"/>
      <c r="AC40" s="606"/>
      <c r="AD40" s="606"/>
      <c r="AE40" s="606"/>
      <c r="AF40" s="606"/>
      <c r="AG40" s="606"/>
      <c r="AH40" s="606"/>
      <c r="AI40" s="606"/>
      <c r="AJ40" s="606"/>
      <c r="AK40" s="606"/>
      <c r="AL40" s="606"/>
      <c r="AM40" s="606"/>
      <c r="AN40" s="536"/>
      <c r="AO40" s="1"/>
      <c r="AP40" s="6"/>
      <c r="AQ40" s="6"/>
      <c r="AR40" s="6"/>
      <c r="AS40" s="4"/>
      <c r="AT40" s="1"/>
      <c r="AU40" s="4"/>
      <c r="AV40" s="6"/>
      <c r="AW40" s="4"/>
      <c r="AX40" s="1"/>
      <c r="AY40" s="1"/>
      <c r="AZ40" s="6"/>
      <c r="BC40" s="1"/>
    </row>
    <row r="41" spans="1:57" x14ac:dyDescent="0.2">
      <c r="A41" s="534" t="s">
        <v>190</v>
      </c>
      <c r="B41" s="535"/>
      <c r="C41" s="535"/>
      <c r="D41" s="535"/>
      <c r="E41" s="535"/>
      <c r="F41" s="535"/>
      <c r="I41" s="110"/>
      <c r="J41" s="545" t="s">
        <v>234</v>
      </c>
      <c r="K41" s="607"/>
      <c r="L41" s="607"/>
      <c r="M41" s="607"/>
      <c r="N41" s="607"/>
      <c r="O41" s="607"/>
      <c r="P41" s="607"/>
      <c r="Q41" s="607"/>
      <c r="R41" s="607"/>
      <c r="S41" s="607"/>
      <c r="T41" s="607"/>
      <c r="U41" s="607"/>
      <c r="V41" s="607"/>
      <c r="W41" s="607"/>
      <c r="X41" s="607"/>
      <c r="Y41" s="607"/>
      <c r="Z41" s="607"/>
      <c r="AA41" s="607"/>
      <c r="AB41" s="607"/>
      <c r="AC41" s="607"/>
      <c r="AD41" s="607"/>
      <c r="AE41" s="607"/>
      <c r="AF41" s="607"/>
      <c r="AG41" s="607"/>
      <c r="AH41" s="607"/>
      <c r="AI41" s="607"/>
      <c r="AJ41" s="607"/>
      <c r="AK41" s="607"/>
      <c r="AL41" s="607"/>
      <c r="AM41" s="607"/>
      <c r="AN41" s="547"/>
      <c r="AO41" s="1"/>
      <c r="AP41" s="6"/>
      <c r="AQ41" s="6"/>
      <c r="AR41" s="6"/>
      <c r="AS41" s="4"/>
      <c r="AT41" s="1"/>
      <c r="AU41" s="4"/>
      <c r="AV41" s="6"/>
      <c r="AW41" s="4"/>
      <c r="AX41" s="1"/>
      <c r="AY41" s="1"/>
      <c r="AZ41" s="6"/>
      <c r="BC41" s="1"/>
    </row>
    <row r="42" spans="1:57" ht="16.5" thickBot="1" x14ac:dyDescent="0.25">
      <c r="A42" s="550" t="s">
        <v>115</v>
      </c>
      <c r="B42" s="551"/>
      <c r="C42" s="551"/>
      <c r="D42" s="551"/>
      <c r="E42" s="551"/>
      <c r="F42" s="551"/>
      <c r="I42" s="110"/>
      <c r="J42" s="523" t="s">
        <v>115</v>
      </c>
      <c r="K42" s="524"/>
      <c r="L42" s="524"/>
      <c r="M42" s="524"/>
      <c r="N42" s="524"/>
      <c r="O42" s="524"/>
      <c r="P42" s="524"/>
      <c r="Q42" s="524"/>
      <c r="R42" s="524"/>
      <c r="S42" s="524"/>
      <c r="T42" s="524"/>
      <c r="U42" s="524"/>
      <c r="V42" s="524"/>
      <c r="W42" s="524"/>
      <c r="X42" s="524"/>
      <c r="Y42" s="524"/>
      <c r="Z42" s="524"/>
      <c r="AA42" s="524"/>
      <c r="AB42" s="524"/>
      <c r="AC42" s="524"/>
      <c r="AD42" s="524"/>
      <c r="AE42" s="524"/>
      <c r="AF42" s="524"/>
      <c r="AG42" s="524"/>
      <c r="AH42" s="524"/>
      <c r="AI42" s="524"/>
      <c r="AJ42" s="524"/>
      <c r="AK42" s="524"/>
      <c r="AL42" s="524"/>
      <c r="AM42" s="524"/>
      <c r="AN42" s="540"/>
      <c r="AO42" s="1"/>
      <c r="AP42" s="6"/>
      <c r="AQ42" s="6"/>
      <c r="AR42" s="6"/>
      <c r="AS42" s="4"/>
      <c r="AT42" s="1"/>
      <c r="AU42" s="4"/>
      <c r="AV42" s="6"/>
      <c r="AW42" s="4"/>
      <c r="AX42" s="1"/>
      <c r="AY42" s="1"/>
      <c r="AZ42" s="6"/>
      <c r="BC42" s="1"/>
    </row>
    <row r="43" spans="1:57" x14ac:dyDescent="0.2">
      <c r="A43" s="112" t="s">
        <v>116</v>
      </c>
      <c r="B43" s="113"/>
      <c r="C43" s="222"/>
      <c r="D43" s="206"/>
      <c r="E43" s="114"/>
      <c r="F43" s="114"/>
      <c r="G43" s="114"/>
      <c r="H43" s="114"/>
      <c r="I43" s="115"/>
      <c r="J43" s="111" t="s">
        <v>117</v>
      </c>
      <c r="AL43" s="116"/>
      <c r="AM43" s="5"/>
      <c r="AN43" s="127"/>
      <c r="AO43" s="1"/>
      <c r="AP43" s="6"/>
      <c r="AQ43" s="6"/>
      <c r="AR43" s="6"/>
      <c r="AS43" s="4"/>
      <c r="AT43" s="1"/>
      <c r="AU43" s="4"/>
      <c r="AV43" s="6"/>
      <c r="AW43" s="4"/>
      <c r="AX43" s="1"/>
      <c r="AY43" s="1"/>
      <c r="AZ43" s="6"/>
      <c r="BC43" s="1"/>
    </row>
    <row r="44" spans="1:57" x14ac:dyDescent="0.2">
      <c r="A44" s="111" t="s">
        <v>118</v>
      </c>
      <c r="B44" s="1"/>
      <c r="I44" s="110"/>
      <c r="J44" s="111" t="s">
        <v>119</v>
      </c>
      <c r="Q44" s="1" t="s">
        <v>120</v>
      </c>
      <c r="AL44" s="116"/>
      <c r="AM44" s="5"/>
      <c r="AN44" s="127"/>
      <c r="AO44" s="1"/>
      <c r="AP44" s="6"/>
      <c r="AQ44" s="6"/>
      <c r="AR44" s="6"/>
      <c r="AS44" s="4"/>
      <c r="AT44" s="1"/>
      <c r="AU44" s="4"/>
      <c r="AV44" s="6"/>
      <c r="AW44" s="4"/>
      <c r="AX44" s="1"/>
      <c r="AY44" s="1"/>
      <c r="AZ44" s="6"/>
      <c r="BC44" s="1"/>
    </row>
    <row r="45" spans="1:57" x14ac:dyDescent="0.2">
      <c r="A45" s="111"/>
      <c r="B45" s="1"/>
      <c r="I45" s="110"/>
      <c r="J45" s="111"/>
      <c r="AL45" s="117" t="s">
        <v>121</v>
      </c>
      <c r="AM45" s="118"/>
      <c r="AN45" s="128"/>
      <c r="AO45" s="1"/>
      <c r="AP45" s="6"/>
      <c r="AQ45" s="6"/>
      <c r="AR45" s="6"/>
      <c r="AS45" s="4"/>
      <c r="AT45" s="1"/>
      <c r="AU45" s="4"/>
      <c r="AV45" s="6"/>
      <c r="AW45" s="4"/>
      <c r="AX45" s="1"/>
      <c r="AY45" s="1"/>
      <c r="AZ45" s="6"/>
      <c r="BC45" s="1"/>
    </row>
    <row r="46" spans="1:57" ht="25.5" customHeight="1" x14ac:dyDescent="0.2">
      <c r="A46" s="205"/>
      <c r="I46" s="110"/>
      <c r="J46" s="111"/>
      <c r="Q46" s="1" t="s">
        <v>122</v>
      </c>
      <c r="AL46" s="117" t="s">
        <v>123</v>
      </c>
      <c r="AM46" s="118"/>
      <c r="AN46" s="128"/>
      <c r="AO46" s="1"/>
      <c r="AP46" s="6"/>
      <c r="AQ46" s="6"/>
      <c r="AR46" s="6"/>
      <c r="AS46" s="4"/>
      <c r="AT46" s="1"/>
      <c r="AU46" s="4"/>
      <c r="AV46" s="6"/>
      <c r="AW46" s="4"/>
      <c r="AX46" s="1"/>
      <c r="AY46" s="1"/>
      <c r="AZ46" s="6"/>
      <c r="BC46" s="1"/>
    </row>
    <row r="47" spans="1:57" ht="19.5" customHeight="1" x14ac:dyDescent="0.2">
      <c r="A47" s="534" t="s">
        <v>124</v>
      </c>
      <c r="B47" s="535"/>
      <c r="C47" s="535"/>
      <c r="D47" s="1"/>
      <c r="H47" s="119"/>
      <c r="I47" s="110"/>
      <c r="J47" s="525" t="s">
        <v>125</v>
      </c>
      <c r="K47" s="526"/>
      <c r="L47" s="526"/>
      <c r="M47" s="526"/>
      <c r="P47" s="120"/>
      <c r="Q47" s="120" t="s">
        <v>126</v>
      </c>
      <c r="R47" s="120"/>
      <c r="S47" s="120"/>
      <c r="T47" s="120"/>
      <c r="U47" s="120"/>
      <c r="V47" s="120"/>
      <c r="W47" s="120"/>
      <c r="X47" s="121"/>
      <c r="Y47" s="120"/>
      <c r="Z47" s="120"/>
      <c r="AL47" s="117" t="s">
        <v>127</v>
      </c>
      <c r="AM47" s="118"/>
      <c r="AN47" s="128"/>
      <c r="AO47" s="1"/>
      <c r="AP47" s="6"/>
      <c r="AQ47" s="6"/>
      <c r="AR47" s="6"/>
      <c r="AS47" s="4"/>
      <c r="AT47" s="1"/>
      <c r="AU47" s="4"/>
      <c r="AV47" s="6"/>
      <c r="AW47" s="4"/>
      <c r="AX47" s="1"/>
      <c r="AY47" s="1"/>
      <c r="AZ47" s="6"/>
      <c r="BC47" s="1"/>
    </row>
    <row r="48" spans="1:57" x14ac:dyDescent="0.2">
      <c r="A48" s="534" t="s">
        <v>128</v>
      </c>
      <c r="B48" s="535"/>
      <c r="C48" s="535"/>
      <c r="D48" s="1"/>
      <c r="H48" s="543" t="s">
        <v>129</v>
      </c>
      <c r="I48" s="544"/>
      <c r="J48" s="534" t="s">
        <v>130</v>
      </c>
      <c r="K48" s="535"/>
      <c r="L48" s="535"/>
      <c r="M48" s="535"/>
      <c r="P48" s="543" t="s">
        <v>131</v>
      </c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L48" s="117" t="s">
        <v>123</v>
      </c>
      <c r="AM48" s="118"/>
      <c r="AN48" s="128"/>
      <c r="AO48" s="1"/>
      <c r="AP48" s="6"/>
      <c r="AQ48" s="6"/>
      <c r="AR48" s="6"/>
      <c r="AS48" s="4"/>
      <c r="AT48" s="1"/>
      <c r="AU48" s="4"/>
      <c r="AV48" s="6"/>
      <c r="AW48" s="4"/>
      <c r="AX48" s="1"/>
      <c r="AY48" s="1"/>
      <c r="AZ48" s="6"/>
      <c r="BC48" s="1"/>
    </row>
    <row r="49" spans="1:55" ht="22.5" customHeight="1" thickBot="1" x14ac:dyDescent="0.25">
      <c r="A49" s="541" t="s">
        <v>189</v>
      </c>
      <c r="B49" s="542"/>
      <c r="C49" s="542"/>
      <c r="D49" s="122"/>
      <c r="E49" s="122"/>
      <c r="F49" s="122"/>
      <c r="G49" s="122"/>
      <c r="H49" s="122"/>
      <c r="I49" s="123"/>
      <c r="J49" s="523" t="s">
        <v>132</v>
      </c>
      <c r="K49" s="524"/>
      <c r="L49" s="524"/>
      <c r="M49" s="524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4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5"/>
      <c r="AM49" s="124"/>
      <c r="AN49" s="129"/>
      <c r="AO49" s="1"/>
      <c r="AP49" s="6"/>
      <c r="AQ49" s="6"/>
      <c r="AR49" s="6"/>
      <c r="AS49" s="4"/>
      <c r="AT49" s="1"/>
      <c r="AU49" s="4"/>
      <c r="AV49" s="6"/>
      <c r="AW49" s="4"/>
      <c r="AX49" s="1"/>
      <c r="AY49" s="1"/>
      <c r="AZ49" s="6"/>
      <c r="BC49" s="1"/>
    </row>
  </sheetData>
  <autoFilter ref="A8:AU32"/>
  <mergeCells count="20">
    <mergeCell ref="A1:AN1"/>
    <mergeCell ref="A2:AN2"/>
    <mergeCell ref="A3:AN3"/>
    <mergeCell ref="A4:AN4"/>
    <mergeCell ref="A5:AN5"/>
    <mergeCell ref="P48:Z48"/>
    <mergeCell ref="J40:AN40"/>
    <mergeCell ref="J41:AN41"/>
    <mergeCell ref="J42:AN42"/>
    <mergeCell ref="A7:T7"/>
    <mergeCell ref="A40:F40"/>
    <mergeCell ref="A41:F41"/>
    <mergeCell ref="A42:F42"/>
    <mergeCell ref="A49:C49"/>
    <mergeCell ref="J49:M49"/>
    <mergeCell ref="A47:C47"/>
    <mergeCell ref="J47:M47"/>
    <mergeCell ref="A48:C48"/>
    <mergeCell ref="H48:I48"/>
    <mergeCell ref="J48:M48"/>
  </mergeCells>
  <phoneticPr fontId="64" type="noConversion"/>
  <conditionalFormatting sqref="B50:B1048576 B8:B9 B11:B12">
    <cfRule type="duplicateValues" dxfId="64" priority="55"/>
  </conditionalFormatting>
  <conditionalFormatting sqref="B13:B14">
    <cfRule type="duplicateValues" dxfId="63" priority="51"/>
  </conditionalFormatting>
  <conditionalFormatting sqref="B20:B21">
    <cfRule type="duplicateValues" dxfId="62" priority="48"/>
  </conditionalFormatting>
  <conditionalFormatting sqref="B22:B23">
    <cfRule type="duplicateValues" dxfId="61" priority="47"/>
  </conditionalFormatting>
  <conditionalFormatting sqref="B25">
    <cfRule type="duplicateValues" dxfId="60" priority="35"/>
  </conditionalFormatting>
  <conditionalFormatting sqref="B35">
    <cfRule type="duplicateValues" dxfId="59" priority="32"/>
  </conditionalFormatting>
  <conditionalFormatting sqref="B15">
    <cfRule type="duplicateValues" dxfId="58" priority="28"/>
  </conditionalFormatting>
  <conditionalFormatting sqref="B16">
    <cfRule type="duplicateValues" dxfId="57" priority="27"/>
  </conditionalFormatting>
  <conditionalFormatting sqref="B10">
    <cfRule type="duplicateValues" dxfId="56" priority="17"/>
  </conditionalFormatting>
  <conditionalFormatting sqref="B30">
    <cfRule type="duplicateValues" dxfId="55" priority="1863"/>
  </conditionalFormatting>
  <conditionalFormatting sqref="B29">
    <cfRule type="duplicateValues" dxfId="54" priority="2163"/>
  </conditionalFormatting>
  <conditionalFormatting sqref="B27:B28">
    <cfRule type="duplicateValues" dxfId="53" priority="9"/>
  </conditionalFormatting>
  <conditionalFormatting sqref="B28">
    <cfRule type="duplicateValues" dxfId="52" priority="10"/>
  </conditionalFormatting>
  <conditionalFormatting sqref="B27:B28">
    <cfRule type="duplicateValues" dxfId="51" priority="11"/>
  </conditionalFormatting>
  <conditionalFormatting sqref="B46 B37:B39">
    <cfRule type="duplicateValues" dxfId="50" priority="7"/>
  </conditionalFormatting>
  <conditionalFormatting sqref="B32">
    <cfRule type="duplicateValues" dxfId="49" priority="6"/>
  </conditionalFormatting>
  <conditionalFormatting sqref="B31">
    <cfRule type="duplicateValues" dxfId="48" priority="2231"/>
  </conditionalFormatting>
  <conditionalFormatting sqref="B19">
    <cfRule type="duplicateValues" dxfId="47" priority="2294"/>
  </conditionalFormatting>
  <conditionalFormatting sqref="B34:B35 B17:B18 B24:B25 B29:B30">
    <cfRule type="duplicateValues" dxfId="46" priority="2298"/>
  </conditionalFormatting>
  <conditionalFormatting sqref="B29 B24:B25">
    <cfRule type="duplicateValues" dxfId="45" priority="2304"/>
  </conditionalFormatting>
  <conditionalFormatting sqref="B26">
    <cfRule type="duplicateValues" dxfId="44" priority="2307"/>
  </conditionalFormatting>
  <conditionalFormatting sqref="B33">
    <cfRule type="duplicateValues" dxfId="43" priority="1"/>
  </conditionalFormatting>
  <printOptions horizontalCentered="1"/>
  <pageMargins left="0" right="0" top="0.196850393700787" bottom="0" header="0" footer="0"/>
  <pageSetup paperSize="119" scale="73" orientation="landscape" blackAndWhite="1" errors="NA" r:id="rId1"/>
  <headerFooter scaleWithDoc="0" alignWithMargins="0">
    <oddFooter>Page &amp;P of &amp;N</oddFooter>
  </headerFooter>
  <rowBreaks count="1" manualBreakCount="1">
    <brk id="29" max="3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BF40"/>
  <sheetViews>
    <sheetView view="pageBreakPreview" zoomScale="95" zoomScaleNormal="80" zoomScaleSheetLayoutView="95" workbookViewId="0">
      <pane xSplit="3" ySplit="8" topLeftCell="H20" activePane="bottomRight" state="frozen"/>
      <selection activeCell="H2" sqref="H2"/>
      <selection pane="topRight" activeCell="H2" sqref="H2"/>
      <selection pane="bottomLeft" activeCell="H2" sqref="H2"/>
      <selection pane="bottomRight" activeCell="M25" sqref="M25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7.140625" style="221" customWidth="1"/>
    <col min="4" max="4" width="6" style="4" customWidth="1"/>
    <col min="5" max="5" width="16.42578125" style="1" hidden="1" customWidth="1"/>
    <col min="6" max="6" width="11.28515625" style="1" hidden="1" customWidth="1"/>
    <col min="7" max="7" width="13.7109375" style="1" hidden="1" customWidth="1"/>
    <col min="8" max="8" width="15.140625" style="1" customWidth="1"/>
    <col min="9" max="9" width="13.5703125" style="1" customWidth="1"/>
    <col min="10" max="11" width="12.5703125" style="1" customWidth="1"/>
    <col min="12" max="12" width="13.42578125" style="1" customWidth="1"/>
    <col min="13" max="13" width="16.140625" style="1" customWidth="1"/>
    <col min="14" max="14" width="13.28515625" style="1" customWidth="1"/>
    <col min="15" max="15" width="11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140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3.5703125" style="2" customWidth="1" collapsed="1"/>
    <col min="39" max="39" width="17.28515625" style="2" customWidth="1"/>
    <col min="40" max="40" width="31.1406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1.42578125" style="1" customWidth="1"/>
    <col min="57" max="16384" width="9.140625" style="1"/>
  </cols>
  <sheetData>
    <row r="1" spans="1:57" ht="25.5" x14ac:dyDescent="0.35">
      <c r="A1" s="552" t="s">
        <v>105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552"/>
      <c r="AJ1" s="552"/>
      <c r="AK1" s="552"/>
      <c r="AL1" s="552"/>
      <c r="AM1" s="552"/>
      <c r="AN1" s="552"/>
      <c r="AO1" s="101"/>
      <c r="AP1" s="101"/>
      <c r="AQ1" s="101"/>
    </row>
    <row r="2" spans="1:57" x14ac:dyDescent="0.25">
      <c r="A2" s="553" t="s">
        <v>106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102"/>
      <c r="AP2" s="102"/>
      <c r="AQ2" s="102"/>
    </row>
    <row r="3" spans="1:57" x14ac:dyDescent="0.2">
      <c r="A3" s="554" t="s">
        <v>107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4"/>
      <c r="AN3" s="554"/>
      <c r="AO3" s="103"/>
      <c r="AP3" s="103"/>
      <c r="AQ3" s="103"/>
    </row>
    <row r="4" spans="1:57" x14ac:dyDescent="0.25">
      <c r="A4" s="555" t="s">
        <v>465</v>
      </c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5"/>
      <c r="AI4" s="555"/>
      <c r="AJ4" s="555"/>
      <c r="AK4" s="555"/>
      <c r="AL4" s="555"/>
      <c r="AM4" s="555"/>
      <c r="AN4" s="555"/>
      <c r="AO4" s="104"/>
      <c r="AP4" s="104"/>
      <c r="AQ4" s="104"/>
    </row>
    <row r="5" spans="1:57" x14ac:dyDescent="0.2">
      <c r="A5" s="554" t="s">
        <v>108</v>
      </c>
      <c r="B5" s="554"/>
      <c r="C5" s="554"/>
      <c r="D5" s="554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  <c r="Z5" s="554"/>
      <c r="AA5" s="554"/>
      <c r="AB5" s="554"/>
      <c r="AC5" s="554"/>
      <c r="AD5" s="554"/>
      <c r="AE5" s="554"/>
      <c r="AF5" s="554"/>
      <c r="AG5" s="554"/>
      <c r="AH5" s="554"/>
      <c r="AI5" s="554"/>
      <c r="AJ5" s="554"/>
      <c r="AK5" s="554"/>
      <c r="AL5" s="554"/>
      <c r="AM5" s="554"/>
      <c r="AN5" s="554"/>
      <c r="AO5" s="103"/>
      <c r="AP5" s="103"/>
      <c r="AQ5" s="103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ht="16.5" thickBot="1" x14ac:dyDescent="0.3">
      <c r="A7" s="527" t="s">
        <v>433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99"/>
      <c r="AO7" s="1"/>
    </row>
    <row r="8" spans="1:57" s="3" customFormat="1" ht="48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411</v>
      </c>
      <c r="AP8" s="8" t="s">
        <v>413</v>
      </c>
      <c r="AQ8" s="8" t="s">
        <v>36</v>
      </c>
      <c r="AR8" s="9" t="s">
        <v>11</v>
      </c>
      <c r="AS8" s="8" t="str">
        <f>AO8</f>
        <v>JAN 1 - 15</v>
      </c>
      <c r="AT8" s="8" t="str">
        <f>AP8</f>
        <v>JAN 16 - 31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7" s="217" customFormat="1" ht="21" customHeight="1" x14ac:dyDescent="0.25">
      <c r="A9" s="557" t="s">
        <v>226</v>
      </c>
      <c r="B9" s="558"/>
      <c r="C9" s="559"/>
      <c r="D9" s="200"/>
      <c r="E9" s="201"/>
      <c r="F9" s="201"/>
      <c r="G9" s="201"/>
      <c r="H9" s="202"/>
      <c r="I9" s="202"/>
      <c r="J9" s="202"/>
      <c r="K9" s="202"/>
      <c r="L9" s="202"/>
      <c r="M9" s="202"/>
      <c r="N9" s="202"/>
      <c r="O9" s="202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4"/>
      <c r="AN9" s="209"/>
      <c r="AO9" s="211"/>
      <c r="AP9" s="207"/>
      <c r="AQ9" s="212"/>
      <c r="AR9" s="213"/>
      <c r="AS9" s="213"/>
      <c r="AT9" s="213"/>
      <c r="AU9" s="213"/>
      <c r="AV9" s="214"/>
      <c r="AW9" s="214"/>
      <c r="AX9" s="215"/>
      <c r="AY9" s="213"/>
      <c r="AZ9" s="214"/>
      <c r="BA9" s="213"/>
      <c r="BB9" s="213"/>
      <c r="BC9" s="213"/>
      <c r="BD9" s="215"/>
    </row>
    <row r="10" spans="1:57" s="217" customFormat="1" ht="30" customHeight="1" x14ac:dyDescent="0.25">
      <c r="A10" s="208">
        <v>1</v>
      </c>
      <c r="B10" s="210"/>
      <c r="C10" s="230" t="s">
        <v>464</v>
      </c>
      <c r="D10" s="200">
        <v>15</v>
      </c>
      <c r="E10" s="201">
        <v>36619</v>
      </c>
      <c r="F10" s="201">
        <f>IF(H10&gt;0,100,0)</f>
        <v>100</v>
      </c>
      <c r="G10" s="201">
        <f>+ROUND(H10*12%,2)</f>
        <v>4394.28</v>
      </c>
      <c r="H10" s="202">
        <f>ROUND(IF(AX10&gt;22,0,IF(AX10=22,E10,IF(AX10&lt;22,E10*(AX10/AZ10),IF(OR(AX10=0,AX10=" ")=TRUE,0)))),2)</f>
        <v>36619</v>
      </c>
      <c r="I10" s="202">
        <f>ROUND(IF(AND(H10&gt;0,AX10=22)=TRUE,2000,IF(AND(H10&gt;0,AX10&lt;22,AX10&gt;0)=TRUE,2000*(AX10/AZ10),IF(AX10&lt;0,0,0))),2)</f>
        <v>2000</v>
      </c>
      <c r="J10" s="202">
        <f>IF(H10&gt;0,BC10-BB10,0)</f>
        <v>1100</v>
      </c>
      <c r="K10" s="202">
        <f>IF(AND(H10&gt;0,AX10&gt;11)=TRUE,150,0)</f>
        <v>150</v>
      </c>
      <c r="L10" s="202">
        <f>ROUND(IF(AND($H10&gt;0,AX10&gt;11)=TRUE,$AW10*$E10,0),2)</f>
        <v>9154.75</v>
      </c>
      <c r="M10" s="202">
        <f>ROUND(SUM(H10:L10),2)</f>
        <v>49023.75</v>
      </c>
      <c r="N10" s="202">
        <v>5534.47</v>
      </c>
      <c r="O10" s="202">
        <f>E10*0.04/2</f>
        <v>732.38</v>
      </c>
      <c r="P10" s="203">
        <f>ROUND($H10*9%,2)</f>
        <v>3295.71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>SUM(N10:AK10)</f>
        <v>9662.5600000000013</v>
      </c>
      <c r="AM10" s="204">
        <f>ROUND(M10-AL10,2)</f>
        <v>39361.19</v>
      </c>
      <c r="AN10" s="209"/>
      <c r="AO10" s="211"/>
      <c r="AP10" s="207"/>
      <c r="AQ10" s="212">
        <f>SUM(AO10:AP10)</f>
        <v>0</v>
      </c>
      <c r="AR10" s="213">
        <f>+AM10-AQ10</f>
        <v>39361.19</v>
      </c>
      <c r="AS10" s="213"/>
      <c r="AT10" s="213"/>
      <c r="AU10" s="213">
        <f>IF(E10=0,0,IF(E10&lt;=10000,137.5,IF(AND(E10&gt;10000,E10&lt;40000)=TRUE,E10*2.75%*50%,IF(E10&gt;=40000,550,0))))</f>
        <v>503.51125000000002</v>
      </c>
      <c r="AV10" s="214"/>
      <c r="AW10" s="214" t="str">
        <f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>IF(AX10&gt;0,(AZ10-AX10+BD10)*BA10,0)</f>
        <v>0</v>
      </c>
      <c r="BC10" s="213">
        <f>IF(AX10&gt;0,1100,0)</f>
        <v>1100</v>
      </c>
      <c r="BD10" s="215"/>
    </row>
    <row r="11" spans="1:57" ht="30" customHeight="1" x14ac:dyDescent="0.25">
      <c r="A11" s="208">
        <v>2</v>
      </c>
      <c r="B11" s="7"/>
      <c r="C11" s="234" t="s">
        <v>216</v>
      </c>
      <c r="D11" s="200">
        <v>15</v>
      </c>
      <c r="E11" s="201">
        <v>36619</v>
      </c>
      <c r="F11" s="201">
        <f>IF(H11&gt;0,100,0)</f>
        <v>100</v>
      </c>
      <c r="G11" s="201">
        <f>+ROUND(H11*12%,2)</f>
        <v>4394.28</v>
      </c>
      <c r="H11" s="202">
        <f>ROUND(IF(AX11&gt;22,0,IF(AX11=22,E11,IF(AX11&lt;22,E11*(AX11/AZ11),IF(OR(AX11=0,AX11=" ")=TRUE,0)))),2)</f>
        <v>36619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9154.75</v>
      </c>
      <c r="M11" s="202">
        <f>ROUND(SUM(H11:L11),2)</f>
        <v>49023.75</v>
      </c>
      <c r="N11" s="202">
        <v>10172.75</v>
      </c>
      <c r="O11" s="202">
        <f>E11*0.04/2</f>
        <v>732.38</v>
      </c>
      <c r="P11" s="203">
        <f>ROUND($H11*9%,2)</f>
        <v>3295.71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>ROUND(IF(H11&gt;0,100,0),2)</f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>SUM(N11:AK11)</f>
        <v>14300.84</v>
      </c>
      <c r="AM11" s="204">
        <f>ROUND(M11-AL11,2)</f>
        <v>34722.910000000003</v>
      </c>
      <c r="AN11" s="209"/>
      <c r="AO11" s="131"/>
      <c r="AP11" s="11"/>
      <c r="AQ11" s="12">
        <f>SUM(AO11:AP11)</f>
        <v>0</v>
      </c>
      <c r="AR11" s="13">
        <f>+AM11-AQ11</f>
        <v>34722.910000000003</v>
      </c>
      <c r="AS11" s="13"/>
      <c r="AT11" s="13"/>
      <c r="AU11" s="13">
        <f>IF(E11=0,0,IF(E11&lt;=10000,137.5,IF(AND(E11&gt;10000,E11&lt;40000)=TRUE,E11*2.75%*50%,IF(E11&gt;=40000,550,0))))</f>
        <v>503.51125000000002</v>
      </c>
      <c r="AV11" s="14"/>
      <c r="AW11" s="14" t="str">
        <f>IF(AND($D11&gt;=1,$D11&lt;=19)=TRUE,"25%",IF($D11=20,"15%",IF($D11=21,"13%",IF($D11=22,"12%",IF($D11=23,"11%",IF(OR($D11=24,$D11=25)=TRUE,"10%",IF($D11=26,"9%",IF($D11=27,"8%",IF($D11=28,"7%",IF(OR($D11=29,$D11=30)=TRUE,"6%",IF($D11=31,"5%","0%")))))))))))</f>
        <v>25%</v>
      </c>
      <c r="AX11" s="215">
        <v>22</v>
      </c>
      <c r="AY11" s="13">
        <v>150</v>
      </c>
      <c r="AZ11" s="14">
        <v>22</v>
      </c>
      <c r="BA11" s="13">
        <v>50</v>
      </c>
      <c r="BB11" s="13">
        <f>IF(AX11&gt;0,(AZ11-AX11+BD11)*BA11,0)</f>
        <v>0</v>
      </c>
      <c r="BC11" s="13">
        <f>IF(AX11&gt;0,1100,0)</f>
        <v>1100</v>
      </c>
      <c r="BD11" s="4"/>
    </row>
    <row r="12" spans="1:57" s="217" customFormat="1" ht="30" customHeight="1" x14ac:dyDescent="0.25">
      <c r="A12" s="208">
        <v>3</v>
      </c>
      <c r="B12" s="210"/>
      <c r="C12" s="230" t="s">
        <v>224</v>
      </c>
      <c r="D12" s="200">
        <v>15</v>
      </c>
      <c r="E12" s="201">
        <v>36619</v>
      </c>
      <c r="F12" s="201">
        <f>IF(H12&gt;0,100,0)</f>
        <v>100</v>
      </c>
      <c r="G12" s="201">
        <f>+ROUND(H12*12%,2)</f>
        <v>4394.28</v>
      </c>
      <c r="H12" s="202">
        <f>ROUND(IF(AX12&gt;22,0,IF(AX12=22,E12,IF(AX12&lt;22,E12*(AX12/AZ12),IF(OR(AX12=0,AX12=" ")=TRUE,0)))),2)</f>
        <v>36619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9154.75</v>
      </c>
      <c r="M12" s="202">
        <f>ROUND(SUM(H12:L12),2)</f>
        <v>49023.75</v>
      </c>
      <c r="N12" s="202">
        <v>8672.75</v>
      </c>
      <c r="O12" s="202">
        <f>E12*0.04/2</f>
        <v>732.38</v>
      </c>
      <c r="P12" s="203">
        <f>ROUND($H12*9%,2)</f>
        <v>3295.71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>ROUND(IF(H12&gt;0,100,0),2)</f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>SUM(N12:AK12)</f>
        <v>12800.84</v>
      </c>
      <c r="AM12" s="204">
        <f>ROUND(M12-AL12,2)</f>
        <v>36222.910000000003</v>
      </c>
      <c r="AN12" s="209"/>
      <c r="AO12" s="211"/>
      <c r="AP12" s="207"/>
      <c r="AQ12" s="212">
        <f>SUM(AO12:AP12)</f>
        <v>0</v>
      </c>
      <c r="AR12" s="213">
        <f>+AM12-AQ12</f>
        <v>36222.910000000003</v>
      </c>
      <c r="AS12" s="213"/>
      <c r="AT12" s="213"/>
      <c r="AU12" s="213">
        <f>IF(E12=0,0,IF(E12&lt;=10000,137.5,IF(AND(E12&gt;10000,E12&lt;40000)=TRUE,E12*2.75%*50%,IF(E12&gt;=40000,550,0))))</f>
        <v>503.51125000000002</v>
      </c>
      <c r="AV12" s="214"/>
      <c r="AW12" s="214" t="str">
        <f>IF(AND($D12&gt;=1,$D12&lt;=19)=TRUE,"25%",IF($D12=20,"15%",IF($D12=21,"13%",IF($D12=22,"12%",IF($D12=23,"11%",IF(OR($D12=24,$D12=25)=TRUE,"10%",IF($D12=26,"9%",IF($D12=27,"8%",IF($D12=28,"7%",IF(OR($D12=29,$D12=30)=TRUE,"6%",IF($D12=31,"5%","0%")))))))))))</f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>IF(AX12&gt;0,(AZ12-AX12+BD12)*BA12,0)</f>
        <v>0</v>
      </c>
      <c r="BC12" s="213">
        <f>IF(AX12&gt;0,1100,0)</f>
        <v>1100</v>
      </c>
      <c r="BD12" s="215"/>
    </row>
    <row r="13" spans="1:57" s="356" customFormat="1" ht="30" customHeight="1" x14ac:dyDescent="0.25">
      <c r="A13" s="352"/>
      <c r="B13" s="353"/>
      <c r="C13" s="348" t="s">
        <v>102</v>
      </c>
      <c r="D13" s="354"/>
      <c r="E13" s="355">
        <f t="shared" ref="E13:AJ13" si="0">SUM(E10:E12)</f>
        <v>109857</v>
      </c>
      <c r="F13" s="355">
        <f t="shared" si="0"/>
        <v>300</v>
      </c>
      <c r="G13" s="355">
        <f t="shared" si="0"/>
        <v>13182.84</v>
      </c>
      <c r="H13" s="355">
        <f t="shared" si="0"/>
        <v>109857</v>
      </c>
      <c r="I13" s="355">
        <f t="shared" si="0"/>
        <v>6000</v>
      </c>
      <c r="J13" s="355">
        <f t="shared" si="0"/>
        <v>3300</v>
      </c>
      <c r="K13" s="355">
        <f t="shared" si="0"/>
        <v>450</v>
      </c>
      <c r="L13" s="355">
        <f t="shared" si="0"/>
        <v>27464.25</v>
      </c>
      <c r="M13" s="355">
        <f>SUM(M10:M12)</f>
        <v>147071.25</v>
      </c>
      <c r="N13" s="355">
        <f t="shared" si="0"/>
        <v>24379.97</v>
      </c>
      <c r="O13" s="355">
        <f t="shared" si="0"/>
        <v>2197.14</v>
      </c>
      <c r="P13" s="355">
        <f t="shared" si="0"/>
        <v>9887.130000000001</v>
      </c>
      <c r="Q13" s="355">
        <f t="shared" si="0"/>
        <v>0</v>
      </c>
      <c r="R13" s="355">
        <f t="shared" si="0"/>
        <v>0</v>
      </c>
      <c r="S13" s="355">
        <f t="shared" si="0"/>
        <v>0</v>
      </c>
      <c r="T13" s="355">
        <f t="shared" si="0"/>
        <v>0</v>
      </c>
      <c r="U13" s="355">
        <f t="shared" si="0"/>
        <v>0</v>
      </c>
      <c r="V13" s="355">
        <f t="shared" si="0"/>
        <v>0</v>
      </c>
      <c r="W13" s="355">
        <f t="shared" si="0"/>
        <v>0</v>
      </c>
      <c r="X13" s="355">
        <f t="shared" si="0"/>
        <v>0</v>
      </c>
      <c r="Y13" s="355">
        <f t="shared" si="0"/>
        <v>0</v>
      </c>
      <c r="Z13" s="355">
        <f t="shared" si="0"/>
        <v>300</v>
      </c>
      <c r="AA13" s="355">
        <f t="shared" si="0"/>
        <v>0</v>
      </c>
      <c r="AB13" s="355">
        <f t="shared" si="0"/>
        <v>0</v>
      </c>
      <c r="AC13" s="355">
        <f t="shared" si="0"/>
        <v>0</v>
      </c>
      <c r="AD13" s="355">
        <f t="shared" si="0"/>
        <v>0</v>
      </c>
      <c r="AE13" s="355">
        <f t="shared" si="0"/>
        <v>0</v>
      </c>
      <c r="AF13" s="355">
        <f t="shared" si="0"/>
        <v>0</v>
      </c>
      <c r="AG13" s="355">
        <f t="shared" si="0"/>
        <v>0</v>
      </c>
      <c r="AH13" s="355">
        <f t="shared" si="0"/>
        <v>0</v>
      </c>
      <c r="AI13" s="355">
        <f t="shared" si="0"/>
        <v>0</v>
      </c>
      <c r="AJ13" s="355">
        <f t="shared" si="0"/>
        <v>0</v>
      </c>
      <c r="AK13" s="355">
        <f t="shared" ref="AK13:BD13" si="1">SUM(AK10:AK12)</f>
        <v>0</v>
      </c>
      <c r="AL13" s="355">
        <f t="shared" si="1"/>
        <v>36764.240000000005</v>
      </c>
      <c r="AM13" s="355">
        <f t="shared" si="1"/>
        <v>110307.01000000001</v>
      </c>
      <c r="AN13" s="355">
        <f t="shared" si="1"/>
        <v>0</v>
      </c>
      <c r="AO13" s="355">
        <f t="shared" si="1"/>
        <v>0</v>
      </c>
      <c r="AP13" s="355">
        <f t="shared" si="1"/>
        <v>0</v>
      </c>
      <c r="AQ13" s="355">
        <f t="shared" si="1"/>
        <v>0</v>
      </c>
      <c r="AR13" s="355">
        <f t="shared" si="1"/>
        <v>110307.01000000001</v>
      </c>
      <c r="AS13" s="355">
        <f t="shared" si="1"/>
        <v>0</v>
      </c>
      <c r="AT13" s="355">
        <f t="shared" si="1"/>
        <v>0</v>
      </c>
      <c r="AU13" s="355">
        <f t="shared" si="1"/>
        <v>1510.5337500000001</v>
      </c>
      <c r="AV13" s="355">
        <f t="shared" si="1"/>
        <v>0</v>
      </c>
      <c r="AW13" s="355">
        <f t="shared" si="1"/>
        <v>0</v>
      </c>
      <c r="AX13" s="355">
        <f t="shared" si="1"/>
        <v>66</v>
      </c>
      <c r="AY13" s="355">
        <f t="shared" si="1"/>
        <v>450</v>
      </c>
      <c r="AZ13" s="355">
        <f t="shared" si="1"/>
        <v>66</v>
      </c>
      <c r="BA13" s="355">
        <f t="shared" si="1"/>
        <v>150</v>
      </c>
      <c r="BB13" s="355">
        <f t="shared" si="1"/>
        <v>0</v>
      </c>
      <c r="BC13" s="355">
        <f t="shared" si="1"/>
        <v>3300</v>
      </c>
      <c r="BD13" s="355">
        <f t="shared" si="1"/>
        <v>0</v>
      </c>
    </row>
    <row r="14" spans="1:57" s="217" customFormat="1" ht="18.75" customHeight="1" x14ac:dyDescent="0.25">
      <c r="A14" s="557" t="s">
        <v>225</v>
      </c>
      <c r="B14" s="558"/>
      <c r="C14" s="559"/>
      <c r="D14" s="200"/>
      <c r="E14" s="201"/>
      <c r="F14" s="201"/>
      <c r="G14" s="201"/>
      <c r="H14" s="202"/>
      <c r="I14" s="202"/>
      <c r="J14" s="202"/>
      <c r="K14" s="202"/>
      <c r="L14" s="202"/>
      <c r="M14" s="202"/>
      <c r="N14" s="202"/>
      <c r="O14" s="202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4"/>
      <c r="AN14" s="209"/>
      <c r="AO14" s="211"/>
      <c r="AP14" s="207"/>
      <c r="AQ14" s="212"/>
      <c r="AR14" s="213"/>
      <c r="AS14" s="213"/>
      <c r="AT14" s="213"/>
      <c r="AU14" s="213"/>
      <c r="AV14" s="214"/>
      <c r="AW14" s="214"/>
      <c r="AX14" s="215"/>
      <c r="AY14" s="213"/>
      <c r="AZ14" s="214"/>
      <c r="BA14" s="213"/>
      <c r="BB14" s="213"/>
      <c r="BC14" s="213"/>
      <c r="BD14" s="215"/>
    </row>
    <row r="15" spans="1:57" s="217" customFormat="1" ht="30.75" customHeight="1" x14ac:dyDescent="0.25">
      <c r="A15" s="208">
        <v>4</v>
      </c>
      <c r="B15" s="210"/>
      <c r="C15" s="230" t="s">
        <v>220</v>
      </c>
      <c r="D15" s="200">
        <v>15</v>
      </c>
      <c r="E15" s="201">
        <v>36619</v>
      </c>
      <c r="F15" s="201">
        <f>IF(H15&gt;0,100,0)</f>
        <v>100</v>
      </c>
      <c r="G15" s="201">
        <f>+ROUND(H15*12%,2)</f>
        <v>4394.28</v>
      </c>
      <c r="H15" s="202">
        <f>ROUND(IF(AX15&gt;22,0,IF(AX15=22,E15,IF(AX15&lt;22,E15*(AX15/AZ15),IF(OR(AX15=0,AX15=" ")=TRUE,0)))),2)</f>
        <v>36619</v>
      </c>
      <c r="I15" s="202">
        <f>ROUND(IF(AND(H15&gt;0,AX15=22)=TRUE,2000,IF(AND(H15&gt;0,AX15&lt;22,AX15&gt;0)=TRUE,2000*(AX15/AZ15),IF(AX15&lt;0,0,0))),2)</f>
        <v>2000</v>
      </c>
      <c r="J15" s="202">
        <f>IF(H15&gt;0,BC15-BB15,0)</f>
        <v>1100</v>
      </c>
      <c r="K15" s="202">
        <f>IF(AND(H15&gt;0,AX15&gt;11)=TRUE,150,0)</f>
        <v>150</v>
      </c>
      <c r="L15" s="202">
        <f>ROUND(IF(AND($H15&gt;0,AX15&gt;11)=TRUE,$AW15*$E15,0),2)</f>
        <v>9154.75</v>
      </c>
      <c r="M15" s="202">
        <f>ROUND(SUM(H15:L15),2)</f>
        <v>49023.75</v>
      </c>
      <c r="N15" s="202">
        <v>10244.02</v>
      </c>
      <c r="O15" s="202">
        <f>E15*0.04/2</f>
        <v>732.38</v>
      </c>
      <c r="P15" s="203">
        <f>ROUND($H15*9%,2)</f>
        <v>3295.71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>ROUND(IF(H15&gt;0,100,0),2)</f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>SUM(N15:AK15)</f>
        <v>14372.11</v>
      </c>
      <c r="AM15" s="204">
        <f>ROUND(M15-AL15,2)</f>
        <v>34651.64</v>
      </c>
      <c r="AN15" s="209"/>
      <c r="AO15" s="211"/>
      <c r="AP15" s="207"/>
      <c r="AQ15" s="212">
        <f>SUM(AO15:AP15)</f>
        <v>0</v>
      </c>
      <c r="AR15" s="213">
        <f>+AM15-AQ15</f>
        <v>34651.64</v>
      </c>
      <c r="AS15" s="213"/>
      <c r="AT15" s="213"/>
      <c r="AU15" s="213">
        <f>IF(E15=0,0,IF(E15&lt;=10000,137.5,IF(AND(E15&gt;10000,E15&lt;40000)=TRUE,E15*2.75%*50%,IF(E15&gt;=40000,550,0))))</f>
        <v>503.51125000000002</v>
      </c>
      <c r="AV15" s="214"/>
      <c r="AW15" s="214" t="str">
        <f>IF(AND($D15&gt;=1,$D15&lt;=19)=TRUE,"25%",IF($D15=20,"15%",IF($D15=21,"13%",IF($D15=22,"12%",IF($D15=23,"11%",IF(OR($D15=24,$D15=25)=TRUE,"10%",IF($D15=26,"9%",IF($D15=27,"8%",IF($D15=28,"7%",IF(OR($D15=29,$D15=30)=TRUE,"6%",IF($D15=31,"5%","0%")))))))))))</f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>IF(AX15&gt;0,(AZ15-AX15+BD15)*BA15,0)</f>
        <v>0</v>
      </c>
      <c r="BC15" s="213">
        <f>IF(AX15&gt;0,1100,0)</f>
        <v>1100</v>
      </c>
      <c r="BD15" s="215"/>
      <c r="BE15" s="216"/>
    </row>
    <row r="16" spans="1:57" s="217" customFormat="1" ht="30.75" customHeight="1" x14ac:dyDescent="0.25">
      <c r="A16" s="208">
        <v>5</v>
      </c>
      <c r="B16" s="310"/>
      <c r="C16" s="322" t="s">
        <v>222</v>
      </c>
      <c r="D16" s="312">
        <v>15</v>
      </c>
      <c r="E16" s="201">
        <v>36619</v>
      </c>
      <c r="F16" s="313">
        <f>IF(H16&gt;0,100,0)</f>
        <v>100</v>
      </c>
      <c r="G16" s="313">
        <f>+ROUND(H16*12%,2)</f>
        <v>4394.28</v>
      </c>
      <c r="H16" s="314">
        <f>ROUND(IF(AX16&gt;22,0,IF(AX16=22,E16,IF(AX16&lt;22,E16*(AX16/AZ16),IF(OR(AX16=0,AX16=" ")=TRUE,0)))),2)</f>
        <v>36619</v>
      </c>
      <c r="I16" s="314">
        <f>ROUND(IF(AND(H16&gt;0,AX16=22)=TRUE,2000,IF(AND(H16&gt;0,AX16&lt;22,AX16&gt;0)=TRUE,2000*(AX16/AZ16),IF(AX16&lt;0,0,0))),2)</f>
        <v>2000</v>
      </c>
      <c r="J16" s="314">
        <f>IF(H16&gt;0,BC16-BB16,0)</f>
        <v>1000</v>
      </c>
      <c r="K16" s="314">
        <f>IF(AND(H16&gt;0,AX16&gt;11)=TRUE,150,0)</f>
        <v>150</v>
      </c>
      <c r="L16" s="314">
        <f>ROUND(IF(AND($H16&gt;0,AX16&gt;11)=TRUE,$AW16*$E16,0),2)</f>
        <v>9154.75</v>
      </c>
      <c r="M16" s="314">
        <f>ROUND(SUM(H16:L16),2)</f>
        <v>48923.75</v>
      </c>
      <c r="N16" s="314">
        <v>10244.02</v>
      </c>
      <c r="O16" s="314">
        <f>E16*0.04/2</f>
        <v>732.38</v>
      </c>
      <c r="P16" s="315">
        <f>ROUND($H16*9%,2)</f>
        <v>3295.71</v>
      </c>
      <c r="Q16" s="315"/>
      <c r="R16" s="315"/>
      <c r="S16" s="315"/>
      <c r="T16" s="315"/>
      <c r="U16" s="315"/>
      <c r="V16" s="315"/>
      <c r="W16" s="315"/>
      <c r="X16" s="315"/>
      <c r="Y16" s="315"/>
      <c r="Z16" s="315">
        <f>ROUND(IF(H16&gt;0,100,0),2)</f>
        <v>100</v>
      </c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>
        <f>SUM(N16:AK16)</f>
        <v>14372.11</v>
      </c>
      <c r="AM16" s="316">
        <f>ROUND(M16-AL16,2)</f>
        <v>34551.64</v>
      </c>
      <c r="AN16" s="209" t="s">
        <v>482</v>
      </c>
      <c r="AO16" s="318"/>
      <c r="AP16" s="319"/>
      <c r="AQ16" s="320">
        <f>SUM(AO16:AP16)</f>
        <v>0</v>
      </c>
      <c r="AR16" s="213">
        <f>+AM16-AQ16</f>
        <v>34551.64</v>
      </c>
      <c r="AS16" s="213"/>
      <c r="AT16" s="213"/>
      <c r="AU16" s="213">
        <f>IF(E16=0,0,IF(E16&lt;=10000,137.5,IF(AND(E16&gt;10000,E16&lt;40000)=TRUE,E16*2.75%*50%,IF(E16&gt;=40000,550,0))))</f>
        <v>503.51125000000002</v>
      </c>
      <c r="AV16" s="214"/>
      <c r="AW16" s="214" t="str">
        <f>IF(AND($D16&gt;=1,$D16&lt;=19)=TRUE,"25%",IF($D16=20,"15%",IF($D16=21,"13%",IF($D16=22,"12%",IF($D16=23,"11%",IF(OR($D16=24,$D16=25)=TRUE,"10%",IF($D16=26,"9%",IF($D16=27,"8%",IF($D16=28,"7%",IF(OR($D16=29,$D16=30)=TRUE,"6%",IF($D16=31,"5%","0%")))))))))))</f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>IF(AX16&gt;0,(AZ16-AX16+BD16)*BA16,0)</f>
        <v>100</v>
      </c>
      <c r="BC16" s="213">
        <f>IF(AX16&gt;0,1100,0)</f>
        <v>1100</v>
      </c>
      <c r="BD16" s="215">
        <v>2</v>
      </c>
    </row>
    <row r="17" spans="1:58" s="217" customFormat="1" ht="30.75" customHeight="1" x14ac:dyDescent="0.25">
      <c r="A17" s="208">
        <v>6</v>
      </c>
      <c r="B17" s="310"/>
      <c r="C17" s="322" t="s">
        <v>425</v>
      </c>
      <c r="D17" s="312">
        <v>15</v>
      </c>
      <c r="E17" s="201">
        <v>36619</v>
      </c>
      <c r="F17" s="313">
        <f>IF(H17&gt;0,100,0)</f>
        <v>100</v>
      </c>
      <c r="G17" s="313">
        <f>+ROUND(H17*12%,2)</f>
        <v>4394.28</v>
      </c>
      <c r="H17" s="314">
        <f>ROUND(IF(AX17&gt;22,0,IF(AX17=22,E17,IF(AX17&lt;22,E17*(AX17/AZ17),IF(OR(AX17=0,AX17=" ")=TRUE,0)))),2)</f>
        <v>36619</v>
      </c>
      <c r="I17" s="314">
        <f>ROUND(IF(AND(H17&gt;0,AX17=22)=TRUE,2000,IF(AND(H17&gt;0,AX17&lt;22,AX17&gt;0)=TRUE,2000*(AX17/AZ17),IF(AX17&lt;0,0,0))),2)</f>
        <v>2000</v>
      </c>
      <c r="J17" s="314">
        <f>IF(H17&gt;0,BC17-BB17,0)</f>
        <v>1100</v>
      </c>
      <c r="K17" s="314">
        <f>IF(AND(H17&gt;0,AX17&gt;11)=TRUE,150,0)</f>
        <v>150</v>
      </c>
      <c r="L17" s="314">
        <f>ROUND(IF(AND($H17&gt;0,AX17&gt;11)=TRUE,$AW17*$E17,0),2)</f>
        <v>9154.75</v>
      </c>
      <c r="M17" s="314">
        <f>ROUND(SUM(H17:L17),2)</f>
        <v>49023.75</v>
      </c>
      <c r="N17" s="314">
        <v>7976.63</v>
      </c>
      <c r="O17" s="314">
        <f t="shared" ref="O17" si="2">E17*0.04/2</f>
        <v>732.38</v>
      </c>
      <c r="P17" s="315">
        <f>ROUND($H17*9%,2)</f>
        <v>3295.71</v>
      </c>
      <c r="Q17" s="315"/>
      <c r="R17" s="315"/>
      <c r="S17" s="315"/>
      <c r="T17" s="315"/>
      <c r="U17" s="315"/>
      <c r="V17" s="315"/>
      <c r="W17" s="315"/>
      <c r="X17" s="315"/>
      <c r="Y17" s="315"/>
      <c r="Z17" s="315">
        <f>ROUND(IF(H17&gt;0,100,0),2)</f>
        <v>100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>
        <f>SUM(N17:AK17)</f>
        <v>12104.720000000001</v>
      </c>
      <c r="AM17" s="316">
        <f>ROUND(M17-AL17,2)</f>
        <v>36919.03</v>
      </c>
      <c r="AN17" s="323"/>
      <c r="AO17" s="318"/>
      <c r="AP17" s="319"/>
      <c r="AQ17" s="320">
        <f>SUM(AO17:AP17)</f>
        <v>0</v>
      </c>
      <c r="AR17" s="213">
        <f>+AM17-AQ17</f>
        <v>36919.03</v>
      </c>
      <c r="AS17" s="213"/>
      <c r="AT17" s="213"/>
      <c r="AU17" s="213">
        <f>IF(E17=0,0,IF(E17&lt;=10000,137.5,IF(AND(E17&gt;10000,E17&lt;40000)=TRUE,E17*2.75%*50%,IF(E17&gt;=40000,550,0))))</f>
        <v>503.51125000000002</v>
      </c>
      <c r="AV17" s="214"/>
      <c r="AW17" s="214" t="str">
        <f>IF(AND($D17&gt;=1,$D17&lt;=19)=TRUE,"25%",IF($D17=20,"15%",IF($D17=21,"13%",IF($D17=22,"12%",IF($D17=23,"11%",IF(OR($D17=24,$D17=25)=TRUE,"10%",IF($D17=26,"9%",IF($D17=27,"8%",IF($D17=28,"7%",IF(OR($D17=29,$D17=30)=TRUE,"6%",IF($D17=31,"5%","0%")))))))))))</f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>IF(AX17&gt;0,(AZ17-AX17+BD17)*BA17,0)</f>
        <v>0</v>
      </c>
      <c r="BC17" s="213">
        <f>IF(AX17&gt;0,1100,0)</f>
        <v>1100</v>
      </c>
      <c r="BD17" s="215"/>
    </row>
    <row r="18" spans="1:58" s="351" customFormat="1" ht="30" customHeight="1" x14ac:dyDescent="0.25">
      <c r="A18" s="346"/>
      <c r="B18" s="347"/>
      <c r="C18" s="348" t="s">
        <v>102</v>
      </c>
      <c r="D18" s="349"/>
      <c r="E18" s="350">
        <f t="shared" ref="E18:AJ18" si="3">SUM(E15:E17)</f>
        <v>109857</v>
      </c>
      <c r="F18" s="350">
        <f t="shared" si="3"/>
        <v>300</v>
      </c>
      <c r="G18" s="350">
        <f t="shared" si="3"/>
        <v>13182.84</v>
      </c>
      <c r="H18" s="350">
        <f t="shared" si="3"/>
        <v>109857</v>
      </c>
      <c r="I18" s="350">
        <f t="shared" si="3"/>
        <v>6000</v>
      </c>
      <c r="J18" s="350">
        <f t="shared" si="3"/>
        <v>3200</v>
      </c>
      <c r="K18" s="350">
        <f t="shared" si="3"/>
        <v>450</v>
      </c>
      <c r="L18" s="350">
        <f t="shared" si="3"/>
        <v>27464.25</v>
      </c>
      <c r="M18" s="350">
        <f>SUM(M15:M17)</f>
        <v>146971.25</v>
      </c>
      <c r="N18" s="350">
        <f t="shared" si="3"/>
        <v>28464.670000000002</v>
      </c>
      <c r="O18" s="350">
        <f t="shared" si="3"/>
        <v>2197.14</v>
      </c>
      <c r="P18" s="350">
        <f t="shared" si="3"/>
        <v>9887.130000000001</v>
      </c>
      <c r="Q18" s="350">
        <f t="shared" si="3"/>
        <v>0</v>
      </c>
      <c r="R18" s="350">
        <f t="shared" si="3"/>
        <v>0</v>
      </c>
      <c r="S18" s="350">
        <f t="shared" si="3"/>
        <v>0</v>
      </c>
      <c r="T18" s="350">
        <f t="shared" si="3"/>
        <v>0</v>
      </c>
      <c r="U18" s="350">
        <f t="shared" si="3"/>
        <v>0</v>
      </c>
      <c r="V18" s="350">
        <f t="shared" si="3"/>
        <v>0</v>
      </c>
      <c r="W18" s="350">
        <f t="shared" si="3"/>
        <v>0</v>
      </c>
      <c r="X18" s="350">
        <f t="shared" si="3"/>
        <v>0</v>
      </c>
      <c r="Y18" s="350">
        <f t="shared" si="3"/>
        <v>0</v>
      </c>
      <c r="Z18" s="350">
        <f t="shared" si="3"/>
        <v>300</v>
      </c>
      <c r="AA18" s="350">
        <f t="shared" si="3"/>
        <v>0</v>
      </c>
      <c r="AB18" s="350">
        <f t="shared" si="3"/>
        <v>0</v>
      </c>
      <c r="AC18" s="350">
        <f t="shared" si="3"/>
        <v>0</v>
      </c>
      <c r="AD18" s="350">
        <f t="shared" si="3"/>
        <v>0</v>
      </c>
      <c r="AE18" s="350">
        <f t="shared" si="3"/>
        <v>0</v>
      </c>
      <c r="AF18" s="350">
        <f t="shared" si="3"/>
        <v>0</v>
      </c>
      <c r="AG18" s="350">
        <f t="shared" si="3"/>
        <v>0</v>
      </c>
      <c r="AH18" s="350">
        <f t="shared" si="3"/>
        <v>0</v>
      </c>
      <c r="AI18" s="350">
        <f t="shared" si="3"/>
        <v>0</v>
      </c>
      <c r="AJ18" s="350">
        <f t="shared" si="3"/>
        <v>0</v>
      </c>
      <c r="AK18" s="350">
        <f t="shared" ref="AK18:BD18" si="4">SUM(AK15:AK17)</f>
        <v>0</v>
      </c>
      <c r="AL18" s="350">
        <f t="shared" si="4"/>
        <v>40848.94</v>
      </c>
      <c r="AM18" s="350">
        <f t="shared" si="4"/>
        <v>106122.31</v>
      </c>
      <c r="AN18" s="350"/>
      <c r="AO18" s="350">
        <f t="shared" si="4"/>
        <v>0</v>
      </c>
      <c r="AP18" s="350">
        <f t="shared" si="4"/>
        <v>0</v>
      </c>
      <c r="AQ18" s="350">
        <f t="shared" si="4"/>
        <v>0</v>
      </c>
      <c r="AR18" s="350">
        <f t="shared" si="4"/>
        <v>106122.31</v>
      </c>
      <c r="AS18" s="350">
        <f t="shared" si="4"/>
        <v>0</v>
      </c>
      <c r="AT18" s="350">
        <f t="shared" si="4"/>
        <v>0</v>
      </c>
      <c r="AU18" s="350">
        <f t="shared" si="4"/>
        <v>1510.5337500000001</v>
      </c>
      <c r="AV18" s="350">
        <f t="shared" si="4"/>
        <v>0</v>
      </c>
      <c r="AW18" s="350">
        <f t="shared" si="4"/>
        <v>0</v>
      </c>
      <c r="AX18" s="350">
        <f t="shared" si="4"/>
        <v>66</v>
      </c>
      <c r="AY18" s="350">
        <f t="shared" si="4"/>
        <v>450</v>
      </c>
      <c r="AZ18" s="350">
        <f t="shared" si="4"/>
        <v>66</v>
      </c>
      <c r="BA18" s="350">
        <f t="shared" si="4"/>
        <v>150</v>
      </c>
      <c r="BB18" s="350">
        <f t="shared" si="4"/>
        <v>100</v>
      </c>
      <c r="BC18" s="350">
        <f t="shared" si="4"/>
        <v>3300</v>
      </c>
      <c r="BD18" s="350">
        <f t="shared" si="4"/>
        <v>2</v>
      </c>
    </row>
    <row r="19" spans="1:58" s="294" customFormat="1" ht="21" customHeight="1" x14ac:dyDescent="0.25">
      <c r="A19" s="609" t="s">
        <v>408</v>
      </c>
      <c r="B19" s="556"/>
      <c r="C19" s="556"/>
      <c r="D19" s="200"/>
      <c r="E19" s="201"/>
      <c r="F19" s="201"/>
      <c r="G19" s="201"/>
      <c r="H19" s="202"/>
      <c r="I19" s="202"/>
      <c r="J19" s="202"/>
      <c r="K19" s="202"/>
      <c r="L19" s="202"/>
      <c r="M19" s="202"/>
      <c r="N19" s="202"/>
      <c r="O19" s="202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4"/>
      <c r="AN19" s="291"/>
      <c r="AO19" s="207"/>
      <c r="AP19" s="207"/>
      <c r="AQ19" s="212"/>
      <c r="AR19" s="212"/>
      <c r="AS19" s="212"/>
      <c r="AT19" s="212"/>
      <c r="AU19" s="212"/>
      <c r="AV19" s="292"/>
      <c r="AW19" s="292"/>
      <c r="AX19" s="215"/>
      <c r="AY19" s="212"/>
      <c r="AZ19" s="292"/>
      <c r="BA19" s="212"/>
      <c r="BB19" s="212"/>
      <c r="BC19" s="212"/>
      <c r="BD19" s="210"/>
    </row>
    <row r="20" spans="1:58" s="217" customFormat="1" ht="32.25" customHeight="1" x14ac:dyDescent="0.25">
      <c r="A20" s="324">
        <v>7</v>
      </c>
      <c r="B20" s="298"/>
      <c r="C20" s="299" t="s">
        <v>409</v>
      </c>
      <c r="D20" s="300">
        <v>17</v>
      </c>
      <c r="E20" s="301">
        <v>43030</v>
      </c>
      <c r="F20" s="301">
        <f>IF(H20&gt;0,100,0)</f>
        <v>100</v>
      </c>
      <c r="G20" s="301">
        <f>+ROUND(H20*12%,2)</f>
        <v>5163.6000000000004</v>
      </c>
      <c r="H20" s="302">
        <f>ROUND(IF(AX20&gt;22,0,IF(AX20=22,E20,IF(AX20&lt;22,E20*(AX20/AZ20),IF(OR(AX20=0,AX20=" ")=TRUE,0)))),2)</f>
        <v>43030</v>
      </c>
      <c r="I20" s="302">
        <f>ROUND(IF(AND(H20&gt;0,AX20=22)=TRUE,2000,IF(AND(H20&gt;0,AX20&lt;22,AX20&gt;0)=TRUE,2000*(AX20/AZ20),IF(AX20&lt;0,0,0))),2)</f>
        <v>2000</v>
      </c>
      <c r="J20" s="302">
        <f>IF(H20&gt;0,BC20-BB20,0)</f>
        <v>1000</v>
      </c>
      <c r="K20" s="302">
        <f>IF(AND(H20&gt;0,AX20&gt;11)=TRUE,150,0)</f>
        <v>150</v>
      </c>
      <c r="L20" s="302">
        <f>ROUND(IF(AND($H20&gt;0,AX20&gt;11)=TRUE,$AW20*$E20,0),2)</f>
        <v>10757.5</v>
      </c>
      <c r="M20" s="302">
        <f>ROUND(SUM(H20:L20),2)</f>
        <v>56937.5</v>
      </c>
      <c r="N20" s="302">
        <v>8061.38</v>
      </c>
      <c r="O20" s="302">
        <f>E20*0.04/2</f>
        <v>860.6</v>
      </c>
      <c r="P20" s="303">
        <f>ROUND($H20*9%,2)</f>
        <v>3872.7</v>
      </c>
      <c r="Q20" s="303"/>
      <c r="R20" s="303"/>
      <c r="S20" s="303"/>
      <c r="T20" s="303"/>
      <c r="U20" s="303"/>
      <c r="V20" s="303"/>
      <c r="W20" s="303"/>
      <c r="X20" s="303"/>
      <c r="Y20" s="303"/>
      <c r="Z20" s="303">
        <f>ROUND(IF(H20&gt;0,100,0),2)</f>
        <v>100</v>
      </c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>
        <f>SUM(N20:AK20)</f>
        <v>12894.68</v>
      </c>
      <c r="AM20" s="304">
        <f>ROUND(M20-AL20,2)</f>
        <v>44042.82</v>
      </c>
      <c r="AN20" s="321" t="s">
        <v>483</v>
      </c>
      <c r="AO20" s="306"/>
      <c r="AP20" s="307"/>
      <c r="AQ20" s="308">
        <f>SUM(AO20:AP20)</f>
        <v>0</v>
      </c>
      <c r="AR20" s="213">
        <f>+AM20-AQ20</f>
        <v>44042.82</v>
      </c>
      <c r="AS20" s="213"/>
      <c r="AT20" s="213"/>
      <c r="AU20" s="213">
        <f>IF(E20=0,0,IF(E20&lt;=10000,137.5,IF(AND(E20&gt;10000,E20&lt;40000)=TRUE,E20*2.75%*50%,IF(E20&gt;=40000,550,0))))</f>
        <v>550</v>
      </c>
      <c r="AV20" s="214"/>
      <c r="AW20" s="214" t="str">
        <f>IF(AND($D20&gt;=1,$D20&lt;=19)=TRUE,"25%",IF($D20=20,"15%",IF($D20=21,"13%",IF($D20=22,"12%",IF($D20=23,"11%",IF(OR($D20=24,$D20=25)=TRUE,"10%",IF($D20=26,"9%",IF($D20=27,"8%",IF($D20=28,"7%",IF(OR($D20=29,$D20=30)=TRUE,"6%",IF($D20=31,"5%","0%")))))))))))</f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>IF(AX20&gt;0,(AZ20-AX20+BD20)*BA20,0)</f>
        <v>100</v>
      </c>
      <c r="BC20" s="213">
        <f>IF(AX20&gt;0,1100,0)</f>
        <v>1100</v>
      </c>
      <c r="BD20" s="215">
        <v>2</v>
      </c>
    </row>
    <row r="21" spans="1:58" s="217" customFormat="1" ht="32.25" customHeight="1" x14ac:dyDescent="0.25">
      <c r="A21" s="324">
        <v>8</v>
      </c>
      <c r="B21" s="210"/>
      <c r="C21" s="230" t="s">
        <v>410</v>
      </c>
      <c r="D21" s="200">
        <v>17</v>
      </c>
      <c r="E21" s="301">
        <v>43030</v>
      </c>
      <c r="F21" s="201">
        <f>IF(H21&gt;0,100,0)</f>
        <v>100</v>
      </c>
      <c r="G21" s="201">
        <f>+ROUND(H21*12%,2)</f>
        <v>5163.6000000000004</v>
      </c>
      <c r="H21" s="202">
        <f>ROUND(IF(AX21&gt;22,0,IF(AX21=22,E21,IF(AX21&lt;22,E21*(AX21/AZ21),IF(OR(AX21=0,AX21=" ")=TRUE,0)))),2)</f>
        <v>43030</v>
      </c>
      <c r="I21" s="202">
        <f>ROUND(IF(AND(H21&gt;0,AX21=22)=TRUE,2000,IF(AND(H21&gt;0,AX21&lt;22,AX21&gt;0)=TRUE,2000*(AX21/AZ21),IF(AX21&lt;0,0,0))),2)</f>
        <v>2000</v>
      </c>
      <c r="J21" s="202">
        <f>IF(H21&gt;0,BC21-BB21,0)</f>
        <v>1100</v>
      </c>
      <c r="K21" s="202">
        <f>IF(AND(H21&gt;0,AX21&gt;11)=TRUE,150,0)</f>
        <v>150</v>
      </c>
      <c r="L21" s="202">
        <f>ROUND(IF(AND($H21&gt;0,AX21&gt;11)=TRUE,$AW21*$E21,0),2)</f>
        <v>10757.5</v>
      </c>
      <c r="M21" s="202">
        <f>ROUND(SUM(H21:L21),2)</f>
        <v>57037.5</v>
      </c>
      <c r="N21" s="202">
        <v>10273.42</v>
      </c>
      <c r="O21" s="202">
        <f>E21*0.04/2</f>
        <v>860.6</v>
      </c>
      <c r="P21" s="203">
        <f>ROUND($H21*9%,2)</f>
        <v>3872.7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>SUM(N21:AK21)</f>
        <v>15106.720000000001</v>
      </c>
      <c r="AM21" s="204">
        <f>ROUND(M21-AL21,2)</f>
        <v>41930.78</v>
      </c>
      <c r="AN21" s="209"/>
      <c r="AO21" s="211"/>
      <c r="AP21" s="207"/>
      <c r="AQ21" s="212">
        <f>SUM(AO21:AP21)</f>
        <v>0</v>
      </c>
      <c r="AR21" s="213">
        <f>+AM21-AQ21</f>
        <v>41930.78</v>
      </c>
      <c r="AS21" s="213"/>
      <c r="AT21" s="213"/>
      <c r="AU21" s="213">
        <f>IF(E21=0,0,IF(E21&lt;=10000,137.5,IF(AND(E21&gt;10000,E21&lt;40000)=TRUE,E21*2.75%*50%,IF(E21&gt;=40000,550,0))))</f>
        <v>550</v>
      </c>
      <c r="AV21" s="214"/>
      <c r="AW21" s="214" t="str">
        <f>IF(AND($D21&gt;=1,$D21&lt;=19)=TRUE,"25%",IF($D21=20,"15%",IF($D21=21,"13%",IF($D21=22,"12%",IF($D21=23,"11%",IF(OR($D21=24,$D21=25)=TRUE,"10%",IF($D21=26,"9%",IF($D21=27,"8%",IF($D21=28,"7%",IF(OR($D21=29,$D21=30)=TRUE,"6%",IF($D21=31,"5%","0%")))))))))))</f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>IF(AX21&gt;0,(AZ21-AX21+BD21)*BA21,0)</f>
        <v>0</v>
      </c>
      <c r="BC21" s="213">
        <f>IF(AX21&gt;0,1100,0)</f>
        <v>1100</v>
      </c>
      <c r="BD21" s="215"/>
    </row>
    <row r="22" spans="1:58" s="351" customFormat="1" ht="30" customHeight="1" x14ac:dyDescent="0.25">
      <c r="A22" s="346"/>
      <c r="B22" s="347"/>
      <c r="C22" s="348" t="s">
        <v>102</v>
      </c>
      <c r="D22" s="349"/>
      <c r="E22" s="350">
        <f>SUM(E20:E21)</f>
        <v>86060</v>
      </c>
      <c r="F22" s="350">
        <f t="shared" ref="F22:BD22" si="5">SUM(F20:F21)</f>
        <v>200</v>
      </c>
      <c r="G22" s="350">
        <f t="shared" si="5"/>
        <v>10327.200000000001</v>
      </c>
      <c r="H22" s="350">
        <f>SUM(H20:H21)</f>
        <v>86060</v>
      </c>
      <c r="I22" s="350">
        <f t="shared" si="5"/>
        <v>4000</v>
      </c>
      <c r="J22" s="350">
        <f t="shared" si="5"/>
        <v>2100</v>
      </c>
      <c r="K22" s="350">
        <f t="shared" si="5"/>
        <v>300</v>
      </c>
      <c r="L22" s="350">
        <f t="shared" si="5"/>
        <v>21515</v>
      </c>
      <c r="M22" s="350">
        <f>SUM(M20:M21)</f>
        <v>113975</v>
      </c>
      <c r="N22" s="350">
        <f t="shared" si="5"/>
        <v>18334.8</v>
      </c>
      <c r="O22" s="350">
        <f t="shared" si="5"/>
        <v>1721.2</v>
      </c>
      <c r="P22" s="350">
        <f t="shared" si="5"/>
        <v>7745.4</v>
      </c>
      <c r="Q22" s="350">
        <f t="shared" si="5"/>
        <v>0</v>
      </c>
      <c r="R22" s="350">
        <f t="shared" si="5"/>
        <v>0</v>
      </c>
      <c r="S22" s="350">
        <f t="shared" si="5"/>
        <v>0</v>
      </c>
      <c r="T22" s="350">
        <f t="shared" si="5"/>
        <v>0</v>
      </c>
      <c r="U22" s="350">
        <f t="shared" si="5"/>
        <v>0</v>
      </c>
      <c r="V22" s="350">
        <f t="shared" si="5"/>
        <v>0</v>
      </c>
      <c r="W22" s="350">
        <f t="shared" si="5"/>
        <v>0</v>
      </c>
      <c r="X22" s="350">
        <f t="shared" si="5"/>
        <v>0</v>
      </c>
      <c r="Y22" s="350">
        <f t="shared" si="5"/>
        <v>0</v>
      </c>
      <c r="Z22" s="350">
        <f t="shared" si="5"/>
        <v>200</v>
      </c>
      <c r="AA22" s="350">
        <f t="shared" si="5"/>
        <v>0</v>
      </c>
      <c r="AB22" s="350">
        <f t="shared" si="5"/>
        <v>0</v>
      </c>
      <c r="AC22" s="350">
        <f t="shared" si="5"/>
        <v>0</v>
      </c>
      <c r="AD22" s="350">
        <f t="shared" si="5"/>
        <v>0</v>
      </c>
      <c r="AE22" s="350">
        <f t="shared" si="5"/>
        <v>0</v>
      </c>
      <c r="AF22" s="350">
        <f t="shared" si="5"/>
        <v>0</v>
      </c>
      <c r="AG22" s="350">
        <f t="shared" si="5"/>
        <v>0</v>
      </c>
      <c r="AH22" s="350">
        <f t="shared" si="5"/>
        <v>0</v>
      </c>
      <c r="AI22" s="350">
        <f t="shared" si="5"/>
        <v>0</v>
      </c>
      <c r="AJ22" s="350">
        <f t="shared" si="5"/>
        <v>0</v>
      </c>
      <c r="AK22" s="350">
        <f t="shared" si="5"/>
        <v>0</v>
      </c>
      <c r="AL22" s="350">
        <f t="shared" si="5"/>
        <v>28001.4</v>
      </c>
      <c r="AM22" s="350">
        <f t="shared" si="5"/>
        <v>85973.6</v>
      </c>
      <c r="AN22" s="350"/>
      <c r="AO22" s="350">
        <f t="shared" si="5"/>
        <v>0</v>
      </c>
      <c r="AP22" s="350">
        <f t="shared" si="5"/>
        <v>0</v>
      </c>
      <c r="AQ22" s="350">
        <f t="shared" si="5"/>
        <v>0</v>
      </c>
      <c r="AR22" s="350">
        <f t="shared" si="5"/>
        <v>85973.6</v>
      </c>
      <c r="AS22" s="350">
        <f t="shared" si="5"/>
        <v>0</v>
      </c>
      <c r="AT22" s="350">
        <f t="shared" si="5"/>
        <v>0</v>
      </c>
      <c r="AU22" s="350">
        <f t="shared" si="5"/>
        <v>1100</v>
      </c>
      <c r="AV22" s="350">
        <f t="shared" si="5"/>
        <v>0</v>
      </c>
      <c r="AW22" s="350">
        <f t="shared" si="5"/>
        <v>0</v>
      </c>
      <c r="AX22" s="350">
        <f t="shared" si="5"/>
        <v>44</v>
      </c>
      <c r="AY22" s="350">
        <f t="shared" si="5"/>
        <v>300</v>
      </c>
      <c r="AZ22" s="350">
        <f t="shared" si="5"/>
        <v>44</v>
      </c>
      <c r="BA22" s="350">
        <f t="shared" si="5"/>
        <v>100</v>
      </c>
      <c r="BB22" s="350">
        <f t="shared" si="5"/>
        <v>100</v>
      </c>
      <c r="BC22" s="350">
        <f t="shared" si="5"/>
        <v>2200</v>
      </c>
      <c r="BD22" s="350">
        <f t="shared" si="5"/>
        <v>2</v>
      </c>
    </row>
    <row r="23" spans="1:58" s="294" customFormat="1" ht="21" customHeight="1" x14ac:dyDescent="0.25">
      <c r="A23" s="609" t="s">
        <v>435</v>
      </c>
      <c r="B23" s="556"/>
      <c r="C23" s="556"/>
      <c r="D23" s="200"/>
      <c r="E23" s="201"/>
      <c r="F23" s="201"/>
      <c r="G23" s="201"/>
      <c r="H23" s="202"/>
      <c r="I23" s="202"/>
      <c r="J23" s="202"/>
      <c r="K23" s="202"/>
      <c r="L23" s="202"/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4"/>
      <c r="AN23" s="291"/>
      <c r="AO23" s="207"/>
      <c r="AP23" s="207"/>
      <c r="AQ23" s="212"/>
      <c r="AR23" s="212"/>
      <c r="AS23" s="212"/>
      <c r="AT23" s="212"/>
      <c r="AU23" s="212"/>
      <c r="AV23" s="292"/>
      <c r="AW23" s="292"/>
      <c r="AX23" s="215"/>
      <c r="AY23" s="212"/>
      <c r="AZ23" s="292"/>
      <c r="BA23" s="212"/>
      <c r="BB23" s="212"/>
      <c r="BC23" s="212"/>
      <c r="BD23" s="210"/>
    </row>
    <row r="24" spans="1:58" s="217" customFormat="1" ht="32.25" customHeight="1" x14ac:dyDescent="0.25">
      <c r="A24" s="324">
        <v>9</v>
      </c>
      <c r="B24" s="298"/>
      <c r="C24" s="299" t="s">
        <v>436</v>
      </c>
      <c r="D24" s="300">
        <v>15</v>
      </c>
      <c r="E24" s="301">
        <v>36619</v>
      </c>
      <c r="F24" s="301">
        <f>IF(H24&gt;0,100,0)</f>
        <v>100</v>
      </c>
      <c r="G24" s="301">
        <f>+ROUND(H24*12%,2)</f>
        <v>4394.28</v>
      </c>
      <c r="H24" s="302">
        <f>ROUND(IF(AX24&gt;22,0,IF(AX24=22,E24,IF(AX24&lt;22,E24*(AX24/AZ24),IF(OR(AX24=0,AX24=" ")=TRUE,0)))),2)</f>
        <v>36619</v>
      </c>
      <c r="I24" s="302">
        <f>ROUND(IF(AND(H24&gt;0,AX24=22)=TRUE,2000,IF(AND(H24&gt;0,AX24&lt;22,AX24&gt;0)=TRUE,2000*(AX24/AZ24),IF(AX24&lt;0,0,0))),2)</f>
        <v>2000</v>
      </c>
      <c r="J24" s="302">
        <f>IF(H24&gt;0,BC24-BB24,0)</f>
        <v>1100</v>
      </c>
      <c r="K24" s="302">
        <f>IF(AND(H24&gt;0,AX24&gt;11)=TRUE,150,0)</f>
        <v>150</v>
      </c>
      <c r="L24" s="302">
        <f>ROUND(IF(AND($H24&gt;0,AX24&gt;11)=TRUE,$AW24*$E24,0),2)</f>
        <v>9154.75</v>
      </c>
      <c r="M24" s="302">
        <f>ROUND(SUM(H24:L24),2)</f>
        <v>49023.75</v>
      </c>
      <c r="N24" s="302"/>
      <c r="O24" s="302">
        <f>E24*0.04/2</f>
        <v>732.38</v>
      </c>
      <c r="P24" s="303">
        <f>ROUND($H24*9%,2)</f>
        <v>3295.71</v>
      </c>
      <c r="Q24" s="303"/>
      <c r="R24" s="303"/>
      <c r="S24" s="303"/>
      <c r="T24" s="303"/>
      <c r="U24" s="303"/>
      <c r="V24" s="303"/>
      <c r="W24" s="303"/>
      <c r="X24" s="303"/>
      <c r="Y24" s="303"/>
      <c r="Z24" s="303">
        <f>ROUND(IF(H24&gt;0,100,0),2)</f>
        <v>100</v>
      </c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>
        <f>SUM(N24:AK24)</f>
        <v>4128.09</v>
      </c>
      <c r="AM24" s="304">
        <f>ROUND(M24-AL24,2)</f>
        <v>44895.66</v>
      </c>
      <c r="AN24" s="333"/>
      <c r="AO24" s="306"/>
      <c r="AP24" s="307"/>
      <c r="AQ24" s="308">
        <f>SUM(AO24:AP24)</f>
        <v>0</v>
      </c>
      <c r="AR24" s="213">
        <f>+AM24-AQ24</f>
        <v>44895.66</v>
      </c>
      <c r="AS24" s="213"/>
      <c r="AT24" s="213"/>
      <c r="AU24" s="213">
        <f>IF(E24=0,0,IF(E24&lt;=10000,137.5,IF(AND(E24&gt;10000,E24&lt;40000)=TRUE,E24*2.75%*50%,IF(E24&gt;=40000,550,0))))</f>
        <v>503.51125000000002</v>
      </c>
      <c r="AV24" s="214"/>
      <c r="AW24" s="214" t="str">
        <f>IF(AND($D24&gt;=1,$D24&lt;=19)=TRUE,"25%",IF($D24=20,"15%",IF($D24=21,"13%",IF($D24=22,"12%",IF($D24=23,"11%",IF(OR($D24=24,$D24=25)=TRUE,"10%",IF($D24=26,"9%",IF($D24=27,"8%",IF($D24=28,"7%",IF(OR($D24=29,$D24=30)=TRUE,"6%",IF($D24=31,"5%","0%")))))))))))</f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>IF(AX24&gt;0,(AZ24-AX24+BD24)*BA24,0)</f>
        <v>0</v>
      </c>
      <c r="BC24" s="213">
        <f>IF(AX24&gt;0,1100,0)</f>
        <v>1100</v>
      </c>
      <c r="BD24" s="215"/>
    </row>
    <row r="25" spans="1:58" s="345" customFormat="1" ht="30" customHeight="1" thickBot="1" x14ac:dyDescent="0.25">
      <c r="A25" s="340"/>
      <c r="B25" s="341"/>
      <c r="C25" s="342" t="s">
        <v>193</v>
      </c>
      <c r="D25" s="343"/>
      <c r="E25" s="344">
        <f>ROUND(SUM(E13+E18+E22+E24),2)</f>
        <v>342393</v>
      </c>
      <c r="F25" s="344">
        <f t="shared" ref="F25:AM25" si="6">ROUND(SUM(F13+F18+F22+F24),2)</f>
        <v>900</v>
      </c>
      <c r="G25" s="344">
        <f t="shared" si="6"/>
        <v>41087.160000000003</v>
      </c>
      <c r="H25" s="344">
        <f>ROUND(SUM(H13+H18+H22+H24),2)</f>
        <v>342393</v>
      </c>
      <c r="I25" s="344">
        <f t="shared" si="6"/>
        <v>18000</v>
      </c>
      <c r="J25" s="344">
        <f t="shared" si="6"/>
        <v>9700</v>
      </c>
      <c r="K25" s="344">
        <f t="shared" si="6"/>
        <v>1350</v>
      </c>
      <c r="L25" s="344">
        <f t="shared" si="6"/>
        <v>85598.25</v>
      </c>
      <c r="M25" s="344">
        <f>ROUND(SUM(M13+M18+M22+M24),2)</f>
        <v>457041.25</v>
      </c>
      <c r="N25" s="344">
        <f t="shared" si="6"/>
        <v>71179.44</v>
      </c>
      <c r="O25" s="344">
        <f t="shared" si="6"/>
        <v>6847.86</v>
      </c>
      <c r="P25" s="344">
        <f t="shared" si="6"/>
        <v>30815.37</v>
      </c>
      <c r="Q25" s="344">
        <f t="shared" si="6"/>
        <v>0</v>
      </c>
      <c r="R25" s="344">
        <f t="shared" si="6"/>
        <v>0</v>
      </c>
      <c r="S25" s="344">
        <f t="shared" si="6"/>
        <v>0</v>
      </c>
      <c r="T25" s="344">
        <f t="shared" si="6"/>
        <v>0</v>
      </c>
      <c r="U25" s="344">
        <f t="shared" si="6"/>
        <v>0</v>
      </c>
      <c r="V25" s="344">
        <f t="shared" si="6"/>
        <v>0</v>
      </c>
      <c r="W25" s="344">
        <f t="shared" si="6"/>
        <v>0</v>
      </c>
      <c r="X25" s="344">
        <f t="shared" si="6"/>
        <v>0</v>
      </c>
      <c r="Y25" s="344">
        <f t="shared" si="6"/>
        <v>0</v>
      </c>
      <c r="Z25" s="344">
        <f t="shared" si="6"/>
        <v>900</v>
      </c>
      <c r="AA25" s="344">
        <f t="shared" si="6"/>
        <v>0</v>
      </c>
      <c r="AB25" s="344">
        <f t="shared" si="6"/>
        <v>0</v>
      </c>
      <c r="AC25" s="344">
        <f t="shared" si="6"/>
        <v>0</v>
      </c>
      <c r="AD25" s="344">
        <f t="shared" si="6"/>
        <v>0</v>
      </c>
      <c r="AE25" s="344">
        <f t="shared" si="6"/>
        <v>0</v>
      </c>
      <c r="AF25" s="344">
        <f t="shared" si="6"/>
        <v>0</v>
      </c>
      <c r="AG25" s="344">
        <f t="shared" si="6"/>
        <v>0</v>
      </c>
      <c r="AH25" s="344">
        <f t="shared" si="6"/>
        <v>0</v>
      </c>
      <c r="AI25" s="344">
        <f t="shared" si="6"/>
        <v>0</v>
      </c>
      <c r="AJ25" s="344">
        <f t="shared" si="6"/>
        <v>0</v>
      </c>
      <c r="AK25" s="344">
        <f t="shared" si="6"/>
        <v>0</v>
      </c>
      <c r="AL25" s="344">
        <f t="shared" si="6"/>
        <v>109742.67</v>
      </c>
      <c r="AM25" s="344">
        <f t="shared" si="6"/>
        <v>347298.58</v>
      </c>
      <c r="AN25" s="344"/>
      <c r="AO25" s="344">
        <f t="shared" ref="AO25:BF25" si="7">ROUND(SUM(AO13+AO18+AO22+AO24),2)</f>
        <v>0</v>
      </c>
      <c r="AP25" s="344">
        <f t="shared" si="7"/>
        <v>0</v>
      </c>
      <c r="AQ25" s="344">
        <f t="shared" si="7"/>
        <v>0</v>
      </c>
      <c r="AR25" s="344">
        <f t="shared" si="7"/>
        <v>347298.58</v>
      </c>
      <c r="AS25" s="344">
        <f t="shared" si="7"/>
        <v>0</v>
      </c>
      <c r="AT25" s="344">
        <f t="shared" si="7"/>
        <v>0</v>
      </c>
      <c r="AU25" s="344">
        <f t="shared" si="7"/>
        <v>4624.58</v>
      </c>
      <c r="AV25" s="344">
        <f t="shared" si="7"/>
        <v>0</v>
      </c>
      <c r="AW25" s="344">
        <f t="shared" si="7"/>
        <v>0.25</v>
      </c>
      <c r="AX25" s="344">
        <f t="shared" si="7"/>
        <v>198</v>
      </c>
      <c r="AY25" s="344">
        <f t="shared" si="7"/>
        <v>1350</v>
      </c>
      <c r="AZ25" s="344">
        <f t="shared" si="7"/>
        <v>198</v>
      </c>
      <c r="BA25" s="344">
        <f t="shared" si="7"/>
        <v>450</v>
      </c>
      <c r="BB25" s="344">
        <f t="shared" si="7"/>
        <v>200</v>
      </c>
      <c r="BC25" s="344">
        <f t="shared" si="7"/>
        <v>9900</v>
      </c>
      <c r="BD25" s="344">
        <f t="shared" si="7"/>
        <v>4</v>
      </c>
      <c r="BE25" s="344">
        <f t="shared" si="7"/>
        <v>0</v>
      </c>
      <c r="BF25" s="344">
        <f t="shared" si="7"/>
        <v>0</v>
      </c>
    </row>
    <row r="26" spans="1:58" ht="28.5" customHeight="1" x14ac:dyDescent="0.2">
      <c r="A26" s="235" t="s">
        <v>111</v>
      </c>
      <c r="B26" s="236"/>
      <c r="D26" s="1"/>
      <c r="I26" s="110"/>
      <c r="J26" s="111" t="s">
        <v>112</v>
      </c>
      <c r="AL26" s="5"/>
      <c r="AM26" s="5"/>
      <c r="AN26" s="127"/>
      <c r="AO26" s="1"/>
      <c r="AP26" s="6"/>
      <c r="AQ26" s="6"/>
      <c r="AR26" s="6"/>
      <c r="AS26" s="4"/>
      <c r="AT26" s="1"/>
      <c r="AU26" s="4"/>
      <c r="AV26" s="6"/>
      <c r="AW26" s="4"/>
      <c r="AX26" s="1"/>
      <c r="AY26" s="1"/>
      <c r="AZ26" s="6"/>
      <c r="BC26" s="1"/>
    </row>
    <row r="27" spans="1:58" ht="18.75" customHeight="1" x14ac:dyDescent="0.2">
      <c r="A27" s="368"/>
      <c r="I27" s="110"/>
      <c r="J27" s="111" t="s">
        <v>113</v>
      </c>
      <c r="AL27" s="5"/>
      <c r="AM27" s="5"/>
      <c r="AN27" s="127"/>
      <c r="AO27" s="1"/>
      <c r="AP27" s="6"/>
      <c r="AQ27" s="6"/>
      <c r="AR27" s="6"/>
      <c r="AS27" s="4"/>
      <c r="AT27" s="1"/>
      <c r="AU27" s="4"/>
      <c r="AV27" s="6"/>
      <c r="AW27" s="4"/>
      <c r="AX27" s="1"/>
      <c r="AY27" s="1"/>
      <c r="AZ27" s="6"/>
      <c r="BC27" s="1"/>
    </row>
    <row r="28" spans="1:58" x14ac:dyDescent="0.2">
      <c r="A28" s="368"/>
      <c r="I28" s="110"/>
      <c r="J28" s="111"/>
      <c r="AL28" s="5"/>
      <c r="AM28" s="5"/>
      <c r="AN28" s="127"/>
      <c r="AO28" s="1"/>
      <c r="AP28" s="6"/>
      <c r="AQ28" s="6"/>
      <c r="AR28" s="6"/>
      <c r="AS28" s="4"/>
      <c r="AT28" s="1"/>
      <c r="AU28" s="4"/>
      <c r="AV28" s="6"/>
      <c r="AW28" s="4"/>
      <c r="AX28" s="1"/>
      <c r="AY28" s="1"/>
      <c r="AZ28" s="6"/>
      <c r="BC28" s="1"/>
    </row>
    <row r="29" spans="1:58" ht="21.75" customHeight="1" x14ac:dyDescent="0.2">
      <c r="A29" s="368"/>
      <c r="I29" s="110"/>
      <c r="J29" s="111"/>
      <c r="X29" s="1"/>
      <c r="AL29" s="1"/>
      <c r="AM29" s="1"/>
      <c r="AN29" s="110"/>
      <c r="AO29" s="1"/>
      <c r="AP29" s="6">
        <v>432005</v>
      </c>
      <c r="AQ29" s="6"/>
      <c r="AR29" s="6"/>
      <c r="AS29" s="4"/>
      <c r="AT29" s="1"/>
      <c r="AU29" s="4"/>
      <c r="AV29" s="6"/>
      <c r="AW29" s="4"/>
      <c r="AX29" s="1"/>
      <c r="AY29" s="1"/>
      <c r="AZ29" s="6"/>
      <c r="BC29" s="1"/>
    </row>
    <row r="30" spans="1:58" x14ac:dyDescent="0.2">
      <c r="A30" s="548" t="s">
        <v>114</v>
      </c>
      <c r="B30" s="549"/>
      <c r="C30" s="549"/>
      <c r="D30" s="549"/>
      <c r="E30" s="549"/>
      <c r="F30" s="549"/>
      <c r="I30" s="110"/>
      <c r="J30" s="525" t="s">
        <v>416</v>
      </c>
      <c r="K30" s="526"/>
      <c r="L30" s="526"/>
      <c r="M30" s="526"/>
      <c r="N30" s="526"/>
      <c r="O30" s="526"/>
      <c r="P30" s="526"/>
      <c r="Q30" s="526"/>
      <c r="R30" s="526"/>
      <c r="S30" s="526"/>
      <c r="T30" s="526"/>
      <c r="U30" s="526"/>
      <c r="V30" s="526"/>
      <c r="W30" s="526"/>
      <c r="X30" s="526"/>
      <c r="Y30" s="526"/>
      <c r="Z30" s="526"/>
      <c r="AA30" s="526"/>
      <c r="AB30" s="526"/>
      <c r="AC30" s="526"/>
      <c r="AD30" s="526"/>
      <c r="AE30" s="526"/>
      <c r="AF30" s="526"/>
      <c r="AG30" s="526"/>
      <c r="AH30" s="526"/>
      <c r="AI30" s="526"/>
      <c r="AJ30" s="526"/>
      <c r="AK30" s="526"/>
      <c r="AL30" s="526"/>
      <c r="AM30" s="526"/>
      <c r="AN30" s="536"/>
      <c r="AO30" s="1"/>
      <c r="AP30" s="6"/>
      <c r="AQ30" s="6"/>
      <c r="AR30" s="6"/>
      <c r="AS30" s="4"/>
      <c r="AT30" s="1"/>
      <c r="AU30" s="4"/>
      <c r="AV30" s="6"/>
      <c r="AW30" s="4"/>
      <c r="AX30" s="1"/>
      <c r="AY30" s="1"/>
      <c r="AZ30" s="6"/>
      <c r="BC30" s="1"/>
    </row>
    <row r="31" spans="1:58" x14ac:dyDescent="0.2">
      <c r="A31" s="534" t="s">
        <v>190</v>
      </c>
      <c r="B31" s="535"/>
      <c r="C31" s="535"/>
      <c r="D31" s="535"/>
      <c r="E31" s="535"/>
      <c r="F31" s="535"/>
      <c r="I31" s="110"/>
      <c r="J31" s="545" t="s">
        <v>234</v>
      </c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6"/>
      <c r="AF31" s="546"/>
      <c r="AG31" s="546"/>
      <c r="AH31" s="546"/>
      <c r="AI31" s="546"/>
      <c r="AJ31" s="546"/>
      <c r="AK31" s="546"/>
      <c r="AL31" s="546"/>
      <c r="AM31" s="546"/>
      <c r="AN31" s="547"/>
      <c r="AO31" s="1"/>
      <c r="AP31" s="6"/>
      <c r="AQ31" s="6"/>
      <c r="AR31" s="6"/>
      <c r="AS31" s="4"/>
      <c r="AT31" s="1"/>
      <c r="AU31" s="4"/>
      <c r="AV31" s="6"/>
      <c r="AW31" s="4"/>
      <c r="AX31" s="1"/>
      <c r="AY31" s="1"/>
      <c r="AZ31" s="6"/>
      <c r="BC31" s="1"/>
    </row>
    <row r="32" spans="1:58" ht="16.5" thickBot="1" x14ac:dyDescent="0.25">
      <c r="A32" s="550" t="s">
        <v>115</v>
      </c>
      <c r="B32" s="551"/>
      <c r="C32" s="551"/>
      <c r="D32" s="551"/>
      <c r="E32" s="551"/>
      <c r="F32" s="551"/>
      <c r="I32" s="110"/>
      <c r="J32" s="523" t="s">
        <v>115</v>
      </c>
      <c r="K32" s="524"/>
      <c r="L32" s="524"/>
      <c r="M32" s="524"/>
      <c r="N32" s="524"/>
      <c r="O32" s="524"/>
      <c r="P32" s="524"/>
      <c r="Q32" s="524"/>
      <c r="R32" s="524"/>
      <c r="S32" s="524"/>
      <c r="T32" s="524"/>
      <c r="U32" s="524"/>
      <c r="V32" s="524"/>
      <c r="W32" s="524"/>
      <c r="X32" s="524"/>
      <c r="Y32" s="524"/>
      <c r="Z32" s="524"/>
      <c r="AA32" s="524"/>
      <c r="AB32" s="524"/>
      <c r="AC32" s="524"/>
      <c r="AD32" s="524"/>
      <c r="AE32" s="524"/>
      <c r="AF32" s="524"/>
      <c r="AG32" s="524"/>
      <c r="AH32" s="524"/>
      <c r="AI32" s="524"/>
      <c r="AJ32" s="524"/>
      <c r="AK32" s="524"/>
      <c r="AL32" s="524"/>
      <c r="AM32" s="524"/>
      <c r="AN32" s="540"/>
      <c r="AO32" s="1"/>
      <c r="AP32" s="6"/>
      <c r="AQ32" s="6"/>
      <c r="AR32" s="6"/>
      <c r="AS32" s="4"/>
      <c r="AT32" s="1"/>
      <c r="AU32" s="4"/>
      <c r="AV32" s="6"/>
      <c r="AW32" s="4"/>
      <c r="AX32" s="1"/>
      <c r="AY32" s="1"/>
      <c r="AZ32" s="6"/>
      <c r="BC32" s="1"/>
    </row>
    <row r="33" spans="1:55" x14ac:dyDescent="0.2">
      <c r="A33" s="112" t="s">
        <v>116</v>
      </c>
      <c r="B33" s="113"/>
      <c r="C33" s="222"/>
      <c r="D33" s="206"/>
      <c r="E33" s="114"/>
      <c r="F33" s="114"/>
      <c r="G33" s="114"/>
      <c r="H33" s="114"/>
      <c r="I33" s="115"/>
      <c r="J33" s="111" t="s">
        <v>430</v>
      </c>
      <c r="AL33" s="116"/>
      <c r="AM33" s="5"/>
      <c r="AN33" s="127"/>
      <c r="AO33" s="1"/>
      <c r="AP33" s="6"/>
      <c r="AQ33" s="6"/>
      <c r="AR33" s="6"/>
      <c r="AS33" s="4"/>
      <c r="AT33" s="1"/>
      <c r="AU33" s="4"/>
      <c r="AV33" s="6"/>
      <c r="AW33" s="4"/>
      <c r="AX33" s="1"/>
      <c r="AY33" s="1"/>
      <c r="AZ33" s="6"/>
      <c r="BC33" s="1"/>
    </row>
    <row r="34" spans="1:55" x14ac:dyDescent="0.2">
      <c r="A34" s="111" t="s">
        <v>118</v>
      </c>
      <c r="B34" s="1"/>
      <c r="I34" s="110"/>
      <c r="J34" s="111" t="s">
        <v>119</v>
      </c>
      <c r="Q34" s="1" t="s">
        <v>120</v>
      </c>
      <c r="AL34" s="116"/>
      <c r="AM34" s="5"/>
      <c r="AN34" s="127"/>
      <c r="AO34" s="1"/>
      <c r="AP34" s="6"/>
      <c r="AQ34" s="6"/>
      <c r="AR34" s="6"/>
      <c r="AS34" s="4"/>
      <c r="AT34" s="1"/>
      <c r="AU34" s="4"/>
      <c r="AV34" s="6"/>
      <c r="AW34" s="4"/>
      <c r="AX34" s="1"/>
      <c r="AY34" s="1"/>
      <c r="AZ34" s="6"/>
      <c r="BC34" s="1"/>
    </row>
    <row r="35" spans="1:55" x14ac:dyDescent="0.2">
      <c r="A35" s="111"/>
      <c r="B35" s="1"/>
      <c r="I35" s="110"/>
      <c r="J35" s="111"/>
      <c r="AL35" s="117" t="s">
        <v>121</v>
      </c>
      <c r="AM35" s="118"/>
      <c r="AN35" s="128"/>
      <c r="AO35" s="1"/>
      <c r="AP35" s="6"/>
      <c r="AQ35" s="6"/>
      <c r="AR35" s="6"/>
      <c r="AS35" s="4"/>
      <c r="AT35" s="1"/>
      <c r="AU35" s="4"/>
      <c r="AV35" s="6"/>
      <c r="AW35" s="4"/>
      <c r="AX35" s="1"/>
      <c r="AY35" s="1"/>
      <c r="AZ35" s="6"/>
      <c r="BC35" s="1"/>
    </row>
    <row r="36" spans="1:55" ht="25.5" customHeight="1" x14ac:dyDescent="0.2">
      <c r="A36" s="368"/>
      <c r="I36" s="110"/>
      <c r="J36" s="111"/>
      <c r="Q36" s="1" t="s">
        <v>122</v>
      </c>
      <c r="AL36" s="117" t="s">
        <v>123</v>
      </c>
      <c r="AM36" s="118"/>
      <c r="AN36" s="128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5" ht="19.5" customHeight="1" x14ac:dyDescent="0.2">
      <c r="A37" s="534" t="s">
        <v>124</v>
      </c>
      <c r="B37" s="535"/>
      <c r="C37" s="535"/>
      <c r="D37" s="1"/>
      <c r="H37" s="119"/>
      <c r="I37" s="110"/>
      <c r="J37" s="525" t="s">
        <v>125</v>
      </c>
      <c r="K37" s="526"/>
      <c r="L37" s="526"/>
      <c r="M37" s="526"/>
      <c r="P37" s="120"/>
      <c r="Q37" s="120" t="s">
        <v>126</v>
      </c>
      <c r="R37" s="120"/>
      <c r="S37" s="120"/>
      <c r="T37" s="120"/>
      <c r="U37" s="120"/>
      <c r="V37" s="120"/>
      <c r="W37" s="120"/>
      <c r="X37" s="121"/>
      <c r="Y37" s="120"/>
      <c r="Z37" s="120"/>
      <c r="AL37" s="117" t="s">
        <v>127</v>
      </c>
      <c r="AM37" s="118"/>
      <c r="AN37" s="128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5" x14ac:dyDescent="0.2">
      <c r="A38" s="534" t="s">
        <v>128</v>
      </c>
      <c r="B38" s="535"/>
      <c r="C38" s="535"/>
      <c r="D38" s="1"/>
      <c r="H38" s="543" t="s">
        <v>129</v>
      </c>
      <c r="I38" s="544"/>
      <c r="J38" s="534" t="s">
        <v>130</v>
      </c>
      <c r="K38" s="535"/>
      <c r="L38" s="535"/>
      <c r="M38" s="535"/>
      <c r="P38" s="543" t="s">
        <v>131</v>
      </c>
      <c r="Q38" s="543"/>
      <c r="R38" s="543"/>
      <c r="S38" s="543"/>
      <c r="T38" s="543"/>
      <c r="U38" s="543"/>
      <c r="V38" s="543"/>
      <c r="W38" s="543"/>
      <c r="X38" s="543"/>
      <c r="Y38" s="543"/>
      <c r="Z38" s="543"/>
      <c r="AL38" s="117" t="s">
        <v>123</v>
      </c>
      <c r="AM38" s="118"/>
      <c r="AN38" s="128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5" ht="22.5" customHeight="1" thickBot="1" x14ac:dyDescent="0.25">
      <c r="A39" s="541" t="s">
        <v>189</v>
      </c>
      <c r="B39" s="542"/>
      <c r="C39" s="542"/>
      <c r="D39" s="122"/>
      <c r="E39" s="122"/>
      <c r="F39" s="122"/>
      <c r="G39" s="122"/>
      <c r="H39" s="122"/>
      <c r="I39" s="123"/>
      <c r="J39" s="523" t="s">
        <v>132</v>
      </c>
      <c r="K39" s="524"/>
      <c r="L39" s="524"/>
      <c r="M39" s="524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4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5"/>
      <c r="AM39" s="124"/>
      <c r="AN39" s="129"/>
      <c r="AO39" s="1"/>
      <c r="AP39" s="6"/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  <row r="40" spans="1:55" x14ac:dyDescent="0.2">
      <c r="A40" s="368"/>
    </row>
  </sheetData>
  <autoFilter ref="A8:AU25"/>
  <mergeCells count="24">
    <mergeCell ref="A39:C39"/>
    <mergeCell ref="J39:M39"/>
    <mergeCell ref="A37:C37"/>
    <mergeCell ref="J37:M37"/>
    <mergeCell ref="A38:C38"/>
    <mergeCell ref="H38:I38"/>
    <mergeCell ref="J38:M38"/>
    <mergeCell ref="P38:Z38"/>
    <mergeCell ref="A30:F30"/>
    <mergeCell ref="J30:AN30"/>
    <mergeCell ref="A31:F31"/>
    <mergeCell ref="J31:AN31"/>
    <mergeCell ref="A32:F32"/>
    <mergeCell ref="J32:AN32"/>
    <mergeCell ref="A1:AN1"/>
    <mergeCell ref="A2:AN2"/>
    <mergeCell ref="A3:AN3"/>
    <mergeCell ref="A4:AN4"/>
    <mergeCell ref="A5:AN5"/>
    <mergeCell ref="A23:C23"/>
    <mergeCell ref="A19:C19"/>
    <mergeCell ref="A14:C14"/>
    <mergeCell ref="A9:C9"/>
    <mergeCell ref="A7:T7"/>
  </mergeCells>
  <conditionalFormatting sqref="B40:B1048576 B8">
    <cfRule type="duplicateValues" dxfId="42" priority="21"/>
  </conditionalFormatting>
  <conditionalFormatting sqref="B36 B27:B29">
    <cfRule type="duplicateValues" dxfId="41" priority="20"/>
  </conditionalFormatting>
  <conditionalFormatting sqref="B25">
    <cfRule type="duplicateValues" dxfId="40" priority="19"/>
  </conditionalFormatting>
  <conditionalFormatting sqref="B25">
    <cfRule type="duplicateValues" dxfId="39" priority="18"/>
  </conditionalFormatting>
  <conditionalFormatting sqref="B11">
    <cfRule type="duplicateValues" dxfId="38" priority="15"/>
  </conditionalFormatting>
  <conditionalFormatting sqref="B12:B13">
    <cfRule type="duplicateValues" dxfId="37" priority="1867"/>
  </conditionalFormatting>
  <conditionalFormatting sqref="B10">
    <cfRule type="duplicateValues" dxfId="36" priority="7"/>
  </conditionalFormatting>
  <conditionalFormatting sqref="B21:B22">
    <cfRule type="duplicateValues" dxfId="35" priority="3"/>
  </conditionalFormatting>
  <conditionalFormatting sqref="B20">
    <cfRule type="duplicateValues" dxfId="34" priority="2165"/>
  </conditionalFormatting>
  <conditionalFormatting sqref="B15:B16">
    <cfRule type="duplicateValues" dxfId="33" priority="2224"/>
  </conditionalFormatting>
  <conditionalFormatting sqref="B17:B18">
    <cfRule type="duplicateValues" dxfId="32" priority="2"/>
  </conditionalFormatting>
  <conditionalFormatting sqref="B24">
    <cfRule type="duplicateValues" dxfId="31" priority="1"/>
  </conditionalFormatting>
  <printOptions horizontalCentered="1"/>
  <pageMargins left="0" right="0" top="0" bottom="0" header="0" footer="0"/>
  <pageSetup paperSize="119" scale="62" orientation="landscape" blackAndWhite="1" errors="NA" r:id="rId1"/>
  <headerFooter scaleWithDoc="0"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9" tint="-0.249977111117893"/>
  </sheetPr>
  <dimension ref="A1:BF27"/>
  <sheetViews>
    <sheetView zoomScale="80" zoomScaleNormal="80" zoomScaleSheetLayoutView="84" workbookViewId="0">
      <pane xSplit="3" ySplit="8" topLeftCell="F9" activePane="bottomRight" state="frozen"/>
      <selection activeCell="H2" sqref="H2"/>
      <selection pane="topRight" activeCell="H2" sqref="H2"/>
      <selection pane="bottomLeft" activeCell="H2" sqref="H2"/>
      <selection pane="bottomRight" activeCell="A4" sqref="A4:AN4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2.85546875" style="221" customWidth="1"/>
    <col min="4" max="4" width="6.140625" style="4" customWidth="1"/>
    <col min="5" max="5" width="16.42578125" style="1" customWidth="1"/>
    <col min="6" max="6" width="12.140625" style="1" customWidth="1"/>
    <col min="7" max="7" width="15.5703125" style="1" customWidth="1"/>
    <col min="8" max="8" width="16.85546875" style="1" customWidth="1"/>
    <col min="9" max="9" width="12.85546875" style="1" customWidth="1"/>
    <col min="10" max="10" width="13.7109375" style="1" customWidth="1"/>
    <col min="11" max="11" width="12.42578125" style="1" customWidth="1"/>
    <col min="12" max="12" width="15.28515625" style="1" customWidth="1"/>
    <col min="13" max="13" width="15.42578125" style="1" customWidth="1"/>
    <col min="14" max="14" width="14.7109375" style="1" customWidth="1"/>
    <col min="15" max="15" width="12.28515625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4.5703125" style="2" customWidth="1" collapsed="1"/>
    <col min="39" max="39" width="15.42578125" style="2" customWidth="1"/>
    <col min="40" max="40" width="38.28515625" style="2" customWidth="1"/>
    <col min="41" max="41" width="18.85546875" style="2" customWidth="1" outlineLevel="1"/>
    <col min="42" max="42" width="16.28515625" style="1" customWidth="1" outlineLevel="1"/>
    <col min="43" max="43" width="17.85546875" style="1" customWidth="1" outlineLevel="1"/>
    <col min="44" max="44" width="17.42578125" style="1" customWidth="1" outlineLevel="1"/>
    <col min="45" max="46" width="16.28515625" style="6" customWidth="1" outlineLevel="1"/>
    <col min="47" max="47" width="16.28515625" style="6" customWidth="1"/>
    <col min="48" max="48" width="11.42578125" style="4" customWidth="1"/>
    <col min="49" max="49" width="11.42578125" style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8" ht="25.5" x14ac:dyDescent="0.35">
      <c r="A1" s="552" t="s">
        <v>105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552"/>
      <c r="AJ1" s="552"/>
      <c r="AK1" s="552"/>
      <c r="AL1" s="552"/>
      <c r="AM1" s="552"/>
      <c r="AN1" s="552"/>
      <c r="AO1" s="101"/>
      <c r="AP1" s="101"/>
      <c r="AQ1" s="101"/>
    </row>
    <row r="2" spans="1:58" x14ac:dyDescent="0.25">
      <c r="A2" s="553" t="s">
        <v>106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102"/>
      <c r="AP2" s="102"/>
      <c r="AQ2" s="102"/>
    </row>
    <row r="3" spans="1:58" x14ac:dyDescent="0.2">
      <c r="A3" s="554" t="s">
        <v>107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4"/>
      <c r="AN3" s="554"/>
      <c r="AO3" s="103"/>
      <c r="AP3" s="103"/>
      <c r="AQ3" s="103"/>
    </row>
    <row r="4" spans="1:58" x14ac:dyDescent="0.25">
      <c r="A4" s="555" t="s">
        <v>237</v>
      </c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5"/>
      <c r="AI4" s="555"/>
      <c r="AJ4" s="555"/>
      <c r="AK4" s="555"/>
      <c r="AL4" s="555"/>
      <c r="AM4" s="555"/>
      <c r="AN4" s="555"/>
      <c r="AO4" s="104"/>
      <c r="AP4" s="104"/>
      <c r="AQ4" s="104"/>
    </row>
    <row r="5" spans="1:58" x14ac:dyDescent="0.2">
      <c r="A5" s="554" t="s">
        <v>108</v>
      </c>
      <c r="B5" s="554"/>
      <c r="C5" s="554"/>
      <c r="D5" s="554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  <c r="Z5" s="554"/>
      <c r="AA5" s="554"/>
      <c r="AB5" s="554"/>
      <c r="AC5" s="554"/>
      <c r="AD5" s="554"/>
      <c r="AE5" s="554"/>
      <c r="AF5" s="554"/>
      <c r="AG5" s="554"/>
      <c r="AH5" s="554"/>
      <c r="AI5" s="554"/>
      <c r="AJ5" s="554"/>
      <c r="AK5" s="554"/>
      <c r="AL5" s="554"/>
      <c r="AM5" s="554"/>
      <c r="AN5" s="554"/>
      <c r="AO5" s="103"/>
      <c r="AP5" s="103"/>
      <c r="AQ5" s="103"/>
    </row>
    <row r="6" spans="1:58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8" ht="16.5" thickBot="1" x14ac:dyDescent="0.3">
      <c r="A7" s="527" t="s">
        <v>198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99"/>
      <c r="AO7" s="1"/>
    </row>
    <row r="8" spans="1:58" s="3" customFormat="1" ht="41.2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34</v>
      </c>
      <c r="AP8" s="8" t="s">
        <v>35</v>
      </c>
      <c r="AQ8" s="8" t="s">
        <v>36</v>
      </c>
      <c r="AR8" s="9" t="s">
        <v>11</v>
      </c>
      <c r="AS8" s="8" t="s">
        <v>34</v>
      </c>
      <c r="AT8" s="8" t="s">
        <v>35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8" s="217" customFormat="1" ht="39" customHeight="1" x14ac:dyDescent="0.25">
      <c r="A9" s="208">
        <v>1</v>
      </c>
      <c r="B9" s="210"/>
      <c r="C9" s="230" t="s">
        <v>350</v>
      </c>
      <c r="D9" s="200">
        <v>16</v>
      </c>
      <c r="E9" s="201">
        <v>38150</v>
      </c>
      <c r="F9" s="201">
        <f>IF(H9&gt;0,100,0)</f>
        <v>100</v>
      </c>
      <c r="G9" s="201">
        <f>+ROUND(H9*12%,2)</f>
        <v>4578</v>
      </c>
      <c r="H9" s="202">
        <f>ROUND(IF(AX9&gt;22,0,IF(AX9=22,E9,IF(AX9&lt;22,E9*(AX9/AZ9),IF(OR(AX9=0,AX9=" ")=TRUE,0)))),2)</f>
        <v>38150</v>
      </c>
      <c r="I9" s="202">
        <f>ROUND(IF(AND(H9&gt;0,AX9=22)=TRUE,2000,IF(AND(H9&gt;0,AX9&lt;22,AX9&gt;0)=TRUE,2000*(AX9/AZ9),IF(AX9&lt;0,0,0))),2)</f>
        <v>2000</v>
      </c>
      <c r="J9" s="202">
        <f>IF(H9&gt;0,BC9-BB9,0)</f>
        <v>1100</v>
      </c>
      <c r="K9" s="202">
        <f>IF(AND(H9&gt;0,AX9&gt;11)=TRUE,150,0)</f>
        <v>150</v>
      </c>
      <c r="L9" s="202">
        <f>ROUND(IF(AND($H9&gt;0,AX9&gt;11)=TRUE,$AW9*$E9,0),2)</f>
        <v>9537.5</v>
      </c>
      <c r="M9" s="202">
        <f>ROUND(SUM(H9:L9),2)</f>
        <v>50937.5</v>
      </c>
      <c r="N9" s="202"/>
      <c r="O9" s="202">
        <f>E9*0.04/2</f>
        <v>763</v>
      </c>
      <c r="P9" s="203">
        <f>ROUND($H9*9%,2)</f>
        <v>3433.5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>SUM(N9:AK9)</f>
        <v>4296.5</v>
      </c>
      <c r="AM9" s="204">
        <f>ROUND(M9-AL9,2)</f>
        <v>46641</v>
      </c>
      <c r="AN9" s="209"/>
      <c r="AO9" s="211"/>
      <c r="AP9" s="207"/>
      <c r="AQ9" s="212">
        <f>SUM(AO9:AP9)</f>
        <v>0</v>
      </c>
      <c r="AR9" s="213">
        <f>+AM9-AQ9</f>
        <v>46641</v>
      </c>
      <c r="AS9" s="213"/>
      <c r="AT9" s="213"/>
      <c r="AU9" s="213">
        <f>IF(E9=0,0,IF(E9&lt;=10000,137.5,IF(AND(E9&gt;10000,E9&lt;40000)=TRUE,E9*2.75%*50%,IF(E9&gt;=40000,550,0))))</f>
        <v>524.5625</v>
      </c>
      <c r="AV9" s="214"/>
      <c r="AW9" s="214" t="str">
        <f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22</v>
      </c>
      <c r="AY9" s="213">
        <v>150</v>
      </c>
      <c r="AZ9" s="214">
        <v>22</v>
      </c>
      <c r="BA9" s="213">
        <v>50</v>
      </c>
      <c r="BB9" s="213">
        <f>IF(AX9&gt;0,(AZ9-AX9+BD9)*BA9,0)</f>
        <v>0</v>
      </c>
      <c r="BC9" s="213">
        <f>IF(AX9&gt;0,1100,0)</f>
        <v>1100</v>
      </c>
      <c r="BD9" s="215"/>
    </row>
    <row r="10" spans="1:58" s="294" customFormat="1" ht="36" customHeight="1" x14ac:dyDescent="0.25">
      <c r="A10" s="290">
        <v>1</v>
      </c>
      <c r="B10" s="210"/>
      <c r="C10" s="230" t="s">
        <v>200</v>
      </c>
      <c r="D10" s="200">
        <v>16</v>
      </c>
      <c r="E10" s="201">
        <v>38150</v>
      </c>
      <c r="F10" s="201">
        <f t="shared" ref="F10" si="0">IF(H10&gt;0,100,0)</f>
        <v>100</v>
      </c>
      <c r="G10" s="201">
        <f t="shared" ref="G10" si="1">+ROUND(H10*12%,2)</f>
        <v>4578</v>
      </c>
      <c r="H10" s="202">
        <f t="shared" ref="H10" si="2">ROUND(IF(AX10&gt;22,0,IF(AX10=22,E10,IF(AX10&lt;22,E10*(AX10/AZ10),IF(OR(AX10=0,AX10=" ")=TRUE,0)))),2)</f>
        <v>38150</v>
      </c>
      <c r="I10" s="202">
        <f t="shared" ref="I10" si="3">ROUND(IF(AND(H10&gt;0,AX10=22)=TRUE,2000,IF(AND(H10&gt;0,AX10&lt;22,AX10&gt;0)=TRUE,2000*(AX10/AZ10),IF(AX10&lt;0,0,0))),2)</f>
        <v>2000</v>
      </c>
      <c r="J10" s="202">
        <f t="shared" ref="J10" si="4">IF(H10&gt;0,BC10-BB10,0)</f>
        <v>1100</v>
      </c>
      <c r="K10" s="202">
        <f t="shared" ref="K10" si="5">IF(AND(H10&gt;0,AX10&gt;11)=TRUE,150,0)</f>
        <v>150</v>
      </c>
      <c r="L10" s="202">
        <f t="shared" ref="L10" si="6">ROUND(IF(AND($H10&gt;0,AX10&gt;11)=TRUE,$AW10*$E10,0),2)</f>
        <v>9537.5</v>
      </c>
      <c r="M10" s="202">
        <f t="shared" ref="M10" si="7">ROUND(SUM(H10:L10),2)</f>
        <v>50937.5</v>
      </c>
      <c r="N10" s="202"/>
      <c r="O10" s="202">
        <f t="shared" ref="O10" si="8">E10*0.04/2</f>
        <v>763</v>
      </c>
      <c r="P10" s="203">
        <f t="shared" ref="P10" si="9">ROUND($H10*9%,2)</f>
        <v>3433.5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ref="Z10" si="10"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ref="AL10" si="11">SUM(N10:AK10)</f>
        <v>4296.5</v>
      </c>
      <c r="AM10" s="204">
        <f t="shared" ref="AM10" si="12">ROUND(M10-AL10,2)</f>
        <v>46641</v>
      </c>
      <c r="AN10" s="291"/>
      <c r="AO10" s="207"/>
      <c r="AP10" s="207"/>
      <c r="AQ10" s="212">
        <f t="shared" ref="AQ10" si="13">SUM(AO10:AP10)</f>
        <v>0</v>
      </c>
      <c r="AR10" s="212">
        <f t="shared" ref="AR10" si="14">+AM10-AQ10</f>
        <v>46641</v>
      </c>
      <c r="AS10" s="212"/>
      <c r="AT10" s="212"/>
      <c r="AU10" s="212">
        <f t="shared" ref="AU10" si="15">IF(E10=0,0,IF(E10&lt;=10000,137.5,IF(AND(E10&gt;10000,E10&lt;40000)=TRUE,E10*2.75%*50%,IF(E10&gt;=40000,550,0))))</f>
        <v>524.5625</v>
      </c>
      <c r="AV10" s="292"/>
      <c r="AW10" s="292" t="str">
        <f t="shared" ref="AW10" si="16"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10">
        <v>22</v>
      </c>
      <c r="AY10" s="212">
        <v>150</v>
      </c>
      <c r="AZ10" s="292">
        <v>22</v>
      </c>
      <c r="BA10" s="212">
        <v>50</v>
      </c>
      <c r="BB10" s="212">
        <f t="shared" ref="BB10" si="17">IF(AX10&gt;0,(AZ10-AX10+BD10)*BA10,0)</f>
        <v>0</v>
      </c>
      <c r="BC10" s="212">
        <f t="shared" ref="BC10" si="18">IF(AX10&gt;0,1100,0)</f>
        <v>1100</v>
      </c>
      <c r="BD10" s="210"/>
      <c r="BE10" s="293"/>
    </row>
    <row r="11" spans="1:58" s="217" customFormat="1" ht="30.75" customHeight="1" x14ac:dyDescent="0.25">
      <c r="A11" s="208">
        <v>2</v>
      </c>
      <c r="B11" s="210"/>
      <c r="C11" s="230" t="s">
        <v>221</v>
      </c>
      <c r="D11" s="200">
        <v>15</v>
      </c>
      <c r="E11" s="201">
        <v>35097</v>
      </c>
      <c r="F11" s="201">
        <f>IF(H11&gt;0,100,0)</f>
        <v>100</v>
      </c>
      <c r="G11" s="201">
        <f>+ROUND(H11*12%,2)</f>
        <v>4211.6400000000003</v>
      </c>
      <c r="H11" s="202">
        <f>ROUND(IF(AX11&gt;22,0,IF(AX11=22,E11,IF(AX11&lt;22,E11*(AX11/AZ11),IF(OR(AX11=0,AX11=" ")=TRUE,0)))),2)</f>
        <v>35097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8774.25</v>
      </c>
      <c r="M11" s="202">
        <f>ROUND(SUM(H11:L11),2)</f>
        <v>47121.25</v>
      </c>
      <c r="N11" s="202"/>
      <c r="O11" s="202">
        <f>E11*0.04/2</f>
        <v>701.94</v>
      </c>
      <c r="P11" s="203">
        <f>ROUND($H11*9%,2)</f>
        <v>3158.73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>ROUND(IF(H11&gt;0,100,0),2)</f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>SUM(N11:AK11)</f>
        <v>3960.67</v>
      </c>
      <c r="AM11" s="204">
        <f>ROUND(M11-AL11,2)</f>
        <v>43160.58</v>
      </c>
      <c r="AN11" s="209" t="s">
        <v>434</v>
      </c>
      <c r="AO11" s="211"/>
      <c r="AP11" s="207"/>
      <c r="AQ11" s="212">
        <f>SUM(AO11:AP11)</f>
        <v>0</v>
      </c>
      <c r="AR11" s="213">
        <f>+AM11-AQ11</f>
        <v>43160.58</v>
      </c>
      <c r="AS11" s="213"/>
      <c r="AT11" s="213"/>
      <c r="AU11" s="213">
        <f>IF(E11=0,0,IF(E11&lt;=10000,137.5,IF(AND(E11&gt;10000,E11&lt;40000)=TRUE,E11*2.75%*50%,IF(E11&gt;=40000,550,0))))</f>
        <v>482.58375000000001</v>
      </c>
      <c r="AV11" s="214"/>
      <c r="AW11" s="214" t="str">
        <f>IF(AND($D11&gt;=1,$D11&lt;=19)=TRUE,"25%",IF($D11=20,"15%",IF($D11=21,"13%",IF($D11=22,"12%",IF($D11=23,"11%",IF(OR($D11=24,$D11=25)=TRUE,"10%",IF($D11=26,"9%",IF($D11=27,"8%",IF($D11=28,"7%",IF(OR($D11=29,$D11=30)=TRUE,"6%",IF($D11=31,"5%","0%")))))))))))</f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>IF(AX11&gt;0,(AZ11-AX11+BD11)*BA11,0)</f>
        <v>0</v>
      </c>
      <c r="BC11" s="213">
        <f>IF(AX11&gt;0,1100,0)</f>
        <v>1100</v>
      </c>
      <c r="BD11" s="215"/>
    </row>
    <row r="12" spans="1:58" s="217" customFormat="1" ht="39" customHeight="1" x14ac:dyDescent="0.25">
      <c r="A12" s="208">
        <v>1</v>
      </c>
      <c r="B12" s="210"/>
      <c r="C12" s="230"/>
      <c r="D12" s="200">
        <v>16</v>
      </c>
      <c r="E12" s="201">
        <v>38150</v>
      </c>
      <c r="F12" s="201">
        <f>IF(H12&gt;0,100,0)</f>
        <v>100</v>
      </c>
      <c r="G12" s="201">
        <f>+ROUND(H12*12%,2)</f>
        <v>4578</v>
      </c>
      <c r="H12" s="202">
        <f>ROUND(IF(AX12&gt;22,0,IF(AX12=22,E12,IF(AX12&lt;22,E12*(AX12/AZ12),IF(OR(AX12=0,AX12=" ")=TRUE,0)))),2)</f>
        <v>38150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9537.5</v>
      </c>
      <c r="M12" s="202">
        <f>ROUND(SUM(H12:L12),2)</f>
        <v>50937.5</v>
      </c>
      <c r="N12" s="202"/>
      <c r="O12" s="202">
        <f>E12*0.04/2</f>
        <v>763</v>
      </c>
      <c r="P12" s="203">
        <f>ROUND($H12*9%,2)</f>
        <v>3433.5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>ROUND(IF(H12&gt;0,100,0),2)</f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>SUM(N12:AK12)</f>
        <v>4296.5</v>
      </c>
      <c r="AM12" s="204">
        <f>ROUND(M12-AL12,2)</f>
        <v>46641</v>
      </c>
      <c r="AN12" s="209"/>
      <c r="AO12" s="211"/>
      <c r="AP12" s="207"/>
      <c r="AQ12" s="212">
        <f>SUM(AO12:AP12)</f>
        <v>0</v>
      </c>
      <c r="AR12" s="213">
        <f>+AM12-AQ12</f>
        <v>46641</v>
      </c>
      <c r="AS12" s="213"/>
      <c r="AT12" s="213"/>
      <c r="AU12" s="213">
        <f>IF(E12=0,0,IF(E12&lt;=10000,137.5,IF(AND(E12&gt;10000,E12&lt;40000)=TRUE,E12*2.75%*50%,IF(E12&gt;=40000,550,0))))</f>
        <v>524.5625</v>
      </c>
      <c r="AV12" s="214"/>
      <c r="AW12" s="214" t="str">
        <f>IF(AND($D12&gt;=1,$D12&lt;=19)=TRUE,"25%",IF($D12=20,"15%",IF($D12=21,"13%",IF($D12=22,"12%",IF($D12=23,"11%",IF(OR($D12=24,$D12=25)=TRUE,"10%",IF($D12=26,"9%",IF($D12=27,"8%",IF($D12=28,"7%",IF(OR($D12=29,$D12=30)=TRUE,"6%",IF($D12=31,"5%","0%")))))))))))</f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>IF(AX12&gt;0,(AZ12-AX12+BD12)*BA12,0)</f>
        <v>0</v>
      </c>
      <c r="BC12" s="213">
        <f>IF(AX12&gt;0,1100,0)</f>
        <v>1100</v>
      </c>
      <c r="BD12" s="215"/>
    </row>
    <row r="13" spans="1:58" s="217" customFormat="1" ht="33.75" customHeight="1" thickBot="1" x14ac:dyDescent="0.3">
      <c r="A13" s="208"/>
      <c r="B13" s="210"/>
      <c r="C13" s="219" t="s">
        <v>33</v>
      </c>
      <c r="D13" s="237"/>
      <c r="E13" s="238">
        <f t="shared" ref="E13:AJ13" si="19">ROUND(SUM(E9:E9),2)</f>
        <v>38150</v>
      </c>
      <c r="F13" s="238">
        <f t="shared" si="19"/>
        <v>100</v>
      </c>
      <c r="G13" s="238">
        <f t="shared" si="19"/>
        <v>4578</v>
      </c>
      <c r="H13" s="238">
        <f t="shared" si="19"/>
        <v>38150</v>
      </c>
      <c r="I13" s="238">
        <f t="shared" si="19"/>
        <v>2000</v>
      </c>
      <c r="J13" s="238">
        <f t="shared" si="19"/>
        <v>1100</v>
      </c>
      <c r="K13" s="238">
        <f t="shared" si="19"/>
        <v>150</v>
      </c>
      <c r="L13" s="238">
        <f t="shared" si="19"/>
        <v>9537.5</v>
      </c>
      <c r="M13" s="238">
        <f t="shared" si="19"/>
        <v>50937.5</v>
      </c>
      <c r="N13" s="238">
        <f t="shared" si="19"/>
        <v>0</v>
      </c>
      <c r="O13" s="238">
        <f t="shared" si="19"/>
        <v>763</v>
      </c>
      <c r="P13" s="238">
        <f t="shared" si="19"/>
        <v>3433.5</v>
      </c>
      <c r="Q13" s="238">
        <f t="shared" si="19"/>
        <v>0</v>
      </c>
      <c r="R13" s="238">
        <f t="shared" si="19"/>
        <v>0</v>
      </c>
      <c r="S13" s="238">
        <f t="shared" si="19"/>
        <v>0</v>
      </c>
      <c r="T13" s="238">
        <f t="shared" si="19"/>
        <v>0</v>
      </c>
      <c r="U13" s="238">
        <f t="shared" si="19"/>
        <v>0</v>
      </c>
      <c r="V13" s="238">
        <f t="shared" si="19"/>
        <v>0</v>
      </c>
      <c r="W13" s="238">
        <f t="shared" si="19"/>
        <v>0</v>
      </c>
      <c r="X13" s="238">
        <f t="shared" si="19"/>
        <v>0</v>
      </c>
      <c r="Y13" s="238">
        <f t="shared" si="19"/>
        <v>0</v>
      </c>
      <c r="Z13" s="238">
        <f t="shared" si="19"/>
        <v>100</v>
      </c>
      <c r="AA13" s="238">
        <f t="shared" si="19"/>
        <v>0</v>
      </c>
      <c r="AB13" s="238">
        <f t="shared" si="19"/>
        <v>0</v>
      </c>
      <c r="AC13" s="238">
        <f t="shared" si="19"/>
        <v>0</v>
      </c>
      <c r="AD13" s="238">
        <f t="shared" si="19"/>
        <v>0</v>
      </c>
      <c r="AE13" s="238">
        <f t="shared" si="19"/>
        <v>0</v>
      </c>
      <c r="AF13" s="238">
        <f t="shared" si="19"/>
        <v>0</v>
      </c>
      <c r="AG13" s="238">
        <f t="shared" si="19"/>
        <v>0</v>
      </c>
      <c r="AH13" s="238">
        <f t="shared" si="19"/>
        <v>0</v>
      </c>
      <c r="AI13" s="238">
        <f t="shared" si="19"/>
        <v>0</v>
      </c>
      <c r="AJ13" s="238">
        <f t="shared" si="19"/>
        <v>0</v>
      </c>
      <c r="AK13" s="238">
        <f t="shared" ref="AK13:BF13" si="20">ROUND(SUM(AK9:AK9),2)</f>
        <v>0</v>
      </c>
      <c r="AL13" s="238">
        <f t="shared" si="20"/>
        <v>4296.5</v>
      </c>
      <c r="AM13" s="238">
        <f t="shared" si="20"/>
        <v>46641</v>
      </c>
      <c r="AN13" s="238">
        <f t="shared" si="20"/>
        <v>0</v>
      </c>
      <c r="AO13" s="238">
        <f t="shared" si="20"/>
        <v>0</v>
      </c>
      <c r="AP13" s="238">
        <f t="shared" si="20"/>
        <v>0</v>
      </c>
      <c r="AQ13" s="238">
        <f t="shared" si="20"/>
        <v>0</v>
      </c>
      <c r="AR13" s="238">
        <f t="shared" si="20"/>
        <v>46641</v>
      </c>
      <c r="AS13" s="238">
        <f t="shared" si="20"/>
        <v>0</v>
      </c>
      <c r="AT13" s="238">
        <f t="shared" si="20"/>
        <v>0</v>
      </c>
      <c r="AU13" s="238">
        <f t="shared" si="20"/>
        <v>524.55999999999995</v>
      </c>
      <c r="AV13" s="238">
        <f t="shared" si="20"/>
        <v>0</v>
      </c>
      <c r="AW13" s="238">
        <f t="shared" si="20"/>
        <v>0</v>
      </c>
      <c r="AX13" s="238">
        <f t="shared" si="20"/>
        <v>22</v>
      </c>
      <c r="AY13" s="238">
        <f t="shared" si="20"/>
        <v>150</v>
      </c>
      <c r="AZ13" s="238">
        <f t="shared" si="20"/>
        <v>22</v>
      </c>
      <c r="BA13" s="238">
        <f t="shared" si="20"/>
        <v>50</v>
      </c>
      <c r="BB13" s="238">
        <f t="shared" si="20"/>
        <v>0</v>
      </c>
      <c r="BC13" s="238">
        <f t="shared" si="20"/>
        <v>1100</v>
      </c>
      <c r="BD13" s="238">
        <f t="shared" si="20"/>
        <v>0</v>
      </c>
      <c r="BE13" s="238">
        <f t="shared" si="20"/>
        <v>0</v>
      </c>
      <c r="BF13" s="238">
        <f t="shared" si="20"/>
        <v>0</v>
      </c>
    </row>
    <row r="14" spans="1:58" ht="25.5" customHeight="1" x14ac:dyDescent="0.2">
      <c r="A14" s="135" t="s">
        <v>111</v>
      </c>
      <c r="B14" s="105"/>
      <c r="C14" s="220"/>
      <c r="D14" s="106"/>
      <c r="E14" s="106"/>
      <c r="F14" s="106"/>
      <c r="G14" s="106"/>
      <c r="H14" s="106"/>
      <c r="I14" s="107"/>
      <c r="J14" s="108" t="s">
        <v>112</v>
      </c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9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9"/>
      <c r="AM14" s="109"/>
      <c r="AN14" s="126"/>
      <c r="AO14" s="1"/>
      <c r="AP14" s="6"/>
      <c r="AQ14" s="6"/>
      <c r="AR14" s="6"/>
      <c r="AS14" s="4"/>
      <c r="AT14" s="1"/>
      <c r="AU14" s="4"/>
      <c r="AV14" s="6"/>
      <c r="AW14" s="4"/>
      <c r="AX14" s="1"/>
      <c r="AY14" s="1"/>
      <c r="AZ14" s="6"/>
      <c r="BC14" s="1"/>
    </row>
    <row r="15" spans="1:58" x14ac:dyDescent="0.2">
      <c r="A15" s="205"/>
      <c r="I15" s="110" t="s">
        <v>196</v>
      </c>
      <c r="J15" s="111" t="s">
        <v>113</v>
      </c>
      <c r="AL15" s="5"/>
      <c r="AM15" s="5"/>
      <c r="AN15" s="127"/>
      <c r="AO15" s="1"/>
      <c r="AP15" s="6"/>
      <c r="AQ15" s="6"/>
      <c r="AR15" s="6"/>
      <c r="AS15" s="4"/>
      <c r="AT15" s="1"/>
      <c r="AU15" s="4"/>
      <c r="AV15" s="6"/>
      <c r="AW15" s="4"/>
      <c r="AX15" s="1"/>
      <c r="AY15" s="1"/>
      <c r="AZ15" s="6"/>
      <c r="BC15" s="1"/>
    </row>
    <row r="16" spans="1:58" x14ac:dyDescent="0.2">
      <c r="A16" s="205"/>
      <c r="I16" s="110"/>
      <c r="J16" s="111"/>
      <c r="AL16" s="5"/>
      <c r="AM16" s="5"/>
      <c r="AN16" s="127"/>
      <c r="AO16" s="1"/>
      <c r="AP16" s="6"/>
      <c r="AQ16" s="6"/>
      <c r="AR16" s="6"/>
      <c r="AS16" s="4"/>
      <c r="AT16" s="1"/>
      <c r="AU16" s="4"/>
      <c r="AV16" s="6"/>
      <c r="AW16" s="4"/>
      <c r="AX16" s="1"/>
      <c r="AY16" s="1"/>
      <c r="AZ16" s="6"/>
      <c r="BC16" s="1"/>
    </row>
    <row r="17" spans="1:55" ht="12.75" customHeight="1" x14ac:dyDescent="0.2">
      <c r="A17" s="205"/>
      <c r="I17" s="110"/>
      <c r="J17" s="111"/>
      <c r="X17" s="1"/>
      <c r="AL17" s="1"/>
      <c r="AM17" s="1"/>
      <c r="AN17" s="110"/>
      <c r="AO17" s="1"/>
      <c r="AP17" s="6"/>
      <c r="AQ17" s="6"/>
      <c r="AR17" s="6"/>
      <c r="AS17" s="4"/>
      <c r="AT17" s="1"/>
      <c r="AU17" s="4"/>
      <c r="AV17" s="6"/>
      <c r="AW17" s="4"/>
      <c r="AX17" s="1"/>
      <c r="AY17" s="1"/>
      <c r="AZ17" s="6"/>
      <c r="BC17" s="1"/>
    </row>
    <row r="18" spans="1:55" x14ac:dyDescent="0.2">
      <c r="A18" s="548" t="s">
        <v>114</v>
      </c>
      <c r="B18" s="549"/>
      <c r="C18" s="549"/>
      <c r="D18" s="549"/>
      <c r="E18" s="549"/>
      <c r="F18" s="549"/>
      <c r="I18" s="110"/>
      <c r="J18" s="525" t="s">
        <v>233</v>
      </c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  <c r="AB18" s="526"/>
      <c r="AC18" s="526"/>
      <c r="AD18" s="526"/>
      <c r="AE18" s="526"/>
      <c r="AF18" s="526"/>
      <c r="AG18" s="526"/>
      <c r="AH18" s="526"/>
      <c r="AI18" s="526"/>
      <c r="AJ18" s="526"/>
      <c r="AK18" s="526"/>
      <c r="AL18" s="526"/>
      <c r="AM18" s="526"/>
      <c r="AN18" s="536"/>
      <c r="AO18" s="1"/>
      <c r="AP18" s="6"/>
      <c r="AQ18" s="6"/>
      <c r="AR18" s="6"/>
      <c r="AS18" s="4"/>
      <c r="AT18" s="1"/>
      <c r="AU18" s="4"/>
      <c r="AV18" s="6"/>
      <c r="AW18" s="4"/>
      <c r="AX18" s="1"/>
      <c r="AY18" s="1"/>
      <c r="AZ18" s="6"/>
      <c r="BC18" s="1"/>
    </row>
    <row r="19" spans="1:55" x14ac:dyDescent="0.2">
      <c r="A19" s="534" t="s">
        <v>190</v>
      </c>
      <c r="B19" s="535"/>
      <c r="C19" s="535"/>
      <c r="D19" s="535"/>
      <c r="E19" s="535"/>
      <c r="F19" s="535"/>
      <c r="I19" s="110"/>
      <c r="J19" s="545" t="s">
        <v>234</v>
      </c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546"/>
      <c r="AA19" s="546"/>
      <c r="AB19" s="546"/>
      <c r="AC19" s="546"/>
      <c r="AD19" s="546"/>
      <c r="AE19" s="546"/>
      <c r="AF19" s="546"/>
      <c r="AG19" s="546"/>
      <c r="AH19" s="546"/>
      <c r="AI19" s="546"/>
      <c r="AJ19" s="546"/>
      <c r="AK19" s="546"/>
      <c r="AL19" s="546"/>
      <c r="AM19" s="546"/>
      <c r="AN19" s="547"/>
      <c r="AO19" s="1"/>
      <c r="AP19" s="6"/>
      <c r="AQ19" s="6"/>
      <c r="AR19" s="6"/>
      <c r="AS19" s="4"/>
      <c r="AT19" s="1"/>
      <c r="AU19" s="4"/>
      <c r="AV19" s="6"/>
      <c r="AW19" s="4"/>
      <c r="AX19" s="1"/>
      <c r="AY19" s="1"/>
      <c r="AZ19" s="6"/>
      <c r="BC19" s="1"/>
    </row>
    <row r="20" spans="1:55" ht="16.5" thickBot="1" x14ac:dyDescent="0.25">
      <c r="A20" s="550" t="s">
        <v>115</v>
      </c>
      <c r="B20" s="551"/>
      <c r="C20" s="551"/>
      <c r="D20" s="551"/>
      <c r="E20" s="551"/>
      <c r="F20" s="551"/>
      <c r="I20" s="110"/>
      <c r="J20" s="523" t="s">
        <v>115</v>
      </c>
      <c r="K20" s="524"/>
      <c r="L20" s="524"/>
      <c r="M20" s="524"/>
      <c r="N20" s="524"/>
      <c r="O20" s="524"/>
      <c r="P20" s="524"/>
      <c r="Q20" s="524"/>
      <c r="R20" s="524"/>
      <c r="S20" s="524"/>
      <c r="T20" s="524"/>
      <c r="U20" s="524"/>
      <c r="V20" s="524"/>
      <c r="W20" s="524"/>
      <c r="X20" s="524"/>
      <c r="Y20" s="524"/>
      <c r="Z20" s="524"/>
      <c r="AA20" s="524"/>
      <c r="AB20" s="524"/>
      <c r="AC20" s="524"/>
      <c r="AD20" s="524"/>
      <c r="AE20" s="524"/>
      <c r="AF20" s="524"/>
      <c r="AG20" s="524"/>
      <c r="AH20" s="524"/>
      <c r="AI20" s="524"/>
      <c r="AJ20" s="524"/>
      <c r="AK20" s="524"/>
      <c r="AL20" s="524"/>
      <c r="AM20" s="524"/>
      <c r="AN20" s="540"/>
      <c r="AO20" s="1"/>
      <c r="AP20" s="6"/>
      <c r="AQ20" s="6"/>
      <c r="AR20" s="6"/>
      <c r="AS20" s="4"/>
      <c r="AT20" s="1"/>
      <c r="AU20" s="4"/>
      <c r="AV20" s="6"/>
      <c r="AW20" s="4"/>
      <c r="AX20" s="1"/>
      <c r="AY20" s="1"/>
      <c r="AZ20" s="6"/>
      <c r="BC20" s="1"/>
    </row>
    <row r="21" spans="1:55" x14ac:dyDescent="0.2">
      <c r="A21" s="112" t="s">
        <v>116</v>
      </c>
      <c r="B21" s="113"/>
      <c r="C21" s="222"/>
      <c r="D21" s="206"/>
      <c r="E21" s="114"/>
      <c r="F21" s="114"/>
      <c r="G21" s="114"/>
      <c r="H21" s="114"/>
      <c r="I21" s="115"/>
      <c r="J21" s="111" t="s">
        <v>117</v>
      </c>
      <c r="AL21" s="116"/>
      <c r="AM21" s="5"/>
      <c r="AN21" s="127"/>
      <c r="AO21" s="1"/>
      <c r="AP21" s="6"/>
      <c r="AQ21" s="6"/>
      <c r="AR21" s="6"/>
      <c r="AS21" s="4"/>
      <c r="AT21" s="1"/>
      <c r="AU21" s="4"/>
      <c r="AV21" s="6"/>
      <c r="AW21" s="4"/>
      <c r="AX21" s="1"/>
      <c r="AY21" s="1"/>
      <c r="AZ21" s="6"/>
      <c r="BC21" s="1"/>
    </row>
    <row r="22" spans="1:55" x14ac:dyDescent="0.2">
      <c r="A22" s="111" t="s">
        <v>118</v>
      </c>
      <c r="B22" s="1"/>
      <c r="I22" s="110"/>
      <c r="J22" s="111" t="s">
        <v>119</v>
      </c>
      <c r="Q22" s="1" t="s">
        <v>120</v>
      </c>
      <c r="AL22" s="116"/>
      <c r="AM22" s="5"/>
      <c r="AN22" s="127"/>
      <c r="AO22" s="1"/>
      <c r="AP22" s="6"/>
      <c r="AQ22" s="6"/>
      <c r="AR22" s="6"/>
      <c r="AS22" s="4"/>
      <c r="AT22" s="1"/>
      <c r="AU22" s="4"/>
      <c r="AV22" s="6"/>
      <c r="AW22" s="4"/>
      <c r="AX22" s="1"/>
      <c r="AY22" s="1"/>
      <c r="AZ22" s="6"/>
      <c r="BC22" s="1"/>
    </row>
    <row r="23" spans="1:55" x14ac:dyDescent="0.2">
      <c r="A23" s="111"/>
      <c r="B23" s="1"/>
      <c r="I23" s="110"/>
      <c r="J23" s="111"/>
      <c r="AL23" s="117" t="s">
        <v>121</v>
      </c>
      <c r="AM23" s="118"/>
      <c r="AN23" s="128"/>
      <c r="AO23" s="1"/>
      <c r="AP23" s="6"/>
      <c r="AQ23" s="6"/>
      <c r="AR23" s="6"/>
      <c r="AS23" s="4"/>
      <c r="AT23" s="1"/>
      <c r="AU23" s="4"/>
      <c r="AV23" s="6"/>
      <c r="AW23" s="4"/>
      <c r="AX23" s="1"/>
      <c r="AY23" s="1"/>
      <c r="AZ23" s="6"/>
      <c r="BC23" s="1"/>
    </row>
    <row r="24" spans="1:55" x14ac:dyDescent="0.2">
      <c r="A24" s="205"/>
      <c r="I24" s="110"/>
      <c r="J24" s="111"/>
      <c r="Q24" s="1" t="s">
        <v>122</v>
      </c>
      <c r="AL24" s="117" t="s">
        <v>123</v>
      </c>
      <c r="AM24" s="118"/>
      <c r="AN24" s="128"/>
      <c r="AO24" s="1"/>
      <c r="AP24" s="6"/>
      <c r="AQ24" s="6"/>
      <c r="AR24" s="6"/>
      <c r="AS24" s="4"/>
      <c r="AT24" s="1"/>
      <c r="AU24" s="4"/>
      <c r="AV24" s="6"/>
      <c r="AW24" s="4"/>
      <c r="AX24" s="1"/>
      <c r="AY24" s="1"/>
      <c r="AZ24" s="6"/>
      <c r="BC24" s="1"/>
    </row>
    <row r="25" spans="1:55" x14ac:dyDescent="0.2">
      <c r="A25" s="534" t="s">
        <v>124</v>
      </c>
      <c r="B25" s="535"/>
      <c r="C25" s="535"/>
      <c r="D25" s="1"/>
      <c r="H25" s="119"/>
      <c r="I25" s="110"/>
      <c r="J25" s="525" t="s">
        <v>125</v>
      </c>
      <c r="K25" s="526"/>
      <c r="L25" s="526"/>
      <c r="M25" s="526"/>
      <c r="P25" s="120"/>
      <c r="Q25" s="120" t="s">
        <v>126</v>
      </c>
      <c r="R25" s="120"/>
      <c r="S25" s="120"/>
      <c r="T25" s="120"/>
      <c r="U25" s="120"/>
      <c r="V25" s="120"/>
      <c r="W25" s="120"/>
      <c r="X25" s="121"/>
      <c r="Y25" s="120"/>
      <c r="Z25" s="120"/>
      <c r="AL25" s="117" t="s">
        <v>127</v>
      </c>
      <c r="AM25" s="118"/>
      <c r="AN25" s="128"/>
      <c r="AO25" s="1"/>
      <c r="AP25" s="6"/>
      <c r="AQ25" s="6"/>
      <c r="AR25" s="6"/>
      <c r="AS25" s="4"/>
      <c r="AT25" s="1"/>
      <c r="AU25" s="4"/>
      <c r="AV25" s="6"/>
      <c r="AW25" s="4"/>
      <c r="AX25" s="1"/>
      <c r="AY25" s="1"/>
      <c r="AZ25" s="6"/>
      <c r="BC25" s="1"/>
    </row>
    <row r="26" spans="1:55" x14ac:dyDescent="0.2">
      <c r="A26" s="534" t="s">
        <v>128</v>
      </c>
      <c r="B26" s="535"/>
      <c r="C26" s="535"/>
      <c r="D26" s="1"/>
      <c r="H26" s="543" t="s">
        <v>129</v>
      </c>
      <c r="I26" s="544"/>
      <c r="J26" s="534" t="s">
        <v>130</v>
      </c>
      <c r="K26" s="535"/>
      <c r="L26" s="535"/>
      <c r="M26" s="535"/>
      <c r="P26" s="543" t="s">
        <v>131</v>
      </c>
      <c r="Q26" s="543"/>
      <c r="R26" s="543"/>
      <c r="S26" s="543"/>
      <c r="T26" s="543"/>
      <c r="U26" s="543"/>
      <c r="V26" s="543"/>
      <c r="W26" s="543"/>
      <c r="X26" s="543"/>
      <c r="Y26" s="543"/>
      <c r="Z26" s="543"/>
      <c r="AL26" s="117" t="s">
        <v>123</v>
      </c>
      <c r="AM26" s="118"/>
      <c r="AN26" s="128"/>
      <c r="AO26" s="1"/>
      <c r="AP26" s="6"/>
      <c r="AQ26" s="6"/>
      <c r="AR26" s="6"/>
      <c r="AS26" s="4"/>
      <c r="AT26" s="1"/>
      <c r="AU26" s="4"/>
      <c r="AV26" s="6"/>
      <c r="AW26" s="4"/>
      <c r="AX26" s="1"/>
      <c r="AY26" s="1"/>
      <c r="AZ26" s="6"/>
      <c r="BC26" s="1"/>
    </row>
    <row r="27" spans="1:55" ht="22.5" customHeight="1" thickBot="1" x14ac:dyDescent="0.25">
      <c r="A27" s="541" t="s">
        <v>189</v>
      </c>
      <c r="B27" s="542"/>
      <c r="C27" s="542"/>
      <c r="D27" s="122"/>
      <c r="E27" s="122"/>
      <c r="F27" s="122"/>
      <c r="G27" s="122"/>
      <c r="H27" s="122"/>
      <c r="I27" s="123"/>
      <c r="J27" s="523" t="s">
        <v>132</v>
      </c>
      <c r="K27" s="524"/>
      <c r="L27" s="524"/>
      <c r="M27" s="524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4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5"/>
      <c r="AM27" s="124"/>
      <c r="AN27" s="129"/>
      <c r="AO27" s="1"/>
      <c r="AP27" s="6"/>
      <c r="AQ27" s="6"/>
      <c r="AR27" s="6"/>
      <c r="AS27" s="4"/>
      <c r="AT27" s="1"/>
      <c r="AU27" s="4"/>
      <c r="AV27" s="6"/>
      <c r="AW27" s="4"/>
      <c r="AX27" s="1"/>
      <c r="AY27" s="1"/>
      <c r="AZ27" s="6"/>
      <c r="BC27" s="1"/>
    </row>
  </sheetData>
  <autoFilter ref="A8:AU13"/>
  <mergeCells count="20">
    <mergeCell ref="A7:T7"/>
    <mergeCell ref="A1:AN1"/>
    <mergeCell ref="A2:AN2"/>
    <mergeCell ref="A3:AN3"/>
    <mergeCell ref="A4:AN4"/>
    <mergeCell ref="A5:AN5"/>
    <mergeCell ref="P26:Z26"/>
    <mergeCell ref="A18:F18"/>
    <mergeCell ref="J18:AN18"/>
    <mergeCell ref="A19:F19"/>
    <mergeCell ref="J19:AN19"/>
    <mergeCell ref="A20:F20"/>
    <mergeCell ref="J20:AN20"/>
    <mergeCell ref="A27:C27"/>
    <mergeCell ref="J27:M27"/>
    <mergeCell ref="A25:C25"/>
    <mergeCell ref="J25:M25"/>
    <mergeCell ref="A26:C26"/>
    <mergeCell ref="H26:I26"/>
    <mergeCell ref="J26:M26"/>
  </mergeCells>
  <conditionalFormatting sqref="B24 B15:B17">
    <cfRule type="duplicateValues" dxfId="30" priority="26"/>
  </conditionalFormatting>
  <conditionalFormatting sqref="B28:B1048576 B8">
    <cfRule type="duplicateValues" dxfId="29" priority="27"/>
  </conditionalFormatting>
  <conditionalFormatting sqref="B13">
    <cfRule type="duplicateValues" dxfId="28" priority="29"/>
  </conditionalFormatting>
  <conditionalFormatting sqref="B9 B12">
    <cfRule type="duplicateValues" dxfId="27" priority="4"/>
  </conditionalFormatting>
  <conditionalFormatting sqref="B9">
    <cfRule type="duplicateValues" dxfId="26" priority="5"/>
  </conditionalFormatting>
  <conditionalFormatting sqref="B10">
    <cfRule type="duplicateValues" dxfId="25" priority="2"/>
  </conditionalFormatting>
  <conditionalFormatting sqref="B11">
    <cfRule type="duplicateValues" dxfId="24" priority="1"/>
  </conditionalFormatting>
  <pageMargins left="0.2" right="0.2" top="0.2" bottom="0.45" header="0" footer="0"/>
  <pageSetup paperSize="119" scale="65" orientation="landscape" blackAndWhite="1" errors="NA" r:id="rId1"/>
  <headerFooter scaleWithDoc="0"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AL25"/>
  <sheetViews>
    <sheetView topLeftCell="A10" zoomScaleSheetLayoutView="100" workbookViewId="0">
      <pane xSplit="5" topLeftCell="F1" activePane="topRight" state="frozen"/>
      <selection activeCell="A70" sqref="A70"/>
      <selection pane="topRight" activeCell="M16" sqref="M16"/>
    </sheetView>
  </sheetViews>
  <sheetFormatPr defaultColWidth="9.140625" defaultRowHeight="12.75" x14ac:dyDescent="0.2"/>
  <cols>
    <col min="1" max="1" width="33.5703125" style="36" customWidth="1"/>
    <col min="2" max="2" width="3.7109375" style="37" customWidth="1"/>
    <col min="3" max="3" width="8.140625" style="38" customWidth="1"/>
    <col min="4" max="4" width="8.85546875" style="37" customWidth="1"/>
    <col min="5" max="5" width="10.140625" style="37" customWidth="1"/>
    <col min="6" max="6" width="7.7109375" style="39" bestFit="1" customWidth="1"/>
    <col min="7" max="7" width="7.7109375" style="39" customWidth="1"/>
    <col min="8" max="8" width="6.7109375" style="39" bestFit="1" customWidth="1"/>
    <col min="9" max="9" width="7.140625" style="39" customWidth="1"/>
    <col min="10" max="10" width="6.140625" style="39" customWidth="1"/>
    <col min="11" max="11" width="7.140625" style="39" customWidth="1"/>
    <col min="12" max="12" width="12" style="39" customWidth="1"/>
    <col min="13" max="13" width="7.7109375" style="39" customWidth="1"/>
    <col min="14" max="14" width="6" style="39" customWidth="1"/>
    <col min="15" max="16" width="5.140625" style="39" customWidth="1"/>
    <col min="17" max="17" width="7.42578125" style="39" customWidth="1"/>
    <col min="18" max="18" width="8.7109375" style="39" customWidth="1"/>
    <col min="19" max="19" width="10" style="39" customWidth="1"/>
    <col min="20" max="20" width="8.42578125" style="39" customWidth="1"/>
    <col min="21" max="21" width="7.7109375" style="39" customWidth="1"/>
    <col min="22" max="22" width="8" style="39" customWidth="1"/>
    <col min="23" max="23" width="7.140625" style="39" customWidth="1"/>
    <col min="24" max="24" width="6.42578125" style="39" customWidth="1"/>
    <col min="25" max="25" width="8.85546875" style="39" customWidth="1"/>
    <col min="26" max="26" width="13.28515625" style="40" customWidth="1"/>
    <col min="27" max="27" width="16.28515625" style="40" customWidth="1"/>
    <col min="28" max="28" width="5.42578125" style="34" customWidth="1"/>
    <col min="29" max="29" width="18.140625" style="35" customWidth="1"/>
    <col min="30" max="30" width="15" style="34" bestFit="1" customWidth="1"/>
    <col min="31" max="16384" width="9.140625" style="34"/>
  </cols>
  <sheetData>
    <row r="1" spans="1:38" s="25" customFormat="1" ht="20.25" x14ac:dyDescent="0.2">
      <c r="A1" s="15" t="s">
        <v>49</v>
      </c>
      <c r="B1" s="16"/>
      <c r="C1" s="17"/>
      <c r="D1" s="16"/>
      <c r="E1" s="18"/>
      <c r="F1" s="19"/>
      <c r="G1" s="19"/>
      <c r="H1" s="19"/>
      <c r="I1" s="19"/>
      <c r="J1" s="19"/>
      <c r="K1" s="19"/>
      <c r="L1" s="20"/>
      <c r="M1" s="20"/>
      <c r="N1" s="21"/>
      <c r="O1" s="21"/>
      <c r="P1" s="21"/>
      <c r="Q1" s="17"/>
      <c r="R1" s="22"/>
      <c r="S1" s="21"/>
      <c r="T1" s="23"/>
      <c r="U1" s="23"/>
      <c r="V1" s="23"/>
      <c r="W1" s="23"/>
      <c r="X1" s="23"/>
      <c r="Y1" s="23"/>
      <c r="Z1" s="24"/>
      <c r="AA1" s="24"/>
      <c r="AC1" s="26"/>
    </row>
    <row r="2" spans="1:38" s="25" customFormat="1" ht="9" customHeight="1" x14ac:dyDescent="0.2">
      <c r="A2" s="27"/>
      <c r="B2" s="16"/>
      <c r="C2" s="17"/>
      <c r="D2" s="16"/>
      <c r="E2" s="18"/>
      <c r="F2" s="19"/>
      <c r="G2" s="19"/>
      <c r="H2" s="19"/>
      <c r="I2" s="19"/>
      <c r="J2" s="19"/>
      <c r="K2" s="19"/>
      <c r="L2" s="20"/>
      <c r="M2" s="20"/>
      <c r="N2" s="21"/>
      <c r="O2" s="21"/>
      <c r="P2" s="21"/>
      <c r="Q2" s="17"/>
      <c r="R2" s="22"/>
      <c r="S2" s="21"/>
      <c r="T2" s="23"/>
      <c r="U2" s="23"/>
      <c r="V2" s="23"/>
      <c r="W2" s="23"/>
      <c r="X2" s="23"/>
      <c r="Y2" s="23"/>
      <c r="Z2" s="24"/>
      <c r="AA2" s="24"/>
      <c r="AC2" s="26"/>
    </row>
    <row r="3" spans="1:38" s="25" customFormat="1" ht="15" x14ac:dyDescent="0.2">
      <c r="A3" s="28" t="s">
        <v>50</v>
      </c>
      <c r="C3" s="29" t="s">
        <v>51</v>
      </c>
      <c r="F3" s="23"/>
      <c r="G3" s="23"/>
      <c r="H3" s="29"/>
      <c r="I3" s="29"/>
      <c r="J3" s="29"/>
      <c r="K3" s="29"/>
      <c r="L3" s="30"/>
      <c r="M3" s="30"/>
      <c r="N3" s="29"/>
      <c r="O3" s="29"/>
      <c r="P3" s="29"/>
      <c r="Q3" s="29"/>
      <c r="R3" s="29"/>
      <c r="S3" s="29"/>
      <c r="T3" s="23"/>
      <c r="U3" s="23"/>
      <c r="V3" s="23"/>
      <c r="W3" s="23"/>
      <c r="X3" s="23"/>
      <c r="Y3" s="23"/>
      <c r="Z3" s="24"/>
      <c r="AA3" s="24"/>
      <c r="AC3" s="26"/>
    </row>
    <row r="4" spans="1:38" s="25" customFormat="1" ht="15" x14ac:dyDescent="0.2">
      <c r="A4" s="28" t="s">
        <v>52</v>
      </c>
      <c r="C4" s="29" t="s">
        <v>53</v>
      </c>
      <c r="F4" s="23"/>
      <c r="G4" s="23"/>
      <c r="H4" s="29"/>
      <c r="I4" s="29"/>
      <c r="J4" s="29"/>
      <c r="K4" s="29"/>
      <c r="L4" s="30"/>
      <c r="M4" s="30"/>
      <c r="N4" s="29"/>
      <c r="O4" s="29"/>
      <c r="P4" s="29"/>
      <c r="Q4" s="29"/>
      <c r="R4" s="29"/>
      <c r="S4" s="29"/>
      <c r="T4" s="23"/>
      <c r="U4" s="23"/>
      <c r="V4" s="23"/>
      <c r="W4" s="23"/>
      <c r="X4" s="23"/>
      <c r="Y4" s="23"/>
      <c r="Z4" s="24"/>
      <c r="AA4" s="24"/>
      <c r="AC4" s="26"/>
    </row>
    <row r="5" spans="1:38" s="25" customFormat="1" ht="15" x14ac:dyDescent="0.2">
      <c r="A5" s="28" t="s">
        <v>54</v>
      </c>
      <c r="C5" s="29" t="s">
        <v>55</v>
      </c>
      <c r="F5" s="23"/>
      <c r="G5" s="23"/>
      <c r="H5" s="29"/>
      <c r="I5" s="29"/>
      <c r="J5" s="29"/>
      <c r="K5" s="29"/>
      <c r="L5" s="30"/>
      <c r="M5" s="30"/>
      <c r="N5" s="29"/>
      <c r="O5" s="29"/>
      <c r="P5" s="29"/>
      <c r="Q5" s="29"/>
      <c r="R5" s="29"/>
      <c r="S5" s="29"/>
      <c r="T5" s="23"/>
      <c r="U5" s="23"/>
      <c r="V5" s="23"/>
      <c r="W5" s="23"/>
      <c r="X5" s="23"/>
      <c r="Y5" s="23"/>
      <c r="Z5" s="24"/>
      <c r="AA5" s="24"/>
      <c r="AC5" s="26"/>
    </row>
    <row r="6" spans="1:38" s="25" customFormat="1" ht="15" x14ac:dyDescent="0.2">
      <c r="A6" s="28" t="s">
        <v>56</v>
      </c>
      <c r="C6" s="29" t="s">
        <v>57</v>
      </c>
      <c r="F6" s="23"/>
      <c r="G6" s="23"/>
      <c r="H6" s="29"/>
      <c r="I6" s="29"/>
      <c r="J6" s="29"/>
      <c r="K6" s="29"/>
      <c r="L6" s="30"/>
      <c r="M6" s="30"/>
      <c r="N6" s="29"/>
      <c r="O6" s="29"/>
      <c r="P6" s="29"/>
      <c r="Q6" s="29"/>
      <c r="R6" s="29"/>
      <c r="S6" s="29"/>
      <c r="T6" s="23"/>
      <c r="U6" s="23"/>
      <c r="V6" s="23"/>
      <c r="W6" s="23"/>
      <c r="X6" s="23"/>
      <c r="Y6" s="23"/>
      <c r="Z6" s="24"/>
      <c r="AA6" s="24"/>
      <c r="AC6" s="26"/>
    </row>
    <row r="7" spans="1:38" s="25" customFormat="1" ht="15.75" x14ac:dyDescent="0.2">
      <c r="A7" s="28" t="s">
        <v>58</v>
      </c>
      <c r="C7" s="31" t="s">
        <v>59</v>
      </c>
      <c r="F7" s="23"/>
      <c r="G7" s="23"/>
      <c r="H7" s="31"/>
      <c r="I7" s="31"/>
      <c r="J7" s="31"/>
      <c r="K7" s="31"/>
      <c r="L7" s="32"/>
      <c r="M7" s="32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4"/>
      <c r="AA7" s="24"/>
      <c r="AC7" s="26"/>
    </row>
    <row r="8" spans="1:38" s="25" customFormat="1" ht="15" x14ac:dyDescent="0.2">
      <c r="A8" s="28" t="s">
        <v>60</v>
      </c>
      <c r="C8" s="29" t="s">
        <v>61</v>
      </c>
      <c r="F8" s="23"/>
      <c r="G8" s="23"/>
      <c r="H8" s="29"/>
      <c r="I8" s="29"/>
      <c r="J8" s="29"/>
      <c r="K8" s="29"/>
      <c r="L8" s="30"/>
      <c r="M8" s="30"/>
      <c r="N8" s="29"/>
      <c r="O8" s="29"/>
      <c r="P8" s="29"/>
      <c r="Q8" s="29"/>
      <c r="R8" s="29"/>
      <c r="S8" s="29"/>
      <c r="T8" s="23"/>
      <c r="U8" s="23"/>
      <c r="V8" s="23"/>
      <c r="W8" s="23"/>
      <c r="X8" s="23"/>
      <c r="Y8" s="23"/>
      <c r="Z8" s="24"/>
      <c r="AA8" s="24"/>
      <c r="AC8" s="26"/>
    </row>
    <row r="9" spans="1:38" s="25" customFormat="1" ht="15" x14ac:dyDescent="0.2">
      <c r="A9" s="28" t="s">
        <v>62</v>
      </c>
      <c r="C9" s="29" t="s">
        <v>63</v>
      </c>
      <c r="F9" s="23"/>
      <c r="G9" s="23"/>
      <c r="H9" s="29"/>
      <c r="I9" s="29"/>
      <c r="J9" s="29"/>
      <c r="K9" s="29"/>
      <c r="L9" s="30"/>
      <c r="M9" s="30"/>
      <c r="N9" s="29"/>
      <c r="O9" s="29"/>
      <c r="P9" s="29"/>
      <c r="Q9" s="29"/>
      <c r="R9" s="29"/>
      <c r="S9" s="29"/>
      <c r="T9" s="23"/>
      <c r="U9" s="23"/>
      <c r="V9" s="23"/>
      <c r="W9" s="23"/>
      <c r="X9" s="23"/>
      <c r="Y9" s="23"/>
      <c r="Z9" s="24"/>
      <c r="AA9" s="24"/>
      <c r="AC9" s="26"/>
    </row>
    <row r="10" spans="1:38" s="25" customFormat="1" ht="15.75" x14ac:dyDescent="0.2">
      <c r="A10" s="28" t="s">
        <v>64</v>
      </c>
      <c r="C10" s="31" t="s">
        <v>65</v>
      </c>
      <c r="F10" s="23"/>
      <c r="G10" s="23"/>
      <c r="H10" s="29"/>
      <c r="I10" s="29"/>
      <c r="J10" s="29"/>
      <c r="K10" s="29"/>
      <c r="L10" s="30"/>
      <c r="M10" s="30"/>
      <c r="N10" s="29"/>
      <c r="O10" s="29"/>
      <c r="P10" s="29"/>
      <c r="Q10" s="29"/>
      <c r="R10" s="29"/>
      <c r="S10" s="29"/>
      <c r="T10" s="23"/>
      <c r="U10" s="23"/>
      <c r="V10" s="23"/>
      <c r="W10" s="23"/>
      <c r="X10" s="23"/>
      <c r="Y10" s="23"/>
      <c r="Z10" s="24"/>
      <c r="AA10" s="24"/>
      <c r="AC10" s="26"/>
      <c r="AL10" s="33" t="e">
        <f>Salary!#REF!+Salary!E17</f>
        <v>#REF!</v>
      </c>
    </row>
    <row r="11" spans="1:38" ht="15.75" x14ac:dyDescent="0.2">
      <c r="A11" s="562"/>
      <c r="B11" s="562"/>
      <c r="C11" s="562"/>
      <c r="D11" s="562"/>
      <c r="E11" s="562"/>
      <c r="F11" s="562"/>
      <c r="G11" s="562"/>
      <c r="H11" s="562"/>
      <c r="I11" s="562"/>
      <c r="J11" s="562"/>
      <c r="K11" s="562"/>
      <c r="L11" s="562"/>
      <c r="M11" s="562"/>
      <c r="N11" s="562"/>
      <c r="O11" s="562"/>
      <c r="P11" s="562"/>
      <c r="Q11" s="562"/>
      <c r="R11" s="562"/>
      <c r="S11" s="562"/>
      <c r="T11" s="562"/>
      <c r="U11" s="562"/>
      <c r="V11" s="562"/>
      <c r="W11" s="562"/>
      <c r="X11" s="562"/>
      <c r="Y11" s="562"/>
      <c r="Z11" s="562"/>
      <c r="AA11" s="562"/>
    </row>
    <row r="12" spans="1:38" ht="13.5" thickBot="1" x14ac:dyDescent="0.25"/>
    <row r="13" spans="1:38" ht="15.75" customHeight="1" thickTop="1" x14ac:dyDescent="0.2">
      <c r="A13" s="563" t="s">
        <v>66</v>
      </c>
      <c r="B13" s="566" t="s">
        <v>67</v>
      </c>
      <c r="C13" s="567"/>
      <c r="D13" s="572" t="s">
        <v>68</v>
      </c>
      <c r="E13" s="572" t="s">
        <v>69</v>
      </c>
      <c r="F13" s="575" t="s">
        <v>70</v>
      </c>
      <c r="G13" s="576"/>
      <c r="H13" s="576"/>
      <c r="I13" s="576"/>
      <c r="J13" s="576"/>
      <c r="K13" s="576"/>
      <c r="L13" s="577"/>
      <c r="M13" s="581" t="s">
        <v>71</v>
      </c>
      <c r="N13" s="582"/>
      <c r="O13" s="582"/>
      <c r="P13" s="582"/>
      <c r="Q13" s="583"/>
      <c r="R13" s="587" t="s">
        <v>72</v>
      </c>
      <c r="S13" s="587" t="s">
        <v>73</v>
      </c>
      <c r="T13" s="591" t="s">
        <v>74</v>
      </c>
      <c r="U13" s="592"/>
      <c r="V13" s="592"/>
      <c r="W13" s="592"/>
      <c r="X13" s="592"/>
      <c r="Y13" s="593"/>
      <c r="Z13" s="594" t="s">
        <v>75</v>
      </c>
      <c r="AA13" s="597" t="s">
        <v>76</v>
      </c>
    </row>
    <row r="14" spans="1:38" ht="12.75" customHeight="1" thickBot="1" x14ac:dyDescent="0.25">
      <c r="A14" s="564"/>
      <c r="B14" s="568"/>
      <c r="C14" s="569"/>
      <c r="D14" s="573"/>
      <c r="E14" s="573"/>
      <c r="F14" s="578"/>
      <c r="G14" s="579"/>
      <c r="H14" s="579"/>
      <c r="I14" s="579"/>
      <c r="J14" s="579"/>
      <c r="K14" s="579"/>
      <c r="L14" s="580"/>
      <c r="M14" s="584"/>
      <c r="N14" s="585"/>
      <c r="O14" s="585"/>
      <c r="P14" s="585"/>
      <c r="Q14" s="586"/>
      <c r="R14" s="588"/>
      <c r="S14" s="589"/>
      <c r="T14" s="600" t="s">
        <v>77</v>
      </c>
      <c r="U14" s="602" t="s">
        <v>78</v>
      </c>
      <c r="V14" s="600" t="s">
        <v>79</v>
      </c>
      <c r="W14" s="600" t="s">
        <v>80</v>
      </c>
      <c r="X14" s="602" t="s">
        <v>81</v>
      </c>
      <c r="Y14" s="560" t="s">
        <v>82</v>
      </c>
      <c r="Z14" s="595"/>
      <c r="AA14" s="598"/>
    </row>
    <row r="15" spans="1:38" ht="81.75" customHeight="1" thickTop="1" thickBot="1" x14ac:dyDescent="0.25">
      <c r="A15" s="565"/>
      <c r="B15" s="570"/>
      <c r="C15" s="571"/>
      <c r="D15" s="574"/>
      <c r="E15" s="574"/>
      <c r="F15" s="41" t="s">
        <v>83</v>
      </c>
      <c r="G15" s="41" t="s">
        <v>84</v>
      </c>
      <c r="H15" s="41" t="s">
        <v>85</v>
      </c>
      <c r="I15" s="41" t="s">
        <v>37</v>
      </c>
      <c r="J15" s="41" t="s">
        <v>38</v>
      </c>
      <c r="K15" s="42" t="s">
        <v>86</v>
      </c>
      <c r="L15" s="43" t="s">
        <v>87</v>
      </c>
      <c r="M15" s="44" t="s">
        <v>88</v>
      </c>
      <c r="N15" s="45" t="s">
        <v>89</v>
      </c>
      <c r="O15" s="45" t="s">
        <v>90</v>
      </c>
      <c r="P15" s="45" t="s">
        <v>8</v>
      </c>
      <c r="Q15" s="46" t="s">
        <v>33</v>
      </c>
      <c r="R15" s="47" t="s">
        <v>91</v>
      </c>
      <c r="S15" s="590"/>
      <c r="T15" s="601"/>
      <c r="U15" s="603"/>
      <c r="V15" s="601"/>
      <c r="W15" s="601"/>
      <c r="X15" s="603"/>
      <c r="Y15" s="561"/>
      <c r="Z15" s="596"/>
      <c r="AA15" s="599"/>
    </row>
    <row r="16" spans="1:38" ht="38.25" customHeight="1" x14ac:dyDescent="0.2">
      <c r="A16" s="48" t="s">
        <v>92</v>
      </c>
      <c r="B16" s="49">
        <v>23</v>
      </c>
      <c r="C16" s="50">
        <v>73811</v>
      </c>
      <c r="D16" s="51">
        <v>1</v>
      </c>
      <c r="E16" s="51">
        <v>7</v>
      </c>
      <c r="F16" s="52">
        <v>73811</v>
      </c>
      <c r="G16" s="52">
        <v>2000</v>
      </c>
      <c r="H16" s="52">
        <v>0</v>
      </c>
      <c r="I16" s="52">
        <v>1100</v>
      </c>
      <c r="J16" s="52">
        <v>150</v>
      </c>
      <c r="K16" s="53">
        <f>F16*11%</f>
        <v>8119.21</v>
      </c>
      <c r="L16" s="54">
        <f>SUM(F16:K16)</f>
        <v>85180.21</v>
      </c>
      <c r="M16" s="55">
        <f>F16*12%</f>
        <v>8857.32</v>
      </c>
      <c r="N16" s="52">
        <v>100</v>
      </c>
      <c r="O16" s="52">
        <v>550</v>
      </c>
      <c r="P16" s="52">
        <v>100</v>
      </c>
      <c r="Q16" s="56">
        <f>SUM(M16:P16)</f>
        <v>9607.32</v>
      </c>
      <c r="R16" s="56">
        <f>L16+Q16</f>
        <v>94787.53</v>
      </c>
      <c r="S16" s="56">
        <f t="shared" ref="S16:S23" si="0">R16*E16</f>
        <v>663512.71</v>
      </c>
      <c r="T16" s="52"/>
      <c r="U16" s="52">
        <v>6000</v>
      </c>
      <c r="V16" s="52">
        <f>F16</f>
        <v>73811</v>
      </c>
      <c r="W16" s="52">
        <f>2500*2</f>
        <v>5000</v>
      </c>
      <c r="X16" s="52">
        <v>5000</v>
      </c>
      <c r="Y16" s="52">
        <f>SUM(T16:X16)</f>
        <v>89811</v>
      </c>
      <c r="Z16" s="57">
        <f t="shared" ref="Z16" si="1">SUM(Y16+S16)</f>
        <v>753323.71</v>
      </c>
      <c r="AA16" s="58">
        <f t="shared" ref="AA16:AA23" si="2">Z16*D16</f>
        <v>753323.71</v>
      </c>
    </row>
    <row r="17" spans="1:29" ht="17.25" customHeight="1" x14ac:dyDescent="0.2">
      <c r="A17" s="59" t="s">
        <v>93</v>
      </c>
      <c r="B17" s="60">
        <v>17</v>
      </c>
      <c r="C17" s="61">
        <v>36942</v>
      </c>
      <c r="D17" s="62">
        <v>1</v>
      </c>
      <c r="E17" s="62">
        <v>7</v>
      </c>
      <c r="F17" s="63">
        <f t="shared" ref="F17:F23" si="3">C17</f>
        <v>36942</v>
      </c>
      <c r="G17" s="63">
        <v>2000</v>
      </c>
      <c r="H17" s="63">
        <v>0</v>
      </c>
      <c r="I17" s="63">
        <f t="shared" ref="I17:I23" si="4">50*22</f>
        <v>1100</v>
      </c>
      <c r="J17" s="63">
        <v>150</v>
      </c>
      <c r="K17" s="64">
        <f>F17*25%</f>
        <v>9235.5</v>
      </c>
      <c r="L17" s="65">
        <f>SUM(F17:K17)</f>
        <v>49427.5</v>
      </c>
      <c r="M17" s="66">
        <f>F17*12%</f>
        <v>4433.04</v>
      </c>
      <c r="N17" s="63">
        <v>100</v>
      </c>
      <c r="O17" s="63">
        <f t="shared" ref="O17:O23" si="5">(C17*2.75%)/2</f>
        <v>507.95249999999999</v>
      </c>
      <c r="P17" s="63">
        <v>100</v>
      </c>
      <c r="Q17" s="67">
        <f>SUM(M17:P17)</f>
        <v>5140.9925000000003</v>
      </c>
      <c r="R17" s="67">
        <f>L17+Q17</f>
        <v>54568.4925</v>
      </c>
      <c r="S17" s="67">
        <f t="shared" si="0"/>
        <v>381979.44750000001</v>
      </c>
      <c r="T17" s="63">
        <v>0</v>
      </c>
      <c r="U17" s="63">
        <v>6000</v>
      </c>
      <c r="V17" s="63">
        <f t="shared" ref="V17:V18" si="6">F17</f>
        <v>36942</v>
      </c>
      <c r="W17" s="63">
        <f t="shared" ref="W17:W23" si="7">2500*2</f>
        <v>5000</v>
      </c>
      <c r="X17" s="63">
        <v>5000</v>
      </c>
      <c r="Y17" s="63">
        <f t="shared" ref="Y17:Y23" si="8">SUM(T17:X17)</f>
        <v>52942</v>
      </c>
      <c r="Z17" s="68">
        <f t="shared" ref="Z17:Z23" si="9">SUM(Y17+S17)</f>
        <v>434921.44750000001</v>
      </c>
      <c r="AA17" s="69">
        <f t="shared" si="2"/>
        <v>434921.44750000001</v>
      </c>
    </row>
    <row r="18" spans="1:29" ht="17.25" customHeight="1" x14ac:dyDescent="0.2">
      <c r="A18" s="59" t="s">
        <v>94</v>
      </c>
      <c r="B18" s="60">
        <v>15</v>
      </c>
      <c r="C18" s="61">
        <v>30531</v>
      </c>
      <c r="D18" s="62">
        <v>1</v>
      </c>
      <c r="E18" s="62">
        <v>7</v>
      </c>
      <c r="F18" s="63">
        <f t="shared" si="3"/>
        <v>30531</v>
      </c>
      <c r="G18" s="63">
        <v>2000</v>
      </c>
      <c r="H18" s="63">
        <v>0</v>
      </c>
      <c r="I18" s="63">
        <f t="shared" si="4"/>
        <v>1100</v>
      </c>
      <c r="J18" s="63">
        <v>150</v>
      </c>
      <c r="K18" s="64">
        <f t="shared" ref="K18:K23" si="10">F18*25%</f>
        <v>7632.75</v>
      </c>
      <c r="L18" s="65">
        <f t="shared" ref="L18" si="11">SUM(F18:K18)</f>
        <v>41413.75</v>
      </c>
      <c r="M18" s="66">
        <f t="shared" ref="M18" si="12">F18*12%</f>
        <v>3663.72</v>
      </c>
      <c r="N18" s="63">
        <v>100</v>
      </c>
      <c r="O18" s="63">
        <f t="shared" si="5"/>
        <v>419.80124999999998</v>
      </c>
      <c r="P18" s="63">
        <v>100</v>
      </c>
      <c r="Q18" s="67">
        <f t="shared" ref="Q18" si="13">SUM(M18:P18)</f>
        <v>4283.5212499999998</v>
      </c>
      <c r="R18" s="67">
        <f t="shared" ref="R18" si="14">L18+Q18</f>
        <v>45697.271249999998</v>
      </c>
      <c r="S18" s="67">
        <f t="shared" si="0"/>
        <v>319880.89874999999</v>
      </c>
      <c r="T18" s="63">
        <v>0</v>
      </c>
      <c r="U18" s="63">
        <v>6000</v>
      </c>
      <c r="V18" s="63">
        <f t="shared" si="6"/>
        <v>30531</v>
      </c>
      <c r="W18" s="63">
        <f t="shared" si="7"/>
        <v>5000</v>
      </c>
      <c r="X18" s="63">
        <v>5000</v>
      </c>
      <c r="Y18" s="63">
        <f t="shared" si="8"/>
        <v>46531</v>
      </c>
      <c r="Z18" s="68">
        <f t="shared" si="9"/>
        <v>366411.89874999999</v>
      </c>
      <c r="AA18" s="69">
        <f t="shared" si="2"/>
        <v>366411.89874999999</v>
      </c>
    </row>
    <row r="19" spans="1:29" ht="17.25" customHeight="1" x14ac:dyDescent="0.2">
      <c r="A19" s="59" t="s">
        <v>95</v>
      </c>
      <c r="B19" s="60">
        <v>15</v>
      </c>
      <c r="C19" s="61">
        <v>30531</v>
      </c>
      <c r="D19" s="62">
        <v>1</v>
      </c>
      <c r="E19" s="62">
        <v>7</v>
      </c>
      <c r="F19" s="63">
        <f t="shared" si="3"/>
        <v>30531</v>
      </c>
      <c r="G19" s="63">
        <v>2000</v>
      </c>
      <c r="H19" s="63">
        <v>0</v>
      </c>
      <c r="I19" s="63">
        <f t="shared" si="4"/>
        <v>1100</v>
      </c>
      <c r="J19" s="63">
        <v>150</v>
      </c>
      <c r="K19" s="64">
        <f t="shared" si="10"/>
        <v>7632.75</v>
      </c>
      <c r="L19" s="65">
        <f>SUM(F19:K19)</f>
        <v>41413.75</v>
      </c>
      <c r="M19" s="66">
        <f>F19*12%</f>
        <v>3663.72</v>
      </c>
      <c r="N19" s="63">
        <v>100</v>
      </c>
      <c r="O19" s="63">
        <f t="shared" si="5"/>
        <v>419.80124999999998</v>
      </c>
      <c r="P19" s="63">
        <v>100</v>
      </c>
      <c r="Q19" s="67">
        <f>SUM(M19:P19)</f>
        <v>4283.5212499999998</v>
      </c>
      <c r="R19" s="67">
        <f>L19+Q19</f>
        <v>45697.271249999998</v>
      </c>
      <c r="S19" s="67">
        <f t="shared" si="0"/>
        <v>319880.89874999999</v>
      </c>
      <c r="T19" s="63">
        <v>0</v>
      </c>
      <c r="U19" s="63">
        <v>6000</v>
      </c>
      <c r="V19" s="63">
        <f>F19</f>
        <v>30531</v>
      </c>
      <c r="W19" s="63">
        <f t="shared" si="7"/>
        <v>5000</v>
      </c>
      <c r="X19" s="63">
        <v>5000</v>
      </c>
      <c r="Y19" s="63">
        <f t="shared" si="8"/>
        <v>46531</v>
      </c>
      <c r="Z19" s="68">
        <f t="shared" si="9"/>
        <v>366411.89874999999</v>
      </c>
      <c r="AA19" s="69">
        <f t="shared" si="2"/>
        <v>366411.89874999999</v>
      </c>
    </row>
    <row r="20" spans="1:29" ht="17.25" customHeight="1" x14ac:dyDescent="0.2">
      <c r="A20" s="59" t="s">
        <v>96</v>
      </c>
      <c r="B20" s="60">
        <v>15</v>
      </c>
      <c r="C20" s="61">
        <v>30531</v>
      </c>
      <c r="D20" s="62">
        <v>1</v>
      </c>
      <c r="E20" s="62">
        <v>7</v>
      </c>
      <c r="F20" s="63">
        <f t="shared" si="3"/>
        <v>30531</v>
      </c>
      <c r="G20" s="63">
        <v>2000</v>
      </c>
      <c r="H20" s="63">
        <v>0</v>
      </c>
      <c r="I20" s="63">
        <f t="shared" si="4"/>
        <v>1100</v>
      </c>
      <c r="J20" s="63">
        <v>150</v>
      </c>
      <c r="K20" s="64">
        <f t="shared" si="10"/>
        <v>7632.75</v>
      </c>
      <c r="L20" s="65">
        <f>SUM(F20:K20)</f>
        <v>41413.75</v>
      </c>
      <c r="M20" s="66">
        <f>F20*12%</f>
        <v>3663.72</v>
      </c>
      <c r="N20" s="63">
        <v>100</v>
      </c>
      <c r="O20" s="63">
        <f t="shared" si="5"/>
        <v>419.80124999999998</v>
      </c>
      <c r="P20" s="63">
        <v>100</v>
      </c>
      <c r="Q20" s="67">
        <f>SUM(M20:P20)</f>
        <v>4283.5212499999998</v>
      </c>
      <c r="R20" s="67">
        <f>L20+Q20</f>
        <v>45697.271249999998</v>
      </c>
      <c r="S20" s="67">
        <f t="shared" si="0"/>
        <v>319880.89874999999</v>
      </c>
      <c r="T20" s="63">
        <v>0</v>
      </c>
      <c r="U20" s="63">
        <v>6000</v>
      </c>
      <c r="V20" s="63">
        <f>F20</f>
        <v>30531</v>
      </c>
      <c r="W20" s="63">
        <f t="shared" si="7"/>
        <v>5000</v>
      </c>
      <c r="X20" s="63">
        <v>5000</v>
      </c>
      <c r="Y20" s="63">
        <f t="shared" si="8"/>
        <v>46531</v>
      </c>
      <c r="Z20" s="68">
        <f t="shared" si="9"/>
        <v>366411.89874999999</v>
      </c>
      <c r="AA20" s="69">
        <f t="shared" si="2"/>
        <v>366411.89874999999</v>
      </c>
    </row>
    <row r="21" spans="1:29" ht="17.25" customHeight="1" x14ac:dyDescent="0.2">
      <c r="A21" s="59" t="s">
        <v>97</v>
      </c>
      <c r="B21" s="60">
        <v>15</v>
      </c>
      <c r="C21" s="61">
        <v>30531</v>
      </c>
      <c r="D21" s="62">
        <v>1</v>
      </c>
      <c r="E21" s="62">
        <v>7</v>
      </c>
      <c r="F21" s="63">
        <f t="shared" si="3"/>
        <v>30531</v>
      </c>
      <c r="G21" s="63">
        <v>2000</v>
      </c>
      <c r="H21" s="63">
        <v>0</v>
      </c>
      <c r="I21" s="63">
        <f t="shared" si="4"/>
        <v>1100</v>
      </c>
      <c r="J21" s="63">
        <v>150</v>
      </c>
      <c r="K21" s="64">
        <f t="shared" si="10"/>
        <v>7632.75</v>
      </c>
      <c r="L21" s="65">
        <f t="shared" ref="L21:L22" si="15">SUM(F21:K21)</f>
        <v>41413.75</v>
      </c>
      <c r="M21" s="66">
        <f t="shared" ref="M21:M23" si="16">F21*12%</f>
        <v>3663.72</v>
      </c>
      <c r="N21" s="63">
        <v>100</v>
      </c>
      <c r="O21" s="63">
        <f t="shared" si="5"/>
        <v>419.80124999999998</v>
      </c>
      <c r="P21" s="63">
        <v>100</v>
      </c>
      <c r="Q21" s="67">
        <f t="shared" ref="Q21:Q23" si="17">SUM(M21:P21)</f>
        <v>4283.5212499999998</v>
      </c>
      <c r="R21" s="67">
        <f t="shared" ref="R21:R23" si="18">L21+Q21</f>
        <v>45697.271249999998</v>
      </c>
      <c r="S21" s="67">
        <f t="shared" si="0"/>
        <v>319880.89874999999</v>
      </c>
      <c r="T21" s="63">
        <v>0</v>
      </c>
      <c r="U21" s="63">
        <v>6000</v>
      </c>
      <c r="V21" s="63">
        <f>F21</f>
        <v>30531</v>
      </c>
      <c r="W21" s="63">
        <f t="shared" si="7"/>
        <v>5000</v>
      </c>
      <c r="X21" s="63">
        <v>5000</v>
      </c>
      <c r="Y21" s="63">
        <f t="shared" si="8"/>
        <v>46531</v>
      </c>
      <c r="Z21" s="68">
        <f t="shared" si="9"/>
        <v>366411.89874999999</v>
      </c>
      <c r="AA21" s="69">
        <f t="shared" si="2"/>
        <v>366411.89874999999</v>
      </c>
    </row>
    <row r="22" spans="1:29" ht="17.25" customHeight="1" x14ac:dyDescent="0.2">
      <c r="A22" s="59" t="s">
        <v>98</v>
      </c>
      <c r="B22" s="60">
        <v>11</v>
      </c>
      <c r="C22" s="61">
        <v>20754</v>
      </c>
      <c r="D22" s="62">
        <v>1</v>
      </c>
      <c r="E22" s="62">
        <v>7</v>
      </c>
      <c r="F22" s="63">
        <f t="shared" si="3"/>
        <v>20754</v>
      </c>
      <c r="G22" s="63">
        <v>2000</v>
      </c>
      <c r="H22" s="63">
        <v>0</v>
      </c>
      <c r="I22" s="63">
        <f t="shared" si="4"/>
        <v>1100</v>
      </c>
      <c r="J22" s="63">
        <v>150</v>
      </c>
      <c r="K22" s="64">
        <f t="shared" si="10"/>
        <v>5188.5</v>
      </c>
      <c r="L22" s="65">
        <f t="shared" si="15"/>
        <v>29192.5</v>
      </c>
      <c r="M22" s="66">
        <f t="shared" si="16"/>
        <v>2490.48</v>
      </c>
      <c r="N22" s="63">
        <v>100</v>
      </c>
      <c r="O22" s="63">
        <f t="shared" si="5"/>
        <v>285.36750000000001</v>
      </c>
      <c r="P22" s="63">
        <v>100</v>
      </c>
      <c r="Q22" s="67">
        <f t="shared" si="17"/>
        <v>2975.8474999999999</v>
      </c>
      <c r="R22" s="67">
        <f t="shared" si="18"/>
        <v>32168.3475</v>
      </c>
      <c r="S22" s="67">
        <f t="shared" si="0"/>
        <v>225178.4325</v>
      </c>
      <c r="T22" s="63">
        <v>0</v>
      </c>
      <c r="U22" s="63">
        <v>6000</v>
      </c>
      <c r="V22" s="63">
        <f t="shared" ref="V22" si="19">F22</f>
        <v>20754</v>
      </c>
      <c r="W22" s="63">
        <f t="shared" si="7"/>
        <v>5000</v>
      </c>
      <c r="X22" s="63">
        <v>5000</v>
      </c>
      <c r="Y22" s="63">
        <f t="shared" si="8"/>
        <v>36754</v>
      </c>
      <c r="Z22" s="68">
        <f t="shared" si="9"/>
        <v>261932.4325</v>
      </c>
      <c r="AA22" s="69">
        <f t="shared" si="2"/>
        <v>261932.4325</v>
      </c>
    </row>
    <row r="23" spans="1:29" ht="17.25" customHeight="1" thickBot="1" x14ac:dyDescent="0.25">
      <c r="A23" s="70" t="s">
        <v>97</v>
      </c>
      <c r="B23" s="71">
        <v>15</v>
      </c>
      <c r="C23" s="72">
        <v>30531</v>
      </c>
      <c r="D23" s="73">
        <v>1</v>
      </c>
      <c r="E23" s="73">
        <v>7</v>
      </c>
      <c r="F23" s="74">
        <f t="shared" si="3"/>
        <v>30531</v>
      </c>
      <c r="G23" s="74">
        <v>2000</v>
      </c>
      <c r="H23" s="74">
        <v>0</v>
      </c>
      <c r="I23" s="74">
        <f t="shared" si="4"/>
        <v>1100</v>
      </c>
      <c r="J23" s="74">
        <v>150</v>
      </c>
      <c r="K23" s="75">
        <f t="shared" si="10"/>
        <v>7632.75</v>
      </c>
      <c r="L23" s="76">
        <f t="shared" ref="L23" si="20">SUM(F23:K23)</f>
        <v>41413.75</v>
      </c>
      <c r="M23" s="77">
        <f t="shared" si="16"/>
        <v>3663.72</v>
      </c>
      <c r="N23" s="74">
        <v>100</v>
      </c>
      <c r="O23" s="74">
        <f t="shared" si="5"/>
        <v>419.80124999999998</v>
      </c>
      <c r="P23" s="74">
        <v>100</v>
      </c>
      <c r="Q23" s="78">
        <f t="shared" si="17"/>
        <v>4283.5212499999998</v>
      </c>
      <c r="R23" s="78">
        <f t="shared" si="18"/>
        <v>45697.271249999998</v>
      </c>
      <c r="S23" s="78">
        <f t="shared" si="0"/>
        <v>319880.89874999999</v>
      </c>
      <c r="T23" s="74">
        <v>0</v>
      </c>
      <c r="U23" s="74">
        <v>6000</v>
      </c>
      <c r="V23" s="74">
        <f>F23</f>
        <v>30531</v>
      </c>
      <c r="W23" s="74">
        <f t="shared" si="7"/>
        <v>5000</v>
      </c>
      <c r="X23" s="74">
        <v>5000</v>
      </c>
      <c r="Y23" s="74">
        <f t="shared" si="8"/>
        <v>46531</v>
      </c>
      <c r="Z23" s="79">
        <f t="shared" si="9"/>
        <v>366411.89874999999</v>
      </c>
      <c r="AA23" s="80">
        <f t="shared" si="2"/>
        <v>366411.89874999999</v>
      </c>
    </row>
    <row r="24" spans="1:29" ht="13.5" thickTop="1" x14ac:dyDescent="0.2">
      <c r="A24" s="81"/>
      <c r="D24" s="82"/>
      <c r="E24" s="82"/>
      <c r="L24" s="83"/>
      <c r="Q24" s="84"/>
      <c r="R24" s="84"/>
      <c r="S24" s="84"/>
      <c r="T24" s="39">
        <v>0</v>
      </c>
      <c r="Z24" s="85"/>
      <c r="AA24" s="86"/>
    </row>
    <row r="25" spans="1:29" s="94" customFormat="1" ht="15.75" customHeight="1" thickBot="1" x14ac:dyDescent="0.25">
      <c r="A25" s="87" t="s">
        <v>99</v>
      </c>
      <c r="B25" s="88"/>
      <c r="C25" s="89"/>
      <c r="D25" s="90">
        <f>SUM(D16:D23)</f>
        <v>8</v>
      </c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93">
        <f>SUM(AA16:AA24)</f>
        <v>3282237.0837500002</v>
      </c>
      <c r="AC25" s="95"/>
    </row>
  </sheetData>
  <sheetProtection sheet="1" objects="1" scenarios="1"/>
  <mergeCells count="18">
    <mergeCell ref="W14:W15"/>
    <mergeCell ref="X14:X15"/>
    <mergeCell ref="Y14:Y15"/>
    <mergeCell ref="A11:AA11"/>
    <mergeCell ref="A13:A15"/>
    <mergeCell ref="B13:C15"/>
    <mergeCell ref="D13:D15"/>
    <mergeCell ref="E13:E15"/>
    <mergeCell ref="F13:L14"/>
    <mergeCell ref="M13:Q14"/>
    <mergeCell ref="R13:R14"/>
    <mergeCell ref="S13:S15"/>
    <mergeCell ref="T13:Y13"/>
    <mergeCell ref="Z13:Z15"/>
    <mergeCell ref="AA13:AA15"/>
    <mergeCell ref="T14:T15"/>
    <mergeCell ref="U14:U15"/>
    <mergeCell ref="V14:V15"/>
  </mergeCells>
  <printOptions horizontalCentered="1"/>
  <pageMargins left="0.19685039370078741" right="0.23622047244094491" top="0.31496062992125984" bottom="0.74803149606299213" header="0.31496062992125984" footer="0.31496062992125984"/>
  <pageSetup paperSize="14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BF42"/>
  <sheetViews>
    <sheetView zoomScale="80" zoomScaleNormal="80" zoomScaleSheetLayoutView="84" workbookViewId="0">
      <pane xSplit="3" ySplit="8" topLeftCell="D27" activePane="bottomRight" state="frozen"/>
      <selection activeCell="H2" sqref="H2"/>
      <selection pane="topRight" activeCell="H2" sqref="H2"/>
      <selection pane="bottomLeft" activeCell="H2" sqref="H2"/>
      <selection pane="bottomRight" activeCell="L17" sqref="L17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2.85546875" style="221" customWidth="1"/>
    <col min="4" max="4" width="6.140625" style="4" customWidth="1"/>
    <col min="5" max="5" width="16.42578125" style="1" hidden="1" customWidth="1"/>
    <col min="6" max="6" width="12.140625" style="1" hidden="1" customWidth="1"/>
    <col min="7" max="7" width="15.5703125" style="1" hidden="1" customWidth="1"/>
    <col min="8" max="8" width="16.85546875" style="1" customWidth="1"/>
    <col min="9" max="9" width="12.85546875" style="1" customWidth="1"/>
    <col min="10" max="10" width="13.7109375" style="1" customWidth="1"/>
    <col min="11" max="11" width="12.42578125" style="1" customWidth="1"/>
    <col min="12" max="12" width="15.28515625" style="1" customWidth="1"/>
    <col min="13" max="13" width="15.42578125" style="1" customWidth="1"/>
    <col min="14" max="14" width="14.7109375" style="1" customWidth="1"/>
    <col min="15" max="15" width="12.28515625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4.5703125" style="2" customWidth="1" collapsed="1"/>
    <col min="39" max="39" width="15.42578125" style="2" customWidth="1"/>
    <col min="40" max="40" width="38.28515625" style="2" customWidth="1"/>
    <col min="41" max="41" width="18.85546875" style="2" customWidth="1" outlineLevel="1"/>
    <col min="42" max="42" width="16.28515625" style="1" customWidth="1" outlineLevel="1"/>
    <col min="43" max="43" width="17.85546875" style="1" customWidth="1" outlineLevel="1"/>
    <col min="44" max="44" width="17.42578125" style="1" customWidth="1" outlineLevel="1"/>
    <col min="45" max="46" width="16.28515625" style="6" customWidth="1" outlineLevel="1"/>
    <col min="47" max="47" width="16.28515625" style="6" customWidth="1"/>
    <col min="48" max="48" width="11.42578125" style="4" customWidth="1"/>
    <col min="49" max="49" width="11.42578125" style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6" ht="25.5" x14ac:dyDescent="0.35">
      <c r="A1" s="552" t="s">
        <v>105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552"/>
      <c r="AJ1" s="552"/>
      <c r="AK1" s="552"/>
      <c r="AL1" s="552"/>
      <c r="AM1" s="552"/>
      <c r="AN1" s="552"/>
      <c r="AO1" s="101"/>
      <c r="AP1" s="101"/>
      <c r="AQ1" s="101"/>
    </row>
    <row r="2" spans="1:56" x14ac:dyDescent="0.25">
      <c r="A2" s="553" t="s">
        <v>106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102"/>
      <c r="AP2" s="102"/>
      <c r="AQ2" s="102"/>
    </row>
    <row r="3" spans="1:56" x14ac:dyDescent="0.2">
      <c r="A3" s="554" t="s">
        <v>107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4"/>
      <c r="AN3" s="554"/>
      <c r="AO3" s="103"/>
      <c r="AP3" s="103"/>
      <c r="AQ3" s="103"/>
    </row>
    <row r="4" spans="1:56" x14ac:dyDescent="0.25">
      <c r="A4" s="555" t="s">
        <v>237</v>
      </c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5"/>
      <c r="AI4" s="555"/>
      <c r="AJ4" s="555"/>
      <c r="AK4" s="555"/>
      <c r="AL4" s="555"/>
      <c r="AM4" s="555"/>
      <c r="AN4" s="555"/>
      <c r="AO4" s="104"/>
      <c r="AP4" s="104"/>
      <c r="AQ4" s="104"/>
    </row>
    <row r="5" spans="1:56" x14ac:dyDescent="0.2">
      <c r="A5" s="554" t="s">
        <v>108</v>
      </c>
      <c r="B5" s="554"/>
      <c r="C5" s="554"/>
      <c r="D5" s="554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  <c r="Z5" s="554"/>
      <c r="AA5" s="554"/>
      <c r="AB5" s="554"/>
      <c r="AC5" s="554"/>
      <c r="AD5" s="554"/>
      <c r="AE5" s="554"/>
      <c r="AF5" s="554"/>
      <c r="AG5" s="554"/>
      <c r="AH5" s="554"/>
      <c r="AI5" s="554"/>
      <c r="AJ5" s="554"/>
      <c r="AK5" s="554"/>
      <c r="AL5" s="554"/>
      <c r="AM5" s="554"/>
      <c r="AN5" s="554"/>
      <c r="AO5" s="103"/>
      <c r="AP5" s="103"/>
      <c r="AQ5" s="103"/>
    </row>
    <row r="6" spans="1:56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6" ht="16.5" thickBot="1" x14ac:dyDescent="0.3">
      <c r="A7" s="527" t="s">
        <v>198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99"/>
      <c r="AO7" s="1"/>
    </row>
    <row r="8" spans="1:56" s="3" customFormat="1" ht="41.2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34</v>
      </c>
      <c r="AP8" s="8" t="s">
        <v>35</v>
      </c>
      <c r="AQ8" s="8" t="s">
        <v>36</v>
      </c>
      <c r="AR8" s="9" t="s">
        <v>11</v>
      </c>
      <c r="AS8" s="8" t="s">
        <v>34</v>
      </c>
      <c r="AT8" s="8" t="s">
        <v>35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6" s="217" customFormat="1" ht="45" customHeight="1" x14ac:dyDescent="0.25">
      <c r="A9" s="208">
        <v>1</v>
      </c>
      <c r="B9" s="210"/>
      <c r="C9" s="230" t="s">
        <v>207</v>
      </c>
      <c r="D9" s="200">
        <v>16</v>
      </c>
      <c r="E9" s="201">
        <v>38150</v>
      </c>
      <c r="F9" s="201">
        <f t="shared" ref="F9" si="0">IF(H9&gt;0,100,0)</f>
        <v>100</v>
      </c>
      <c r="G9" s="201">
        <f t="shared" ref="G9" si="1">+ROUND(H9*12%,2)</f>
        <v>3329.45</v>
      </c>
      <c r="H9" s="202">
        <f t="shared" ref="H9" si="2">ROUND(IF(AX9&gt;22,0,IF(AX9=22,E9,IF(AX9&lt;22,E9*(AX9/AZ9),IF(OR(AX9=0,AX9=" ")=TRUE,0)))),2)</f>
        <v>27745.45</v>
      </c>
      <c r="I9" s="202">
        <f t="shared" ref="I9" si="3">ROUND(IF(AND(H9&gt;0,AX9=22)=TRUE,2000,IF(AND(H9&gt;0,AX9&lt;22,AX9&gt;0)=TRUE,2000*(AX9/AZ9),IF(AX9&lt;0,0,0))),2)</f>
        <v>1454.55</v>
      </c>
      <c r="J9" s="202">
        <f t="shared" ref="J9" si="4">IF(H9&gt;0,BC9-BB9,0)</f>
        <v>800</v>
      </c>
      <c r="K9" s="202">
        <f t="shared" ref="K9" si="5">IF(AND(H9&gt;0,AX9&gt;11)=TRUE,150,0)</f>
        <v>150</v>
      </c>
      <c r="L9" s="202">
        <f t="shared" ref="L9:L15" si="6">ROUND(IF(AND($H9&gt;0,AX9&gt;11)=TRUE,$AW9*$E9,0),2)</f>
        <v>9537.5</v>
      </c>
      <c r="M9" s="202">
        <f t="shared" ref="M9" si="7">ROUND(SUM(H9:L9),2)</f>
        <v>39687.5</v>
      </c>
      <c r="N9" s="202"/>
      <c r="O9" s="202">
        <v>572.25</v>
      </c>
      <c r="P9" s="203">
        <f t="shared" ref="P9:P15" si="8">ROUND($H9*9%,2)</f>
        <v>2497.09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" si="9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" si="10">SUM(N9:AK9)</f>
        <v>3169.34</v>
      </c>
      <c r="AM9" s="204">
        <f t="shared" ref="AM9" si="11">ROUND(M9-AL9,2)</f>
        <v>36518.160000000003</v>
      </c>
      <c r="AN9" s="245" t="s">
        <v>230</v>
      </c>
      <c r="AO9" s="211"/>
      <c r="AP9" s="207"/>
      <c r="AQ9" s="212">
        <f t="shared" ref="AQ9" si="12">SUM(AO9:AP9)</f>
        <v>0</v>
      </c>
      <c r="AR9" s="213">
        <f t="shared" ref="AR9" si="13">+AM9-AQ9</f>
        <v>36518.160000000003</v>
      </c>
      <c r="AS9" s="213"/>
      <c r="AT9" s="213"/>
      <c r="AU9" s="213">
        <f t="shared" ref="AU9" si="14">IF(E9=0,0,IF(E9&lt;=10000,137.5,IF(AND(E9&gt;10000,E9&lt;40000)=TRUE,E9*2.75%*50%,IF(E9&gt;=40000,550,0))))</f>
        <v>524.5625</v>
      </c>
      <c r="AV9" s="214"/>
      <c r="AW9" s="214" t="str">
        <f t="shared" ref="AW9:AW15" si="15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16</v>
      </c>
      <c r="AY9" s="213">
        <v>150</v>
      </c>
      <c r="AZ9" s="214">
        <v>22</v>
      </c>
      <c r="BA9" s="213">
        <v>50</v>
      </c>
      <c r="BB9" s="213">
        <f t="shared" ref="BB9" si="16">IF(AX9&gt;0,(AZ9-AX9+BD9)*BA9,0)</f>
        <v>300</v>
      </c>
      <c r="BC9" s="213">
        <f t="shared" ref="BC9" si="17">IF(AX9&gt;0,1100,0)</f>
        <v>1100</v>
      </c>
      <c r="BD9" s="215"/>
    </row>
    <row r="10" spans="1:56" s="217" customFormat="1" ht="30.75" customHeight="1" x14ac:dyDescent="0.25">
      <c r="A10" s="208">
        <v>2</v>
      </c>
      <c r="B10" s="210"/>
      <c r="C10" s="230" t="s">
        <v>201</v>
      </c>
      <c r="D10" s="200">
        <v>16</v>
      </c>
      <c r="E10" s="201">
        <v>38150</v>
      </c>
      <c r="F10" s="201">
        <f t="shared" ref="F10:F15" si="18">IF(H10&gt;0,100,0)</f>
        <v>100</v>
      </c>
      <c r="G10" s="201">
        <f t="shared" ref="G10:G15" si="19">+ROUND(H10*12%,2)</f>
        <v>4578</v>
      </c>
      <c r="H10" s="202">
        <f t="shared" ref="H10:H15" si="20">ROUND(IF(AX10&gt;22,0,IF(AX10=22,E10,IF(AX10&lt;22,E10*(AX10/AZ10),IF(OR(AX10=0,AX10=" ")=TRUE,0)))),2)</f>
        <v>38150</v>
      </c>
      <c r="I10" s="202">
        <f t="shared" ref="I10:I15" si="21">ROUND(IF(AND(H10&gt;0,AX10=22)=TRUE,2000,IF(AND(H10&gt;0,AX10&lt;22,AX10&gt;0)=TRUE,2000*(AX10/AZ10),IF(AX10&lt;0,0,0))),2)</f>
        <v>2000</v>
      </c>
      <c r="J10" s="202">
        <f t="shared" ref="J10:J15" si="22">IF(H10&gt;0,BC10-BB10,0)</f>
        <v>1100</v>
      </c>
      <c r="K10" s="202">
        <f t="shared" ref="K10:K15" si="23">IF(AND(H10&gt;0,AX10&gt;11)=TRUE,150,0)</f>
        <v>150</v>
      </c>
      <c r="L10" s="202">
        <f t="shared" si="6"/>
        <v>9537.5</v>
      </c>
      <c r="M10" s="202">
        <f t="shared" ref="M10:M15" si="24">ROUND(SUM(H10:L10),2)</f>
        <v>50937.5</v>
      </c>
      <c r="N10" s="202"/>
      <c r="O10" s="202">
        <v>572.25</v>
      </c>
      <c r="P10" s="203">
        <f t="shared" si="8"/>
        <v>3433.5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ref="Z10:Z15" si="25"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ref="AL10:AL15" si="26">SUM(N10:AK10)</f>
        <v>4105.75</v>
      </c>
      <c r="AM10" s="204">
        <f t="shared" ref="AM10:AM15" si="27">ROUND(M10-AL10,2)</f>
        <v>46831.75</v>
      </c>
      <c r="AN10" s="245" t="s">
        <v>231</v>
      </c>
      <c r="AO10" s="211"/>
      <c r="AP10" s="207"/>
      <c r="AQ10" s="212">
        <f t="shared" ref="AQ10:AQ15" si="28">SUM(AO10:AP10)</f>
        <v>0</v>
      </c>
      <c r="AR10" s="213">
        <f t="shared" ref="AR10:AR15" si="29">+AM10-AQ10</f>
        <v>46831.75</v>
      </c>
      <c r="AS10" s="213"/>
      <c r="AT10" s="213"/>
      <c r="AU10" s="213">
        <f t="shared" ref="AU10:AU15" si="30">IF(E10=0,0,IF(E10&lt;=10000,137.5,IF(AND(E10&gt;10000,E10&lt;40000)=TRUE,E10*2.75%*50%,IF(E10&gt;=40000,550,0))))</f>
        <v>524.5625</v>
      </c>
      <c r="AV10" s="214"/>
      <c r="AW10" s="214" t="str">
        <f t="shared" si="15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 t="shared" ref="BB10:BB15" si="31">IF(AX10&gt;0,(AZ10-AX10+BD10)*BA10,0)</f>
        <v>0</v>
      </c>
      <c r="BC10" s="213">
        <f t="shared" ref="BC10:BC15" si="32">IF(AX10&gt;0,1100,0)</f>
        <v>1100</v>
      </c>
      <c r="BD10" s="215"/>
    </row>
    <row r="11" spans="1:56" s="217" customFormat="1" ht="42.75" customHeight="1" x14ac:dyDescent="0.25">
      <c r="A11" s="208">
        <v>3</v>
      </c>
      <c r="B11" s="210"/>
      <c r="C11" s="230" t="s">
        <v>218</v>
      </c>
      <c r="D11" s="200">
        <v>16</v>
      </c>
      <c r="E11" s="201">
        <v>38150</v>
      </c>
      <c r="F11" s="201">
        <f t="shared" si="18"/>
        <v>100</v>
      </c>
      <c r="G11" s="201">
        <f t="shared" si="19"/>
        <v>832.36</v>
      </c>
      <c r="H11" s="202">
        <f t="shared" si="20"/>
        <v>6936.36</v>
      </c>
      <c r="I11" s="202">
        <f t="shared" si="21"/>
        <v>363.64</v>
      </c>
      <c r="J11" s="202">
        <f t="shared" si="22"/>
        <v>200</v>
      </c>
      <c r="K11" s="202">
        <f t="shared" si="23"/>
        <v>0</v>
      </c>
      <c r="L11" s="202">
        <f t="shared" si="6"/>
        <v>0</v>
      </c>
      <c r="M11" s="202">
        <f t="shared" si="24"/>
        <v>7500</v>
      </c>
      <c r="N11" s="202"/>
      <c r="O11" s="202">
        <v>572.25</v>
      </c>
      <c r="P11" s="203">
        <f t="shared" si="8"/>
        <v>624.27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25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26"/>
        <v>1296.52</v>
      </c>
      <c r="AM11" s="204">
        <f t="shared" si="27"/>
        <v>6203.48</v>
      </c>
      <c r="AN11" s="245" t="s">
        <v>232</v>
      </c>
      <c r="AO11" s="211"/>
      <c r="AP11" s="207"/>
      <c r="AQ11" s="212">
        <f t="shared" si="28"/>
        <v>0</v>
      </c>
      <c r="AR11" s="213">
        <f t="shared" si="29"/>
        <v>6203.48</v>
      </c>
      <c r="AS11" s="213"/>
      <c r="AT11" s="213"/>
      <c r="AU11" s="213">
        <f t="shared" si="30"/>
        <v>524.5625</v>
      </c>
      <c r="AV11" s="214"/>
      <c r="AW11" s="214" t="str">
        <f t="shared" si="15"/>
        <v>25%</v>
      </c>
      <c r="AX11" s="215">
        <v>4</v>
      </c>
      <c r="AY11" s="213">
        <v>150</v>
      </c>
      <c r="AZ11" s="214">
        <v>22</v>
      </c>
      <c r="BA11" s="213">
        <v>50</v>
      </c>
      <c r="BB11" s="213">
        <f t="shared" si="31"/>
        <v>900</v>
      </c>
      <c r="BC11" s="213">
        <f t="shared" si="32"/>
        <v>1100</v>
      </c>
      <c r="BD11" s="215"/>
    </row>
    <row r="12" spans="1:56" s="217" customFormat="1" ht="34.5" customHeight="1" x14ac:dyDescent="0.25">
      <c r="A12" s="208">
        <v>4</v>
      </c>
      <c r="B12" s="210"/>
      <c r="C12" s="230" t="s">
        <v>210</v>
      </c>
      <c r="D12" s="200">
        <v>11</v>
      </c>
      <c r="E12" s="201">
        <v>25439</v>
      </c>
      <c r="F12" s="201">
        <f t="shared" si="18"/>
        <v>100</v>
      </c>
      <c r="G12" s="201">
        <f t="shared" si="19"/>
        <v>2358.89</v>
      </c>
      <c r="H12" s="202">
        <f t="shared" si="20"/>
        <v>19657.41</v>
      </c>
      <c r="I12" s="202">
        <f t="shared" si="21"/>
        <v>1545.45</v>
      </c>
      <c r="J12" s="202">
        <f t="shared" si="22"/>
        <v>850</v>
      </c>
      <c r="K12" s="202">
        <f t="shared" si="23"/>
        <v>150</v>
      </c>
      <c r="L12" s="202">
        <f t="shared" si="6"/>
        <v>6359.75</v>
      </c>
      <c r="M12" s="202">
        <f t="shared" si="24"/>
        <v>28562.61</v>
      </c>
      <c r="N12" s="202"/>
      <c r="O12" s="202">
        <v>381.58</v>
      </c>
      <c r="P12" s="203">
        <f t="shared" si="8"/>
        <v>1769.17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25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26"/>
        <v>2250.75</v>
      </c>
      <c r="AM12" s="204">
        <f t="shared" si="27"/>
        <v>26311.86</v>
      </c>
      <c r="AN12" s="245" t="s">
        <v>229</v>
      </c>
      <c r="AO12" s="211"/>
      <c r="AP12" s="207"/>
      <c r="AQ12" s="212">
        <f t="shared" si="28"/>
        <v>0</v>
      </c>
      <c r="AR12" s="213">
        <f t="shared" si="29"/>
        <v>26311.86</v>
      </c>
      <c r="AS12" s="213"/>
      <c r="AT12" s="213"/>
      <c r="AU12" s="213">
        <f t="shared" si="30"/>
        <v>349.78625</v>
      </c>
      <c r="AV12" s="214"/>
      <c r="AW12" s="214" t="str">
        <f t="shared" si="15"/>
        <v>25%</v>
      </c>
      <c r="AX12" s="215">
        <v>17</v>
      </c>
      <c r="AY12" s="213">
        <v>150</v>
      </c>
      <c r="AZ12" s="214">
        <v>22</v>
      </c>
      <c r="BA12" s="213">
        <v>50</v>
      </c>
      <c r="BB12" s="213">
        <f t="shared" si="31"/>
        <v>250</v>
      </c>
      <c r="BC12" s="213">
        <f t="shared" si="32"/>
        <v>1100</v>
      </c>
      <c r="BD12" s="215"/>
    </row>
    <row r="13" spans="1:56" s="217" customFormat="1" ht="45" customHeight="1" x14ac:dyDescent="0.25">
      <c r="A13" s="208">
        <v>5</v>
      </c>
      <c r="B13" s="210"/>
      <c r="C13" s="230" t="s">
        <v>223</v>
      </c>
      <c r="D13" s="200">
        <v>15</v>
      </c>
      <c r="E13" s="201">
        <v>35097</v>
      </c>
      <c r="F13" s="201">
        <f t="shared" si="18"/>
        <v>100</v>
      </c>
      <c r="G13" s="201">
        <f t="shared" si="19"/>
        <v>1340.07</v>
      </c>
      <c r="H13" s="202">
        <f t="shared" si="20"/>
        <v>11167.23</v>
      </c>
      <c r="I13" s="202">
        <f t="shared" si="21"/>
        <v>636.36</v>
      </c>
      <c r="J13" s="202">
        <f t="shared" si="22"/>
        <v>350</v>
      </c>
      <c r="K13" s="202">
        <f t="shared" si="23"/>
        <v>0</v>
      </c>
      <c r="L13" s="202">
        <f t="shared" si="6"/>
        <v>0</v>
      </c>
      <c r="M13" s="202">
        <f t="shared" si="24"/>
        <v>12153.59</v>
      </c>
      <c r="N13" s="202"/>
      <c r="O13" s="202">
        <v>526.45000000000005</v>
      </c>
      <c r="P13" s="203">
        <f t="shared" si="8"/>
        <v>1005.05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25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26"/>
        <v>1631.5</v>
      </c>
      <c r="AM13" s="204">
        <f t="shared" si="27"/>
        <v>10522.09</v>
      </c>
      <c r="AN13" s="245" t="s">
        <v>228</v>
      </c>
      <c r="AO13" s="211"/>
      <c r="AP13" s="207"/>
      <c r="AQ13" s="212">
        <f t="shared" si="28"/>
        <v>0</v>
      </c>
      <c r="AR13" s="213">
        <f t="shared" si="29"/>
        <v>10522.09</v>
      </c>
      <c r="AS13" s="213"/>
      <c r="AT13" s="213"/>
      <c r="AU13" s="213">
        <f t="shared" si="30"/>
        <v>482.58375000000001</v>
      </c>
      <c r="AV13" s="214"/>
      <c r="AW13" s="214" t="str">
        <f t="shared" si="15"/>
        <v>25%</v>
      </c>
      <c r="AX13" s="215">
        <v>7</v>
      </c>
      <c r="AY13" s="213">
        <v>150</v>
      </c>
      <c r="AZ13" s="214">
        <v>22</v>
      </c>
      <c r="BA13" s="213">
        <v>50</v>
      </c>
      <c r="BB13" s="213">
        <f t="shared" si="31"/>
        <v>750</v>
      </c>
      <c r="BC13" s="213">
        <f t="shared" si="32"/>
        <v>1100</v>
      </c>
      <c r="BD13" s="215"/>
    </row>
    <row r="14" spans="1:56" s="217" customFormat="1" ht="32.25" customHeight="1" x14ac:dyDescent="0.25">
      <c r="A14" s="208">
        <v>6</v>
      </c>
      <c r="B14" s="210"/>
      <c r="C14" s="230" t="s">
        <v>202</v>
      </c>
      <c r="D14" s="200">
        <v>16</v>
      </c>
      <c r="E14" s="201">
        <v>38150</v>
      </c>
      <c r="F14" s="201">
        <f t="shared" si="18"/>
        <v>100</v>
      </c>
      <c r="G14" s="201">
        <f t="shared" si="19"/>
        <v>1456.64</v>
      </c>
      <c r="H14" s="202">
        <f t="shared" si="20"/>
        <v>12138.64</v>
      </c>
      <c r="I14" s="202">
        <f t="shared" si="21"/>
        <v>636.36</v>
      </c>
      <c r="J14" s="202">
        <f t="shared" si="22"/>
        <v>350</v>
      </c>
      <c r="K14" s="202">
        <f t="shared" si="23"/>
        <v>0</v>
      </c>
      <c r="L14" s="202">
        <f t="shared" si="6"/>
        <v>0</v>
      </c>
      <c r="M14" s="202">
        <f t="shared" si="24"/>
        <v>13125</v>
      </c>
      <c r="N14" s="202"/>
      <c r="O14" s="202">
        <f>E14*0.04/2</f>
        <v>763</v>
      </c>
      <c r="P14" s="203">
        <f t="shared" si="8"/>
        <v>1092.48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si="25"/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si="26"/>
        <v>1955.48</v>
      </c>
      <c r="AM14" s="204">
        <f t="shared" si="27"/>
        <v>11169.52</v>
      </c>
      <c r="AN14" s="245" t="s">
        <v>239</v>
      </c>
      <c r="AO14" s="211"/>
      <c r="AP14" s="207"/>
      <c r="AQ14" s="212">
        <f t="shared" si="28"/>
        <v>0</v>
      </c>
      <c r="AR14" s="213">
        <f t="shared" si="29"/>
        <v>11169.52</v>
      </c>
      <c r="AS14" s="213"/>
      <c r="AT14" s="213"/>
      <c r="AU14" s="213">
        <f t="shared" si="30"/>
        <v>524.5625</v>
      </c>
      <c r="AV14" s="214"/>
      <c r="AW14" s="214" t="str">
        <f t="shared" si="15"/>
        <v>25%</v>
      </c>
      <c r="AX14" s="215">
        <v>7</v>
      </c>
      <c r="AY14" s="213">
        <v>150</v>
      </c>
      <c r="AZ14" s="214">
        <v>22</v>
      </c>
      <c r="BA14" s="213">
        <v>50</v>
      </c>
      <c r="BB14" s="213">
        <f t="shared" si="31"/>
        <v>750</v>
      </c>
      <c r="BC14" s="213">
        <f t="shared" si="32"/>
        <v>1100</v>
      </c>
      <c r="BD14" s="215"/>
    </row>
    <row r="15" spans="1:56" s="217" customFormat="1" ht="49.5" customHeight="1" x14ac:dyDescent="0.25">
      <c r="A15" s="208">
        <v>7</v>
      </c>
      <c r="B15" s="210"/>
      <c r="C15" s="230" t="s">
        <v>206</v>
      </c>
      <c r="D15" s="200">
        <v>16</v>
      </c>
      <c r="E15" s="201">
        <v>38150</v>
      </c>
      <c r="F15" s="201">
        <f t="shared" si="18"/>
        <v>100</v>
      </c>
      <c r="G15" s="201">
        <f t="shared" si="19"/>
        <v>4578</v>
      </c>
      <c r="H15" s="202">
        <f t="shared" si="20"/>
        <v>38150</v>
      </c>
      <c r="I15" s="202">
        <f t="shared" si="21"/>
        <v>2000</v>
      </c>
      <c r="J15" s="202">
        <f t="shared" si="22"/>
        <v>950</v>
      </c>
      <c r="K15" s="202">
        <f t="shared" si="23"/>
        <v>150</v>
      </c>
      <c r="L15" s="202">
        <f t="shared" si="6"/>
        <v>9537.5</v>
      </c>
      <c r="M15" s="202">
        <f t="shared" si="24"/>
        <v>50787.5</v>
      </c>
      <c r="N15" s="202">
        <v>10589.5</v>
      </c>
      <c r="O15" s="202">
        <f>E15*0.04/2</f>
        <v>763</v>
      </c>
      <c r="P15" s="203">
        <f t="shared" si="8"/>
        <v>3433.5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si="25"/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si="26"/>
        <v>14886</v>
      </c>
      <c r="AM15" s="204">
        <f t="shared" si="27"/>
        <v>35901.5</v>
      </c>
      <c r="AN15" s="250" t="s">
        <v>238</v>
      </c>
      <c r="AO15" s="243"/>
      <c r="AP15" s="207"/>
      <c r="AQ15" s="212">
        <f t="shared" si="28"/>
        <v>0</v>
      </c>
      <c r="AR15" s="213">
        <f t="shared" si="29"/>
        <v>35901.5</v>
      </c>
      <c r="AS15" s="213"/>
      <c r="AT15" s="213"/>
      <c r="AU15" s="213">
        <f t="shared" si="30"/>
        <v>524.5625</v>
      </c>
      <c r="AV15" s="214"/>
      <c r="AW15" s="214" t="str">
        <f t="shared" si="15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si="31"/>
        <v>150</v>
      </c>
      <c r="BC15" s="213">
        <f t="shared" si="32"/>
        <v>1100</v>
      </c>
      <c r="BD15" s="215">
        <v>3</v>
      </c>
    </row>
    <row r="16" spans="1:56" s="217" customFormat="1" ht="33" customHeight="1" x14ac:dyDescent="0.25">
      <c r="A16" s="208">
        <v>8</v>
      </c>
      <c r="B16" s="210"/>
      <c r="C16" s="230" t="s">
        <v>203</v>
      </c>
      <c r="D16" s="200">
        <v>16</v>
      </c>
      <c r="E16" s="201">
        <v>38150</v>
      </c>
      <c r="F16" s="201">
        <f>IF(H16&gt;0,100,0)</f>
        <v>100</v>
      </c>
      <c r="G16" s="201">
        <f>+ROUND(H16*12%,2)</f>
        <v>4578</v>
      </c>
      <c r="H16" s="202">
        <f>ROUND(IF(AX16&gt;22,0,IF(AX16=22,E16,IF(AX16&lt;22,E16*(AX16/AZ16),IF(OR(AX16=0,AX16=" ")=TRUE,0)))),2)</f>
        <v>38150</v>
      </c>
      <c r="I16" s="202">
        <f>ROUND(IF(AND(H16&gt;0,AX16=22)=TRUE,2000,IF(AND(H16&gt;0,AX16&lt;22,AX16&gt;0)=TRUE,2000*(AX16/AZ16),IF(AX16&lt;0,0,0))),2)</f>
        <v>2000</v>
      </c>
      <c r="J16" s="202">
        <f>IF(H16&gt;0,BC16-BB16,0)</f>
        <v>1100</v>
      </c>
      <c r="K16" s="202">
        <f>IF(AND(H16&gt;0,AX16&gt;11)=TRUE,150,0)</f>
        <v>150</v>
      </c>
      <c r="L16" s="202">
        <f>ROUND(IF(AND($H16&gt;0,AX16&gt;11)=TRUE,$AW16*$E16,0),2)</f>
        <v>9537.5</v>
      </c>
      <c r="M16" s="202">
        <f>ROUND(SUM(H16:L16),2)</f>
        <v>50937.5</v>
      </c>
      <c r="N16" s="202">
        <v>10589.5</v>
      </c>
      <c r="O16" s="202">
        <f>E16*0.04/2</f>
        <v>763</v>
      </c>
      <c r="P16" s="203">
        <f>ROUND($H16*9%,2)</f>
        <v>3433.5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>ROUND(IF(H16&gt;0,100,0),2)</f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>SUM(N16:AK16)</f>
        <v>14886</v>
      </c>
      <c r="AM16" s="204">
        <f>ROUND(M16-AL16,2)</f>
        <v>36051.5</v>
      </c>
      <c r="AN16" s="245" t="s">
        <v>240</v>
      </c>
      <c r="AO16" s="211"/>
      <c r="AP16" s="207"/>
      <c r="AQ16" s="212">
        <f>SUM(AO16:AP16)</f>
        <v>0</v>
      </c>
      <c r="AR16" s="213">
        <f>+AM16-AQ16</f>
        <v>36051.5</v>
      </c>
      <c r="AS16" s="213"/>
      <c r="AT16" s="213"/>
      <c r="AU16" s="213">
        <f>IF(E16=0,0,IF(E16&lt;=10000,137.5,IF(AND(E16&gt;10000,E16&lt;40000)=TRUE,E16*2.75%*50%,IF(E16&gt;=40000,550,0))))</f>
        <v>524.5625</v>
      </c>
      <c r="AV16" s="214"/>
      <c r="AW16" s="214" t="str">
        <f>IF(AND($D16&gt;=1,$D16&lt;=19)=TRUE,"25%",IF($D16=20,"15%",IF($D16=21,"13%",IF($D16=22,"12%",IF($D16=23,"11%",IF(OR($D16=24,$D16=25)=TRUE,"10%",IF($D16=26,"9%",IF($D16=27,"8%",IF($D16=28,"7%",IF(OR($D16=29,$D16=30)=TRUE,"6%",IF($D16=31,"5%","0%")))))))))))</f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>IF(AX16&gt;0,(AZ16-AX16+BD16)*BA16,0)</f>
        <v>0</v>
      </c>
      <c r="BC16" s="213">
        <f>IF(AX16&gt;0,1100,0)</f>
        <v>1100</v>
      </c>
      <c r="BD16" s="215"/>
    </row>
    <row r="17" spans="1:58" s="217" customFormat="1" ht="57.75" customHeight="1" x14ac:dyDescent="0.25">
      <c r="A17" s="208">
        <v>9</v>
      </c>
      <c r="B17" s="210"/>
      <c r="C17" s="230" t="s">
        <v>204</v>
      </c>
      <c r="D17" s="200">
        <v>16</v>
      </c>
      <c r="E17" s="201">
        <v>38150</v>
      </c>
      <c r="F17" s="201">
        <f t="shared" ref="F17:F20" si="33">IF(H17&gt;0,100,0)</f>
        <v>100</v>
      </c>
      <c r="G17" s="201">
        <f t="shared" ref="G17:G20" si="34">+ROUND(H17*12%,2)</f>
        <v>2497.09</v>
      </c>
      <c r="H17" s="202">
        <f t="shared" ref="H17:H20" si="35">ROUND(IF(AX17&gt;22,0,IF(AX17=22,E17,IF(AX17&lt;22,E17*(AX17/AZ17),IF(OR(AX17=0,AX17=" ")=TRUE,0)))),2)</f>
        <v>20809.09</v>
      </c>
      <c r="I17" s="202">
        <f t="shared" ref="I17:I20" si="36">ROUND(IF(AND(H17&gt;0,AX17=22)=TRUE,2000,IF(AND(H17&gt;0,AX17&lt;22,AX17&gt;0)=TRUE,2000*(AX17/AZ17),IF(AX17&lt;0,0,0))),2)</f>
        <v>1090.9100000000001</v>
      </c>
      <c r="J17" s="202">
        <f t="shared" ref="J17:J20" si="37">IF(H17&gt;0,BC17-BB17,0)</f>
        <v>-50</v>
      </c>
      <c r="K17" s="202"/>
      <c r="L17" s="202"/>
      <c r="M17" s="202">
        <f t="shared" ref="M17:M20" si="38">ROUND(SUM(H17:L17),2)</f>
        <v>21850</v>
      </c>
      <c r="N17" s="202"/>
      <c r="O17" s="202">
        <f t="shared" ref="O17:O20" si="39">E17*0.04/2</f>
        <v>763</v>
      </c>
      <c r="P17" s="203">
        <f t="shared" ref="P17:P20" si="40">ROUND($H17*9%,2)</f>
        <v>1872.82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>
        <f t="shared" ref="Z17:Z20" si="41">ROUND(IF(H17&gt;0,100,0),2)</f>
        <v>100</v>
      </c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>
        <f t="shared" ref="AL17:AL20" si="42">SUM(N17:AK17)</f>
        <v>2735.8199999999997</v>
      </c>
      <c r="AM17" s="204">
        <f t="shared" ref="AM17:AM20" si="43">ROUND(M17-AL17,2)</f>
        <v>19114.18</v>
      </c>
      <c r="AN17" s="245" t="s">
        <v>247</v>
      </c>
      <c r="AO17" s="211"/>
      <c r="AP17" s="207"/>
      <c r="AQ17" s="212">
        <f t="shared" ref="AQ17:AQ20" si="44">SUM(AO17:AP17)</f>
        <v>0</v>
      </c>
      <c r="AR17" s="213">
        <f t="shared" ref="AR17:AR20" si="45">+AM17-AQ17</f>
        <v>19114.18</v>
      </c>
      <c r="AS17" s="213"/>
      <c r="AT17" s="213"/>
      <c r="AU17" s="213">
        <f t="shared" ref="AU17:AU20" si="46">IF(E17=0,0,IF(E17&lt;=10000,137.5,IF(AND(E17&gt;10000,E17&lt;40000)=TRUE,E17*2.75%*50%,IF(E17&gt;=40000,550,0))))</f>
        <v>524.5625</v>
      </c>
      <c r="AV17" s="214"/>
      <c r="AW17" s="214" t="str">
        <f t="shared" ref="AW17:AW20" si="47">IF(AND($D17&gt;=1,$D17&lt;=19)=TRUE,"25%",IF($D17=20,"15%",IF($D17=21,"13%",IF($D17=22,"12%",IF($D17=23,"11%",IF(OR($D17=24,$D17=25)=TRUE,"10%",IF($D17=26,"9%",IF($D17=27,"8%",IF($D17=28,"7%",IF(OR($D17=29,$D17=30)=TRUE,"6%",IF($D17=31,"5%","0%")))))))))))</f>
        <v>25%</v>
      </c>
      <c r="AX17" s="215">
        <v>12</v>
      </c>
      <c r="AY17" s="213">
        <v>150</v>
      </c>
      <c r="AZ17" s="214">
        <v>22</v>
      </c>
      <c r="BA17" s="213">
        <v>50</v>
      </c>
      <c r="BB17" s="213">
        <f t="shared" ref="BB17:BB20" si="48">IF(AX17&gt;0,(AZ17-AX17+BD17)*BA17,0)</f>
        <v>1150</v>
      </c>
      <c r="BC17" s="213">
        <f t="shared" ref="BC17:BC20" si="49">IF(AX17&gt;0,1100,0)</f>
        <v>1100</v>
      </c>
      <c r="BD17" s="215">
        <v>13</v>
      </c>
    </row>
    <row r="18" spans="1:58" s="217" customFormat="1" ht="45" customHeight="1" x14ac:dyDescent="0.25">
      <c r="A18" s="208">
        <v>10</v>
      </c>
      <c r="B18" s="210"/>
      <c r="C18" s="230" t="s">
        <v>205</v>
      </c>
      <c r="D18" s="200">
        <v>16</v>
      </c>
      <c r="E18" s="201">
        <v>38150</v>
      </c>
      <c r="F18" s="201">
        <f t="shared" si="33"/>
        <v>100</v>
      </c>
      <c r="G18" s="201">
        <f t="shared" si="34"/>
        <v>1664.73</v>
      </c>
      <c r="H18" s="202">
        <f t="shared" si="35"/>
        <v>13872.73</v>
      </c>
      <c r="I18" s="202">
        <f t="shared" si="36"/>
        <v>727.27</v>
      </c>
      <c r="J18" s="202">
        <f t="shared" si="37"/>
        <v>250</v>
      </c>
      <c r="K18" s="202">
        <f t="shared" ref="K18:K20" si="50">IF(AND(H18&gt;0,AX18&gt;11)=TRUE,150,0)</f>
        <v>0</v>
      </c>
      <c r="L18" s="202">
        <f t="shared" ref="L18:L20" si="51">ROUND(IF(AND($H18&gt;0,AX18&gt;11)=TRUE,$AW18*$E18,0),2)</f>
        <v>0</v>
      </c>
      <c r="M18" s="202">
        <f t="shared" si="38"/>
        <v>14850</v>
      </c>
      <c r="N18" s="202"/>
      <c r="O18" s="202">
        <f t="shared" si="39"/>
        <v>763</v>
      </c>
      <c r="P18" s="203">
        <f t="shared" si="40"/>
        <v>1248.55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41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42"/>
        <v>2111.5500000000002</v>
      </c>
      <c r="AM18" s="204">
        <f t="shared" si="43"/>
        <v>12738.45</v>
      </c>
      <c r="AN18" s="245" t="s">
        <v>248</v>
      </c>
      <c r="AO18" s="211"/>
      <c r="AP18" s="207"/>
      <c r="AQ18" s="212">
        <f t="shared" si="44"/>
        <v>0</v>
      </c>
      <c r="AR18" s="213">
        <f t="shared" si="45"/>
        <v>12738.45</v>
      </c>
      <c r="AS18" s="213"/>
      <c r="AT18" s="213"/>
      <c r="AU18" s="213">
        <f t="shared" si="46"/>
        <v>524.5625</v>
      </c>
      <c r="AV18" s="214"/>
      <c r="AW18" s="214" t="str">
        <f t="shared" si="47"/>
        <v>25%</v>
      </c>
      <c r="AX18" s="215">
        <v>8</v>
      </c>
      <c r="AY18" s="213">
        <v>150</v>
      </c>
      <c r="AZ18" s="214">
        <v>22</v>
      </c>
      <c r="BA18" s="213">
        <v>50</v>
      </c>
      <c r="BB18" s="213">
        <f t="shared" si="48"/>
        <v>850</v>
      </c>
      <c r="BC18" s="213">
        <f t="shared" si="49"/>
        <v>1100</v>
      </c>
      <c r="BD18" s="215">
        <v>3</v>
      </c>
    </row>
    <row r="19" spans="1:58" s="217" customFormat="1" ht="35.25" customHeight="1" x14ac:dyDescent="0.25">
      <c r="A19" s="208">
        <v>11</v>
      </c>
      <c r="B19" s="210"/>
      <c r="C19" s="230" t="s">
        <v>200</v>
      </c>
      <c r="D19" s="200">
        <v>16</v>
      </c>
      <c r="E19" s="201">
        <v>38150</v>
      </c>
      <c r="F19" s="201">
        <f>IF(H19&gt;0,100,0)</f>
        <v>100</v>
      </c>
      <c r="G19" s="201">
        <f>+ROUND(H19*12%,2)</f>
        <v>4578</v>
      </c>
      <c r="H19" s="202">
        <f>ROUND(IF(AX19&gt;22,0,IF(AX19=22,E19,IF(AX19&lt;22,E19*(AX19/AZ19),IF(OR(AX19=0,AX19=" ")=TRUE,0)))),2)</f>
        <v>38150</v>
      </c>
      <c r="I19" s="202">
        <f>ROUND(IF(AND(H19&gt;0,AX19=22)=TRUE,2000,IF(AND(H19&gt;0,AX19&lt;22,AX19&gt;0)=TRUE,2000*(AX19/AZ19),IF(AX19&lt;0,0,0))),2)</f>
        <v>2000</v>
      </c>
      <c r="J19" s="202">
        <f>IF(H19&gt;0,BC19-BB19,0)</f>
        <v>1100</v>
      </c>
      <c r="K19" s="202">
        <f>IF(AND(H19&gt;0,AX19&gt;11)=TRUE,150,0)</f>
        <v>150</v>
      </c>
      <c r="L19" s="202">
        <f>ROUND(IF(AND($H19&gt;0,AX19&gt;11)=TRUE,$AW19*$E19,0),2)</f>
        <v>9537.5</v>
      </c>
      <c r="M19" s="202">
        <f>ROUND(SUM(H19:L19),2)</f>
        <v>50937.5</v>
      </c>
      <c r="N19" s="202">
        <v>10589.5</v>
      </c>
      <c r="O19" s="202">
        <f>E19*0.04/2</f>
        <v>763</v>
      </c>
      <c r="P19" s="203">
        <f>ROUND($H19*9%,2)</f>
        <v>3433.5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>
        <f>ROUND(IF(H19&gt;0,100,0),2)</f>
        <v>100</v>
      </c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>
        <f>SUM(N19:AK19)</f>
        <v>14886</v>
      </c>
      <c r="AM19" s="204">
        <f>ROUND(M19-AL19,2)</f>
        <v>36051.5</v>
      </c>
      <c r="AN19" s="251" t="s">
        <v>249</v>
      </c>
      <c r="AO19" s="211"/>
      <c r="AP19" s="207"/>
      <c r="AQ19" s="212">
        <f>SUM(AO19:AP19)</f>
        <v>0</v>
      </c>
      <c r="AR19" s="213">
        <f>+AM19-AQ19</f>
        <v>36051.5</v>
      </c>
      <c r="AS19" s="213"/>
      <c r="AT19" s="213"/>
      <c r="AU19" s="213">
        <f>IF(E19=0,0,IF(E19&lt;=10000,137.5,IF(AND(E19&gt;10000,E19&lt;40000)=TRUE,E19*2.75%*50%,IF(E19&gt;=40000,550,0))))</f>
        <v>524.5625</v>
      </c>
      <c r="AV19" s="214"/>
      <c r="AW19" s="214" t="str">
        <f>IF(AND($D19&gt;=1,$D19&lt;=19)=TRUE,"25%",IF($D19=20,"15%",IF($D19=21,"13%",IF($D19=22,"12%",IF($D19=23,"11%",IF(OR($D19=24,$D19=25)=TRUE,"10%",IF($D19=26,"9%",IF($D19=27,"8%",IF($D19=28,"7%",IF(OR($D19=29,$D19=30)=TRUE,"6%",IF($D19=31,"5%","0%")))))))))))</f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>IF(AX19&gt;0,(AZ19-AX19+BD19)*BA19,0)</f>
        <v>0</v>
      </c>
      <c r="BC19" s="213">
        <f>IF(AX19&gt;0,1100,0)</f>
        <v>1100</v>
      </c>
      <c r="BD19" s="215"/>
    </row>
    <row r="20" spans="1:58" s="217" customFormat="1" ht="36.75" customHeight="1" x14ac:dyDescent="0.25">
      <c r="A20" s="208">
        <v>12</v>
      </c>
      <c r="B20" s="210"/>
      <c r="C20" s="230" t="s">
        <v>227</v>
      </c>
      <c r="D20" s="200">
        <v>16</v>
      </c>
      <c r="E20" s="201">
        <v>38150</v>
      </c>
      <c r="F20" s="201">
        <f t="shared" si="33"/>
        <v>100</v>
      </c>
      <c r="G20" s="201">
        <f t="shared" si="34"/>
        <v>2497.09</v>
      </c>
      <c r="H20" s="202">
        <f t="shared" si="35"/>
        <v>20809.09</v>
      </c>
      <c r="I20" s="202">
        <f t="shared" si="36"/>
        <v>1090.9100000000001</v>
      </c>
      <c r="J20" s="202">
        <f t="shared" si="37"/>
        <v>600</v>
      </c>
      <c r="K20" s="202">
        <f t="shared" si="50"/>
        <v>150</v>
      </c>
      <c r="L20" s="202">
        <f t="shared" si="51"/>
        <v>9537.5</v>
      </c>
      <c r="M20" s="202">
        <f t="shared" si="38"/>
        <v>32187.5</v>
      </c>
      <c r="N20" s="202"/>
      <c r="O20" s="202">
        <f t="shared" si="39"/>
        <v>763</v>
      </c>
      <c r="P20" s="203">
        <f t="shared" si="40"/>
        <v>1872.82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>
        <f t="shared" si="41"/>
        <v>100</v>
      </c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>
        <f t="shared" si="42"/>
        <v>2735.8199999999997</v>
      </c>
      <c r="AM20" s="204">
        <f t="shared" si="43"/>
        <v>29451.68</v>
      </c>
      <c r="AN20" s="245" t="s">
        <v>250</v>
      </c>
      <c r="AO20" s="211"/>
      <c r="AP20" s="207"/>
      <c r="AQ20" s="212">
        <f t="shared" si="44"/>
        <v>0</v>
      </c>
      <c r="AR20" s="213">
        <f t="shared" si="45"/>
        <v>29451.68</v>
      </c>
      <c r="AS20" s="213"/>
      <c r="AT20" s="213"/>
      <c r="AU20" s="213">
        <f t="shared" si="46"/>
        <v>524.5625</v>
      </c>
      <c r="AV20" s="214"/>
      <c r="AW20" s="214" t="str">
        <f t="shared" si="47"/>
        <v>25%</v>
      </c>
      <c r="AX20" s="215">
        <v>12</v>
      </c>
      <c r="AY20" s="213">
        <v>150</v>
      </c>
      <c r="AZ20" s="214">
        <v>22</v>
      </c>
      <c r="BA20" s="213">
        <v>50</v>
      </c>
      <c r="BB20" s="213">
        <f t="shared" si="48"/>
        <v>500</v>
      </c>
      <c r="BC20" s="213">
        <f t="shared" si="49"/>
        <v>1100</v>
      </c>
      <c r="BD20" s="215"/>
    </row>
    <row r="21" spans="1:58" s="217" customFormat="1" ht="42.75" customHeight="1" x14ac:dyDescent="0.25">
      <c r="A21" s="208">
        <v>13</v>
      </c>
      <c r="B21" s="210"/>
      <c r="C21" s="230" t="s">
        <v>246</v>
      </c>
      <c r="D21" s="200">
        <v>16</v>
      </c>
      <c r="E21" s="201">
        <v>38150</v>
      </c>
      <c r="F21" s="201">
        <f>IF(H21&gt;0,100,0)</f>
        <v>100</v>
      </c>
      <c r="G21" s="201">
        <f>+ROUND(H21*12%,2)</f>
        <v>1248.55</v>
      </c>
      <c r="H21" s="202">
        <f>ROUND(IF(AX21&gt;22,0,IF(AX21=22,E21,IF(AX21&lt;22,E21*(AX21/AZ21),IF(OR(AX21=0,AX21=" ")=TRUE,0)))),2)</f>
        <v>10404.549999999999</v>
      </c>
      <c r="I21" s="202">
        <f>ROUND(IF(AND(H21&gt;0,AX21=22)=TRUE,2000,IF(AND(H21&gt;0,AX21&lt;22,AX21&gt;0)=TRUE,2000*(AX21/AZ21),IF(AX21&lt;0,0,0))),2)</f>
        <v>545.45000000000005</v>
      </c>
      <c r="J21" s="202">
        <f>IF(H21&gt;0,BC21-BB21,0)</f>
        <v>300</v>
      </c>
      <c r="K21" s="202">
        <f>IF(AND(H21&gt;0,AX21&gt;11)=TRUE,150,0)</f>
        <v>0</v>
      </c>
      <c r="L21" s="202">
        <f>ROUND(IF(AND($H21&gt;0,AX21&gt;11)=TRUE,$AW21*$E21,0),2)</f>
        <v>0</v>
      </c>
      <c r="M21" s="202">
        <f>ROUND(SUM(H21:L21),2)</f>
        <v>11250</v>
      </c>
      <c r="N21" s="202"/>
      <c r="O21" s="202">
        <f>E21*0.04/2</f>
        <v>763</v>
      </c>
      <c r="P21" s="203">
        <f>ROUND($H21*9%,2)</f>
        <v>936.41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>SUM(N21:AK21)</f>
        <v>1799.4099999999999</v>
      </c>
      <c r="AM21" s="204">
        <f>ROUND(M21-AL21,2)</f>
        <v>9450.59</v>
      </c>
      <c r="AN21" s="245" t="s">
        <v>251</v>
      </c>
      <c r="AO21" s="211"/>
      <c r="AP21" s="207"/>
      <c r="AQ21" s="212">
        <f>SUM(AO21:AP21)</f>
        <v>0</v>
      </c>
      <c r="AR21" s="213">
        <f>+AM21-AQ21</f>
        <v>9450.59</v>
      </c>
      <c r="AS21" s="213"/>
      <c r="AT21" s="213"/>
      <c r="AU21" s="213">
        <f>IF(E21=0,0,IF(E21&lt;=10000,137.5,IF(AND(E21&gt;10000,E21&lt;40000)=TRUE,E21*2.75%*50%,IF(E21&gt;=40000,550,0))))</f>
        <v>524.5625</v>
      </c>
      <c r="AV21" s="214"/>
      <c r="AW21" s="214" t="str">
        <f>IF(AND($D21&gt;=1,$D21&lt;=19)=TRUE,"25%",IF($D21=20,"15%",IF($D21=21,"13%",IF($D21=22,"12%",IF($D21=23,"11%",IF(OR($D21=24,$D21=25)=TRUE,"10%",IF($D21=26,"9%",IF($D21=27,"8%",IF($D21=28,"7%",IF(OR($D21=29,$D21=30)=TRUE,"6%",IF($D21=31,"5%","0%")))))))))))</f>
        <v>25%</v>
      </c>
      <c r="AX21" s="215">
        <v>6</v>
      </c>
      <c r="AY21" s="213">
        <v>150</v>
      </c>
      <c r="AZ21" s="214">
        <v>22</v>
      </c>
      <c r="BA21" s="213">
        <v>50</v>
      </c>
      <c r="BB21" s="213">
        <f>IF(AX21&gt;0,(AZ21-AX21+BD21)*BA21,0)</f>
        <v>800</v>
      </c>
      <c r="BC21" s="213">
        <f>IF(AX21&gt;0,1100,0)</f>
        <v>1100</v>
      </c>
      <c r="BD21" s="244"/>
    </row>
    <row r="22" spans="1:58" s="217" customFormat="1" ht="44.25" customHeight="1" x14ac:dyDescent="0.25">
      <c r="A22" s="208">
        <v>14</v>
      </c>
      <c r="B22" s="210"/>
      <c r="C22" s="230" t="s">
        <v>244</v>
      </c>
      <c r="D22" s="200">
        <v>16</v>
      </c>
      <c r="E22" s="201">
        <v>38150</v>
      </c>
      <c r="F22" s="201">
        <f t="shared" ref="F22" si="52">IF(H22&gt;0,100,0)</f>
        <v>100</v>
      </c>
      <c r="G22" s="201">
        <f t="shared" ref="G22" si="53">+ROUND(H22*12%,2)</f>
        <v>1040.45</v>
      </c>
      <c r="H22" s="202">
        <f t="shared" ref="H22" si="54">ROUND(IF(AX22&gt;22,0,IF(AX22=22,E22,IF(AX22&lt;22,E22*(AX22/AZ22),IF(OR(AX22=0,AX22=" ")=TRUE,0)))),2)</f>
        <v>8670.4500000000007</v>
      </c>
      <c r="I22" s="202">
        <f t="shared" ref="I22" si="55">ROUND(IF(AND(H22&gt;0,AX22=22)=TRUE,2000,IF(AND(H22&gt;0,AX22&lt;22,AX22&gt;0)=TRUE,2000*(AX22/AZ22),IF(AX22&lt;0,0,0))),2)</f>
        <v>454.55</v>
      </c>
      <c r="J22" s="202">
        <f t="shared" ref="J22" si="56">IF(H22&gt;0,BC22-BB22,0)</f>
        <v>250</v>
      </c>
      <c r="K22" s="202">
        <f t="shared" ref="K22" si="57">IF(AND(H22&gt;0,AX22&gt;11)=TRUE,150,0)</f>
        <v>0</v>
      </c>
      <c r="L22" s="202">
        <f t="shared" ref="L22" si="58">ROUND(IF(AND($H22&gt;0,AX22&gt;11)=TRUE,$AW22*$E22,0),2)</f>
        <v>0</v>
      </c>
      <c r="M22" s="202">
        <f t="shared" ref="M22" si="59">ROUND(SUM(H22:L22),2)</f>
        <v>9375</v>
      </c>
      <c r="N22" s="202"/>
      <c r="O22" s="202">
        <f t="shared" ref="O22" si="60">E22*0.04/2</f>
        <v>763</v>
      </c>
      <c r="P22" s="203">
        <f t="shared" ref="P22" si="61">ROUND($H22*9%,2)</f>
        <v>780.34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 t="shared" ref="Z22" si="62">ROUND(IF(H22&gt;0,100,0),2)</f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 t="shared" ref="AL22" si="63">SUM(N22:AK22)</f>
        <v>1643.3400000000001</v>
      </c>
      <c r="AM22" s="204">
        <f t="shared" ref="AM22" si="64">ROUND(M22-AL22,2)</f>
        <v>7731.66</v>
      </c>
      <c r="AN22" s="245" t="s">
        <v>252</v>
      </c>
      <c r="AO22" s="211"/>
      <c r="AP22" s="207"/>
      <c r="AQ22" s="212">
        <f t="shared" ref="AQ22" si="65">SUM(AO22:AP22)</f>
        <v>0</v>
      </c>
      <c r="AR22" s="213">
        <f t="shared" ref="AR22" si="66">+AM22-AQ22</f>
        <v>7731.66</v>
      </c>
      <c r="AS22" s="213"/>
      <c r="AT22" s="213"/>
      <c r="AU22" s="213">
        <f t="shared" ref="AU22" si="67">IF(E22=0,0,IF(E22&lt;=10000,137.5,IF(AND(E22&gt;10000,E22&lt;40000)=TRUE,E22*2.75%*50%,IF(E22&gt;=40000,550,0))))</f>
        <v>524.5625</v>
      </c>
      <c r="AV22" s="214"/>
      <c r="AW22" s="214" t="str">
        <f t="shared" ref="AW22" si="68">IF(AND($D22&gt;=1,$D22&lt;=19)=TRUE,"25%",IF($D22=20,"15%",IF($D22=21,"13%",IF($D22=22,"12%",IF($D22=23,"11%",IF(OR($D22=24,$D22=25)=TRUE,"10%",IF($D22=26,"9%",IF($D22=27,"8%",IF($D22=28,"7%",IF(OR($D22=29,$D22=30)=TRUE,"6%",IF($D22=31,"5%","0%")))))))))))</f>
        <v>25%</v>
      </c>
      <c r="AX22" s="215">
        <v>5</v>
      </c>
      <c r="AY22" s="213">
        <v>150</v>
      </c>
      <c r="AZ22" s="214">
        <v>22</v>
      </c>
      <c r="BA22" s="213">
        <v>50</v>
      </c>
      <c r="BB22" s="213">
        <f t="shared" ref="BB22" si="69">IF(AX22&gt;0,(AZ22-AX22+BD22)*BA22,0)</f>
        <v>850</v>
      </c>
      <c r="BC22" s="213">
        <f t="shared" ref="BC22" si="70">IF(AX22&gt;0,1100,0)</f>
        <v>1100</v>
      </c>
      <c r="BD22" s="215"/>
    </row>
    <row r="23" spans="1:58" s="217" customFormat="1" ht="46.5" customHeight="1" x14ac:dyDescent="0.25">
      <c r="A23" s="208">
        <v>15</v>
      </c>
      <c r="B23" s="210"/>
      <c r="C23" s="230" t="s">
        <v>235</v>
      </c>
      <c r="D23" s="200">
        <v>15</v>
      </c>
      <c r="E23" s="201">
        <v>35097</v>
      </c>
      <c r="F23" s="201">
        <f>IF(H23&gt;0,100,0)</f>
        <v>100</v>
      </c>
      <c r="G23" s="201">
        <f>+ROUND(H23*12%,2)</f>
        <v>4211.6400000000003</v>
      </c>
      <c r="H23" s="202">
        <f>ROUND(IF(AX23&gt;22,0,IF(AX23=22,E23,IF(AX23&lt;22,E23*(AX23/AZ23),IF(OR(AX23=0,AX23=" ")=TRUE,0)))),2)</f>
        <v>35097</v>
      </c>
      <c r="I23" s="202">
        <f>ROUND(IF(AND(H23&gt;0,AX23=22)=TRUE,2000,IF(AND(H23&gt;0,AX23&lt;22,AX23&gt;0)=TRUE,2000*(AX23/AZ23),IF(AX23&lt;0,0,0))),2)</f>
        <v>2000</v>
      </c>
      <c r="J23" s="202">
        <f>IF(H23&gt;0,BC23-BB23,0)</f>
        <v>1100</v>
      </c>
      <c r="K23" s="202">
        <f>IF(AND(H23&gt;0,AX23&gt;11)=TRUE,150,0)</f>
        <v>150</v>
      </c>
      <c r="L23" s="202">
        <f>ROUND(IF(AND($H23&gt;0,AX23&gt;11)=TRUE,$AW23*$E23,0),2)</f>
        <v>8774.25</v>
      </c>
      <c r="M23" s="202">
        <f>ROUND(SUM(H23:L23),2)</f>
        <v>47121.25</v>
      </c>
      <c r="N23" s="202"/>
      <c r="O23" s="202">
        <f>E23*0.04/2</f>
        <v>701.94</v>
      </c>
      <c r="P23" s="203">
        <f>ROUND($H23*9%,2)</f>
        <v>3158.73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>ROUND(IF(H23&gt;0,100,0),2)</f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>SUM(N23:AK23)</f>
        <v>3960.67</v>
      </c>
      <c r="AM23" s="204">
        <f>ROUND(M23-AL23,2)</f>
        <v>43160.58</v>
      </c>
      <c r="AN23" s="245" t="s">
        <v>253</v>
      </c>
      <c r="AO23" s="211"/>
      <c r="AP23" s="207"/>
      <c r="AQ23" s="212">
        <f>SUM(AO23:AP23)</f>
        <v>0</v>
      </c>
      <c r="AR23" s="213">
        <f>+AM23-AQ23</f>
        <v>43160.58</v>
      </c>
      <c r="AS23" s="213"/>
      <c r="AT23" s="213"/>
      <c r="AU23" s="213">
        <f>IF(E23=0,0,IF(E23&lt;=10000,137.5,IF(AND(E23&gt;10000,E23&lt;40000)=TRUE,E23*2.75%*50%,IF(E23&gt;=40000,550,0))))</f>
        <v>482.58375000000001</v>
      </c>
      <c r="AV23" s="214"/>
      <c r="AW23" s="214" t="str">
        <f>IF(AND($D23&gt;=1,$D23&lt;=19)=TRUE,"25%",IF($D23=20,"15%",IF($D23=21,"13%",IF($D23=22,"12%",IF($D23=23,"11%",IF(OR($D23=24,$D23=25)=TRUE,"10%",IF($D23=26,"9%",IF($D23=27,"8%",IF($D23=28,"7%",IF(OR($D23=29,$D23=30)=TRUE,"6%",IF($D23=31,"5%","0%")))))))))))</f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>IF(AX23&gt;0,(AZ23-AX23+BD23)*BA23,0)</f>
        <v>0</v>
      </c>
      <c r="BC23" s="213">
        <f>IF(AX23&gt;0,1100,0)</f>
        <v>1100</v>
      </c>
      <c r="BD23" s="215"/>
    </row>
    <row r="24" spans="1:58" s="217" customFormat="1" ht="46.5" customHeight="1" x14ac:dyDescent="0.25">
      <c r="A24" s="208">
        <v>16</v>
      </c>
      <c r="B24" s="210"/>
      <c r="C24" s="230" t="s">
        <v>241</v>
      </c>
      <c r="D24" s="200">
        <v>16</v>
      </c>
      <c r="E24" s="201">
        <v>38150</v>
      </c>
      <c r="F24" s="201">
        <f t="shared" ref="F24:F27" si="71">IF(H24&gt;0,100,0)</f>
        <v>100</v>
      </c>
      <c r="G24" s="201">
        <f t="shared" ref="G24:G27" si="72">+ROUND(H24*12%,2)</f>
        <v>2289</v>
      </c>
      <c r="H24" s="202">
        <f t="shared" ref="H24:H27" si="73">ROUND(IF(AX24&gt;22,0,IF(AX24=22,E24,IF(AX24&lt;22,E24*(AX24/AZ24),IF(OR(AX24=0,AX24=" ")=TRUE,0)))),2)</f>
        <v>19075</v>
      </c>
      <c r="I24" s="202">
        <f t="shared" ref="I24:I27" si="74">ROUND(IF(AND(H24&gt;0,AX24=22)=TRUE,2000,IF(AND(H24&gt;0,AX24&lt;22,AX24&gt;0)=TRUE,2000*(AX24/AZ24),IF(AX24&lt;0,0,0))),2)</f>
        <v>1000</v>
      </c>
      <c r="J24" s="202">
        <f t="shared" ref="J24:J27" si="75">IF(H24&gt;0,BC24-BB24,0)</f>
        <v>550</v>
      </c>
      <c r="K24" s="202">
        <f t="shared" ref="K24:K27" si="76">IF(AND(H24&gt;0,AX24&gt;11)=TRUE,150,0)</f>
        <v>0</v>
      </c>
      <c r="L24" s="202">
        <f t="shared" ref="L24:L27" si="77">ROUND(IF(AND($H24&gt;0,AX24&gt;11)=TRUE,$AW24*$E24,0),2)</f>
        <v>0</v>
      </c>
      <c r="M24" s="202">
        <f t="shared" ref="M24:M27" si="78">ROUND(SUM(H24:L24),2)</f>
        <v>20625</v>
      </c>
      <c r="N24" s="202"/>
      <c r="O24" s="202">
        <f t="shared" ref="O24:O27" si="79">E24*0.04/2</f>
        <v>763</v>
      </c>
      <c r="P24" s="203">
        <f t="shared" ref="P24:P27" si="80">ROUND($H24*9%,2)</f>
        <v>1716.75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 t="shared" ref="Z24:Z27" si="81">ROUND(IF(H24&gt;0,100,0),2)</f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 t="shared" ref="AL24:AL27" si="82">SUM(N24:AK24)</f>
        <v>2579.75</v>
      </c>
      <c r="AM24" s="204">
        <f t="shared" ref="AM24:AM27" si="83">ROUND(M24-AL24,2)</f>
        <v>18045.25</v>
      </c>
      <c r="AN24" s="245" t="s">
        <v>254</v>
      </c>
      <c r="AO24" s="211"/>
      <c r="AP24" s="207"/>
      <c r="AQ24" s="212">
        <f t="shared" ref="AQ24:AQ27" si="84">SUM(AO24:AP24)</f>
        <v>0</v>
      </c>
      <c r="AR24" s="213">
        <f t="shared" ref="AR24:AR27" si="85">+AM24-AQ24</f>
        <v>18045.25</v>
      </c>
      <c r="AS24" s="213"/>
      <c r="AT24" s="213"/>
      <c r="AU24" s="213">
        <f t="shared" ref="AU24:AU27" si="86">IF(E24=0,0,IF(E24&lt;=10000,137.5,IF(AND(E24&gt;10000,E24&lt;40000)=TRUE,E24*2.75%*50%,IF(E24&gt;=40000,550,0))))</f>
        <v>524.5625</v>
      </c>
      <c r="AV24" s="214"/>
      <c r="AW24" s="214" t="str">
        <f t="shared" ref="AW24:AW27" si="87">IF(AND($D24&gt;=1,$D24&lt;=19)=TRUE,"25%",IF($D24=20,"15%",IF($D24=21,"13%",IF($D24=22,"12%",IF($D24=23,"11%",IF(OR($D24=24,$D24=25)=TRUE,"10%",IF($D24=26,"9%",IF($D24=27,"8%",IF($D24=28,"7%",IF(OR($D24=29,$D24=30)=TRUE,"6%",IF($D24=31,"5%","0%")))))))))))</f>
        <v>25%</v>
      </c>
      <c r="AX24" s="215">
        <v>11</v>
      </c>
      <c r="AY24" s="213">
        <v>150</v>
      </c>
      <c r="AZ24" s="214">
        <v>22</v>
      </c>
      <c r="BA24" s="213">
        <v>50</v>
      </c>
      <c r="BB24" s="213">
        <f t="shared" ref="BB24:BB27" si="88">IF(AX24&gt;0,(AZ24-AX24+BD24)*BA24,0)</f>
        <v>550</v>
      </c>
      <c r="BC24" s="213">
        <f t="shared" ref="BC24:BC27" si="89">IF(AX24&gt;0,1100,0)</f>
        <v>1100</v>
      </c>
      <c r="BD24" s="215"/>
      <c r="BE24" s="216"/>
    </row>
    <row r="25" spans="1:58" s="217" customFormat="1" ht="46.5" customHeight="1" x14ac:dyDescent="0.25">
      <c r="A25" s="208">
        <v>17</v>
      </c>
      <c r="B25" s="210"/>
      <c r="C25" s="230" t="s">
        <v>245</v>
      </c>
      <c r="D25" s="200">
        <v>16</v>
      </c>
      <c r="E25" s="201">
        <v>38150</v>
      </c>
      <c r="F25" s="201">
        <f t="shared" si="71"/>
        <v>100</v>
      </c>
      <c r="G25" s="201">
        <f t="shared" si="72"/>
        <v>2289</v>
      </c>
      <c r="H25" s="202">
        <f t="shared" si="73"/>
        <v>19075</v>
      </c>
      <c r="I25" s="202">
        <f t="shared" si="74"/>
        <v>1000</v>
      </c>
      <c r="J25" s="202">
        <f t="shared" si="75"/>
        <v>550</v>
      </c>
      <c r="K25" s="202">
        <f t="shared" si="76"/>
        <v>0</v>
      </c>
      <c r="L25" s="202">
        <f t="shared" si="77"/>
        <v>0</v>
      </c>
      <c r="M25" s="202">
        <f t="shared" si="78"/>
        <v>20625</v>
      </c>
      <c r="N25" s="202"/>
      <c r="O25" s="202">
        <f t="shared" si="79"/>
        <v>763</v>
      </c>
      <c r="P25" s="203">
        <f t="shared" si="80"/>
        <v>1716.75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 t="shared" si="81"/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 t="shared" si="82"/>
        <v>2579.75</v>
      </c>
      <c r="AM25" s="204">
        <f t="shared" si="83"/>
        <v>18045.25</v>
      </c>
      <c r="AN25" s="245" t="s">
        <v>255</v>
      </c>
      <c r="AO25" s="211"/>
      <c r="AP25" s="207"/>
      <c r="AQ25" s="212">
        <f t="shared" si="84"/>
        <v>0</v>
      </c>
      <c r="AR25" s="213">
        <f t="shared" si="85"/>
        <v>18045.25</v>
      </c>
      <c r="AS25" s="213"/>
      <c r="AT25" s="213"/>
      <c r="AU25" s="213">
        <f t="shared" si="86"/>
        <v>524.5625</v>
      </c>
      <c r="AV25" s="214"/>
      <c r="AW25" s="214" t="str">
        <f t="shared" si="87"/>
        <v>25%</v>
      </c>
      <c r="AX25" s="215">
        <v>11</v>
      </c>
      <c r="AY25" s="213">
        <v>150</v>
      </c>
      <c r="AZ25" s="214">
        <v>22</v>
      </c>
      <c r="BA25" s="213">
        <v>50</v>
      </c>
      <c r="BB25" s="213">
        <f t="shared" si="88"/>
        <v>550</v>
      </c>
      <c r="BC25" s="213">
        <f t="shared" si="89"/>
        <v>1100</v>
      </c>
      <c r="BD25" s="215"/>
    </row>
    <row r="26" spans="1:58" s="217" customFormat="1" ht="46.5" customHeight="1" x14ac:dyDescent="0.25">
      <c r="A26" s="208">
        <v>18</v>
      </c>
      <c r="B26" s="210"/>
      <c r="C26" s="231" t="s">
        <v>243</v>
      </c>
      <c r="D26" s="200">
        <v>16</v>
      </c>
      <c r="E26" s="201">
        <v>38150</v>
      </c>
      <c r="F26" s="201">
        <f t="shared" si="71"/>
        <v>100</v>
      </c>
      <c r="G26" s="201">
        <f t="shared" si="72"/>
        <v>2289</v>
      </c>
      <c r="H26" s="202">
        <f t="shared" si="73"/>
        <v>19075</v>
      </c>
      <c r="I26" s="202">
        <f t="shared" si="74"/>
        <v>1000</v>
      </c>
      <c r="J26" s="202">
        <f t="shared" si="75"/>
        <v>550</v>
      </c>
      <c r="K26" s="202">
        <f t="shared" si="76"/>
        <v>0</v>
      </c>
      <c r="L26" s="202">
        <f t="shared" si="77"/>
        <v>0</v>
      </c>
      <c r="M26" s="202">
        <f t="shared" si="78"/>
        <v>20625</v>
      </c>
      <c r="N26" s="202"/>
      <c r="O26" s="202">
        <f t="shared" si="79"/>
        <v>763</v>
      </c>
      <c r="P26" s="203">
        <f t="shared" si="80"/>
        <v>1716.75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 t="shared" si="81"/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si="82"/>
        <v>2579.75</v>
      </c>
      <c r="AM26" s="204">
        <f t="shared" si="83"/>
        <v>18045.25</v>
      </c>
      <c r="AN26" s="245" t="s">
        <v>256</v>
      </c>
      <c r="AO26" s="211"/>
      <c r="AP26" s="207"/>
      <c r="AQ26" s="212">
        <f t="shared" si="84"/>
        <v>0</v>
      </c>
      <c r="AR26" s="213">
        <f t="shared" si="85"/>
        <v>18045.25</v>
      </c>
      <c r="AS26" s="213"/>
      <c r="AT26" s="213"/>
      <c r="AU26" s="213">
        <f t="shared" si="86"/>
        <v>524.5625</v>
      </c>
      <c r="AV26" s="214"/>
      <c r="AW26" s="214" t="str">
        <f t="shared" si="87"/>
        <v>25%</v>
      </c>
      <c r="AX26" s="215">
        <v>11</v>
      </c>
      <c r="AY26" s="213">
        <v>150</v>
      </c>
      <c r="AZ26" s="214">
        <v>22</v>
      </c>
      <c r="BA26" s="213">
        <v>50</v>
      </c>
      <c r="BB26" s="213">
        <f t="shared" si="88"/>
        <v>550</v>
      </c>
      <c r="BC26" s="213">
        <f t="shared" si="89"/>
        <v>1100</v>
      </c>
      <c r="BD26" s="215"/>
    </row>
    <row r="27" spans="1:58" s="217" customFormat="1" ht="46.5" customHeight="1" x14ac:dyDescent="0.25">
      <c r="A27" s="208">
        <v>19</v>
      </c>
      <c r="B27" s="210"/>
      <c r="C27" s="230" t="s">
        <v>242</v>
      </c>
      <c r="D27" s="200">
        <v>16</v>
      </c>
      <c r="E27" s="201">
        <v>38150</v>
      </c>
      <c r="F27" s="201">
        <f t="shared" si="71"/>
        <v>100</v>
      </c>
      <c r="G27" s="201">
        <f t="shared" si="72"/>
        <v>1872.82</v>
      </c>
      <c r="H27" s="202">
        <f t="shared" si="73"/>
        <v>15606.82</v>
      </c>
      <c r="I27" s="202">
        <f t="shared" si="74"/>
        <v>818.18</v>
      </c>
      <c r="J27" s="202">
        <f t="shared" si="75"/>
        <v>350</v>
      </c>
      <c r="K27" s="202">
        <f t="shared" si="76"/>
        <v>0</v>
      </c>
      <c r="L27" s="202">
        <f t="shared" si="77"/>
        <v>0</v>
      </c>
      <c r="M27" s="202">
        <f t="shared" si="78"/>
        <v>16775</v>
      </c>
      <c r="N27" s="202"/>
      <c r="O27" s="202">
        <f t="shared" si="79"/>
        <v>763</v>
      </c>
      <c r="P27" s="203">
        <f t="shared" si="80"/>
        <v>1404.61</v>
      </c>
      <c r="Q27" s="203"/>
      <c r="R27" s="203"/>
      <c r="S27" s="203"/>
      <c r="T27" s="203"/>
      <c r="U27" s="203"/>
      <c r="V27" s="203"/>
      <c r="W27" s="203"/>
      <c r="X27" s="203"/>
      <c r="Y27" s="203"/>
      <c r="Z27" s="203">
        <f t="shared" si="81"/>
        <v>100</v>
      </c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>
        <f t="shared" si="82"/>
        <v>2267.6099999999997</v>
      </c>
      <c r="AM27" s="204">
        <f t="shared" si="83"/>
        <v>14507.39</v>
      </c>
      <c r="AN27" s="245" t="s">
        <v>257</v>
      </c>
      <c r="AO27" s="211"/>
      <c r="AP27" s="207"/>
      <c r="AQ27" s="212">
        <f t="shared" si="84"/>
        <v>0</v>
      </c>
      <c r="AR27" s="213">
        <f t="shared" si="85"/>
        <v>14507.39</v>
      </c>
      <c r="AS27" s="213"/>
      <c r="AT27" s="213"/>
      <c r="AU27" s="213">
        <f t="shared" si="86"/>
        <v>524.5625</v>
      </c>
      <c r="AV27" s="214"/>
      <c r="AW27" s="214" t="str">
        <f t="shared" si="87"/>
        <v>25%</v>
      </c>
      <c r="AX27" s="215">
        <v>9</v>
      </c>
      <c r="AY27" s="213">
        <v>150</v>
      </c>
      <c r="AZ27" s="214">
        <v>22</v>
      </c>
      <c r="BA27" s="213">
        <v>50</v>
      </c>
      <c r="BB27" s="213">
        <f t="shared" si="88"/>
        <v>750</v>
      </c>
      <c r="BC27" s="213">
        <f t="shared" si="89"/>
        <v>1100</v>
      </c>
      <c r="BD27" s="215">
        <v>2</v>
      </c>
    </row>
    <row r="28" spans="1:58" s="217" customFormat="1" ht="33.75" customHeight="1" thickBot="1" x14ac:dyDescent="0.3">
      <c r="A28" s="208"/>
      <c r="B28" s="210"/>
      <c r="C28" s="219" t="s">
        <v>33</v>
      </c>
      <c r="D28" s="237"/>
      <c r="E28" s="238">
        <f>ROUND(SUM(E9:E13),2)</f>
        <v>174986</v>
      </c>
      <c r="F28" s="238">
        <f t="shared" ref="F28:BF28" si="90">ROUND(SUM(F9:F13),2)</f>
        <v>500</v>
      </c>
      <c r="G28" s="238">
        <f t="shared" si="90"/>
        <v>12438.77</v>
      </c>
      <c r="H28" s="238">
        <f t="shared" si="90"/>
        <v>103656.45</v>
      </c>
      <c r="I28" s="238">
        <f t="shared" si="90"/>
        <v>6000</v>
      </c>
      <c r="J28" s="238">
        <f t="shared" si="90"/>
        <v>3300</v>
      </c>
      <c r="K28" s="238">
        <f t="shared" si="90"/>
        <v>450</v>
      </c>
      <c r="L28" s="238">
        <f t="shared" si="90"/>
        <v>25434.75</v>
      </c>
      <c r="M28" s="238">
        <f t="shared" si="90"/>
        <v>138841.20000000001</v>
      </c>
      <c r="N28" s="238">
        <f t="shared" si="90"/>
        <v>0</v>
      </c>
      <c r="O28" s="238">
        <f t="shared" si="90"/>
        <v>2624.78</v>
      </c>
      <c r="P28" s="238">
        <f t="shared" si="90"/>
        <v>9329.08</v>
      </c>
      <c r="Q28" s="238">
        <f t="shared" si="90"/>
        <v>0</v>
      </c>
      <c r="R28" s="238">
        <f t="shared" si="90"/>
        <v>0</v>
      </c>
      <c r="S28" s="238">
        <f t="shared" si="90"/>
        <v>0</v>
      </c>
      <c r="T28" s="238">
        <f t="shared" si="90"/>
        <v>0</v>
      </c>
      <c r="U28" s="238">
        <f t="shared" si="90"/>
        <v>0</v>
      </c>
      <c r="V28" s="238">
        <f t="shared" si="90"/>
        <v>0</v>
      </c>
      <c r="W28" s="238">
        <f t="shared" si="90"/>
        <v>0</v>
      </c>
      <c r="X28" s="238">
        <f t="shared" si="90"/>
        <v>0</v>
      </c>
      <c r="Y28" s="238">
        <f t="shared" si="90"/>
        <v>0</v>
      </c>
      <c r="Z28" s="238">
        <f t="shared" si="90"/>
        <v>500</v>
      </c>
      <c r="AA28" s="238">
        <f t="shared" si="90"/>
        <v>0</v>
      </c>
      <c r="AB28" s="238">
        <f t="shared" si="90"/>
        <v>0</v>
      </c>
      <c r="AC28" s="238">
        <f t="shared" si="90"/>
        <v>0</v>
      </c>
      <c r="AD28" s="238">
        <f t="shared" si="90"/>
        <v>0</v>
      </c>
      <c r="AE28" s="238">
        <f t="shared" si="90"/>
        <v>0</v>
      </c>
      <c r="AF28" s="238">
        <f t="shared" si="90"/>
        <v>0</v>
      </c>
      <c r="AG28" s="238">
        <f t="shared" si="90"/>
        <v>0</v>
      </c>
      <c r="AH28" s="238">
        <f t="shared" si="90"/>
        <v>0</v>
      </c>
      <c r="AI28" s="238">
        <f t="shared" si="90"/>
        <v>0</v>
      </c>
      <c r="AJ28" s="238">
        <f t="shared" si="90"/>
        <v>0</v>
      </c>
      <c r="AK28" s="238">
        <f t="shared" si="90"/>
        <v>0</v>
      </c>
      <c r="AL28" s="238">
        <f t="shared" si="90"/>
        <v>12453.86</v>
      </c>
      <c r="AM28" s="238">
        <f t="shared" si="90"/>
        <v>126387.34</v>
      </c>
      <c r="AN28" s="238">
        <f t="shared" si="90"/>
        <v>0</v>
      </c>
      <c r="AO28" s="238">
        <f t="shared" si="90"/>
        <v>0</v>
      </c>
      <c r="AP28" s="238">
        <f t="shared" si="90"/>
        <v>0</v>
      </c>
      <c r="AQ28" s="238">
        <f t="shared" si="90"/>
        <v>0</v>
      </c>
      <c r="AR28" s="238">
        <f t="shared" si="90"/>
        <v>126387.34</v>
      </c>
      <c r="AS28" s="238">
        <f t="shared" si="90"/>
        <v>0</v>
      </c>
      <c r="AT28" s="238">
        <f t="shared" si="90"/>
        <v>0</v>
      </c>
      <c r="AU28" s="238">
        <f t="shared" si="90"/>
        <v>2406.06</v>
      </c>
      <c r="AV28" s="238">
        <f t="shared" si="90"/>
        <v>0</v>
      </c>
      <c r="AW28" s="238">
        <f t="shared" si="90"/>
        <v>0</v>
      </c>
      <c r="AX28" s="238">
        <f t="shared" si="90"/>
        <v>66</v>
      </c>
      <c r="AY28" s="238">
        <f t="shared" si="90"/>
        <v>750</v>
      </c>
      <c r="AZ28" s="238">
        <f t="shared" si="90"/>
        <v>110</v>
      </c>
      <c r="BA28" s="238">
        <f t="shared" si="90"/>
        <v>250</v>
      </c>
      <c r="BB28" s="238">
        <f t="shared" si="90"/>
        <v>2200</v>
      </c>
      <c r="BC28" s="238">
        <f t="shared" si="90"/>
        <v>5500</v>
      </c>
      <c r="BD28" s="238">
        <f t="shared" si="90"/>
        <v>0</v>
      </c>
      <c r="BE28" s="238">
        <f t="shared" si="90"/>
        <v>0</v>
      </c>
      <c r="BF28" s="238">
        <f t="shared" si="90"/>
        <v>0</v>
      </c>
    </row>
    <row r="29" spans="1:58" ht="25.5" customHeight="1" x14ac:dyDescent="0.2">
      <c r="A29" s="135" t="s">
        <v>111</v>
      </c>
      <c r="B29" s="105"/>
      <c r="C29" s="220"/>
      <c r="D29" s="106"/>
      <c r="E29" s="106"/>
      <c r="F29" s="106"/>
      <c r="G29" s="106"/>
      <c r="H29" s="106"/>
      <c r="I29" s="107"/>
      <c r="J29" s="108" t="s">
        <v>112</v>
      </c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9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9"/>
      <c r="AM29" s="109"/>
      <c r="AN29" s="126"/>
      <c r="AO29" s="1"/>
      <c r="AP29" s="6"/>
      <c r="AQ29" s="6"/>
      <c r="AR29" s="6"/>
      <c r="AS29" s="4"/>
      <c r="AT29" s="1"/>
      <c r="AU29" s="4"/>
      <c r="AV29" s="6"/>
      <c r="AW29" s="4"/>
      <c r="AX29" s="1"/>
      <c r="AY29" s="1"/>
      <c r="AZ29" s="6"/>
      <c r="BC29" s="1"/>
    </row>
    <row r="30" spans="1:58" x14ac:dyDescent="0.2">
      <c r="A30" s="205"/>
      <c r="I30" s="110" t="s">
        <v>196</v>
      </c>
      <c r="J30" s="111" t="s">
        <v>113</v>
      </c>
      <c r="AL30" s="5"/>
      <c r="AM30" s="5"/>
      <c r="AN30" s="127"/>
      <c r="AO30" s="1"/>
      <c r="AP30" s="6"/>
      <c r="AQ30" s="6"/>
      <c r="AR30" s="6"/>
      <c r="AS30" s="4"/>
      <c r="AT30" s="1"/>
      <c r="AU30" s="4"/>
      <c r="AV30" s="6"/>
      <c r="AW30" s="4"/>
      <c r="AX30" s="1"/>
      <c r="AY30" s="1"/>
      <c r="AZ30" s="6"/>
      <c r="BC30" s="1"/>
    </row>
    <row r="31" spans="1:58" x14ac:dyDescent="0.2">
      <c r="A31" s="205"/>
      <c r="I31" s="110"/>
      <c r="J31" s="111"/>
      <c r="AL31" s="5"/>
      <c r="AM31" s="5"/>
      <c r="AN31" s="127"/>
      <c r="AO31" s="1"/>
      <c r="AP31" s="6"/>
      <c r="AQ31" s="6"/>
      <c r="AR31" s="6"/>
      <c r="AS31" s="4"/>
      <c r="AT31" s="1"/>
      <c r="AU31" s="4"/>
      <c r="AV31" s="6"/>
      <c r="AW31" s="4"/>
      <c r="AX31" s="1"/>
      <c r="AY31" s="1"/>
      <c r="AZ31" s="6"/>
      <c r="BC31" s="1"/>
    </row>
    <row r="32" spans="1:58" ht="12.75" customHeight="1" x14ac:dyDescent="0.2">
      <c r="A32" s="205"/>
      <c r="I32" s="110"/>
      <c r="J32" s="111"/>
      <c r="X32" s="1"/>
      <c r="AL32" s="1"/>
      <c r="AM32" s="1"/>
      <c r="AN32" s="110"/>
      <c r="AO32" s="1"/>
      <c r="AP32" s="6"/>
      <c r="AQ32" s="6"/>
      <c r="AR32" s="6"/>
      <c r="AS32" s="4"/>
      <c r="AT32" s="1"/>
      <c r="AU32" s="4"/>
      <c r="AV32" s="6"/>
      <c r="AW32" s="4"/>
      <c r="AX32" s="1"/>
      <c r="AY32" s="1"/>
      <c r="AZ32" s="6"/>
      <c r="BC32" s="1"/>
    </row>
    <row r="33" spans="1:55" x14ac:dyDescent="0.2">
      <c r="A33" s="548" t="s">
        <v>114</v>
      </c>
      <c r="B33" s="549"/>
      <c r="C33" s="549"/>
      <c r="D33" s="549"/>
      <c r="E33" s="549"/>
      <c r="F33" s="549"/>
      <c r="I33" s="110"/>
      <c r="J33" s="525" t="s">
        <v>233</v>
      </c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526"/>
      <c r="AA33" s="526"/>
      <c r="AB33" s="526"/>
      <c r="AC33" s="526"/>
      <c r="AD33" s="526"/>
      <c r="AE33" s="526"/>
      <c r="AF33" s="526"/>
      <c r="AG33" s="526"/>
      <c r="AH33" s="526"/>
      <c r="AI33" s="526"/>
      <c r="AJ33" s="526"/>
      <c r="AK33" s="526"/>
      <c r="AL33" s="526"/>
      <c r="AM33" s="526"/>
      <c r="AN33" s="536"/>
      <c r="AO33" s="1"/>
      <c r="AP33" s="6"/>
      <c r="AQ33" s="6"/>
      <c r="AR33" s="6"/>
      <c r="AS33" s="4"/>
      <c r="AT33" s="1"/>
      <c r="AU33" s="4"/>
      <c r="AV33" s="6"/>
      <c r="AW33" s="4"/>
      <c r="AX33" s="1"/>
      <c r="AY33" s="1"/>
      <c r="AZ33" s="6"/>
      <c r="BC33" s="1"/>
    </row>
    <row r="34" spans="1:55" x14ac:dyDescent="0.2">
      <c r="A34" s="534" t="s">
        <v>190</v>
      </c>
      <c r="B34" s="535"/>
      <c r="C34" s="535"/>
      <c r="D34" s="535"/>
      <c r="E34" s="535"/>
      <c r="F34" s="535"/>
      <c r="I34" s="110"/>
      <c r="J34" s="545" t="s">
        <v>234</v>
      </c>
      <c r="K34" s="546"/>
      <c r="L34" s="546"/>
      <c r="M34" s="546"/>
      <c r="N34" s="546"/>
      <c r="O34" s="546"/>
      <c r="P34" s="546"/>
      <c r="Q34" s="546"/>
      <c r="R34" s="546"/>
      <c r="S34" s="546"/>
      <c r="T34" s="546"/>
      <c r="U34" s="546"/>
      <c r="V34" s="546"/>
      <c r="W34" s="546"/>
      <c r="X34" s="546"/>
      <c r="Y34" s="546"/>
      <c r="Z34" s="546"/>
      <c r="AA34" s="546"/>
      <c r="AB34" s="546"/>
      <c r="AC34" s="546"/>
      <c r="AD34" s="546"/>
      <c r="AE34" s="546"/>
      <c r="AF34" s="546"/>
      <c r="AG34" s="546"/>
      <c r="AH34" s="546"/>
      <c r="AI34" s="546"/>
      <c r="AJ34" s="546"/>
      <c r="AK34" s="546"/>
      <c r="AL34" s="546"/>
      <c r="AM34" s="546"/>
      <c r="AN34" s="547"/>
      <c r="AO34" s="1"/>
      <c r="AP34" s="6"/>
      <c r="AQ34" s="6"/>
      <c r="AR34" s="6"/>
      <c r="AS34" s="4"/>
      <c r="AT34" s="1"/>
      <c r="AU34" s="4"/>
      <c r="AV34" s="6"/>
      <c r="AW34" s="4"/>
      <c r="AX34" s="1"/>
      <c r="AY34" s="1"/>
      <c r="AZ34" s="6"/>
      <c r="BC34" s="1"/>
    </row>
    <row r="35" spans="1:55" ht="16.5" thickBot="1" x14ac:dyDescent="0.25">
      <c r="A35" s="550" t="s">
        <v>115</v>
      </c>
      <c r="B35" s="551"/>
      <c r="C35" s="551"/>
      <c r="D35" s="551"/>
      <c r="E35" s="551"/>
      <c r="F35" s="551"/>
      <c r="I35" s="110"/>
      <c r="J35" s="523" t="s">
        <v>115</v>
      </c>
      <c r="K35" s="524"/>
      <c r="L35" s="524"/>
      <c r="M35" s="524"/>
      <c r="N35" s="524"/>
      <c r="O35" s="524"/>
      <c r="P35" s="524"/>
      <c r="Q35" s="524"/>
      <c r="R35" s="524"/>
      <c r="S35" s="524"/>
      <c r="T35" s="524"/>
      <c r="U35" s="524"/>
      <c r="V35" s="524"/>
      <c r="W35" s="524"/>
      <c r="X35" s="524"/>
      <c r="Y35" s="524"/>
      <c r="Z35" s="524"/>
      <c r="AA35" s="524"/>
      <c r="AB35" s="524"/>
      <c r="AC35" s="524"/>
      <c r="AD35" s="524"/>
      <c r="AE35" s="524"/>
      <c r="AF35" s="524"/>
      <c r="AG35" s="524"/>
      <c r="AH35" s="524"/>
      <c r="AI35" s="524"/>
      <c r="AJ35" s="524"/>
      <c r="AK35" s="524"/>
      <c r="AL35" s="524"/>
      <c r="AM35" s="524"/>
      <c r="AN35" s="540"/>
      <c r="AO35" s="1"/>
      <c r="AP35" s="6"/>
      <c r="AQ35" s="6"/>
      <c r="AR35" s="6"/>
      <c r="AS35" s="4"/>
      <c r="AT35" s="1"/>
      <c r="AU35" s="4"/>
      <c r="AV35" s="6"/>
      <c r="AW35" s="4"/>
      <c r="AX35" s="1"/>
      <c r="AY35" s="1"/>
      <c r="AZ35" s="6"/>
      <c r="BC35" s="1"/>
    </row>
    <row r="36" spans="1:55" x14ac:dyDescent="0.2">
      <c r="A36" s="112" t="s">
        <v>116</v>
      </c>
      <c r="B36" s="113"/>
      <c r="C36" s="222"/>
      <c r="D36" s="206"/>
      <c r="E36" s="114"/>
      <c r="F36" s="114"/>
      <c r="G36" s="114"/>
      <c r="H36" s="114"/>
      <c r="I36" s="115"/>
      <c r="J36" s="111" t="s">
        <v>117</v>
      </c>
      <c r="AL36" s="116"/>
      <c r="AM36" s="5"/>
      <c r="AN36" s="127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5" x14ac:dyDescent="0.2">
      <c r="A37" s="111" t="s">
        <v>118</v>
      </c>
      <c r="B37" s="1"/>
      <c r="I37" s="110"/>
      <c r="J37" s="111" t="s">
        <v>119</v>
      </c>
      <c r="Q37" s="1" t="s">
        <v>120</v>
      </c>
      <c r="AL37" s="116"/>
      <c r="AM37" s="5"/>
      <c r="AN37" s="127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5" x14ac:dyDescent="0.2">
      <c r="A38" s="111"/>
      <c r="B38" s="1"/>
      <c r="I38" s="110"/>
      <c r="J38" s="111"/>
      <c r="AL38" s="117" t="s">
        <v>121</v>
      </c>
      <c r="AM38" s="118"/>
      <c r="AN38" s="128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5" x14ac:dyDescent="0.2">
      <c r="A39" s="205"/>
      <c r="I39" s="110"/>
      <c r="J39" s="111"/>
      <c r="Q39" s="1" t="s">
        <v>122</v>
      </c>
      <c r="AL39" s="117" t="s">
        <v>123</v>
      </c>
      <c r="AM39" s="118"/>
      <c r="AN39" s="128"/>
      <c r="AO39" s="1"/>
      <c r="AP39" s="6"/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  <row r="40" spans="1:55" x14ac:dyDescent="0.2">
      <c r="A40" s="534" t="s">
        <v>124</v>
      </c>
      <c r="B40" s="535"/>
      <c r="C40" s="535"/>
      <c r="D40" s="1"/>
      <c r="H40" s="119"/>
      <c r="I40" s="110"/>
      <c r="J40" s="525" t="s">
        <v>125</v>
      </c>
      <c r="K40" s="526"/>
      <c r="L40" s="526"/>
      <c r="M40" s="526"/>
      <c r="P40" s="120"/>
      <c r="Q40" s="120" t="s">
        <v>126</v>
      </c>
      <c r="R40" s="120"/>
      <c r="S40" s="120"/>
      <c r="T40" s="120"/>
      <c r="U40" s="120"/>
      <c r="V40" s="120"/>
      <c r="W40" s="120"/>
      <c r="X40" s="121"/>
      <c r="Y40" s="120"/>
      <c r="Z40" s="120"/>
      <c r="AL40" s="117" t="s">
        <v>127</v>
      </c>
      <c r="AM40" s="118"/>
      <c r="AN40" s="128"/>
      <c r="AO40" s="1"/>
      <c r="AP40" s="6"/>
      <c r="AQ40" s="6"/>
      <c r="AR40" s="6"/>
      <c r="AS40" s="4"/>
      <c r="AT40" s="1"/>
      <c r="AU40" s="4"/>
      <c r="AV40" s="6"/>
      <c r="AW40" s="4"/>
      <c r="AX40" s="1"/>
      <c r="AY40" s="1"/>
      <c r="AZ40" s="6"/>
      <c r="BC40" s="1"/>
    </row>
    <row r="41" spans="1:55" x14ac:dyDescent="0.2">
      <c r="A41" s="534" t="s">
        <v>128</v>
      </c>
      <c r="B41" s="535"/>
      <c r="C41" s="535"/>
      <c r="D41" s="1"/>
      <c r="H41" s="543" t="s">
        <v>129</v>
      </c>
      <c r="I41" s="544"/>
      <c r="J41" s="534" t="s">
        <v>130</v>
      </c>
      <c r="K41" s="535"/>
      <c r="L41" s="535"/>
      <c r="M41" s="535"/>
      <c r="P41" s="543" t="s">
        <v>131</v>
      </c>
      <c r="Q41" s="543"/>
      <c r="R41" s="543"/>
      <c r="S41" s="543"/>
      <c r="T41" s="543"/>
      <c r="U41" s="543"/>
      <c r="V41" s="543"/>
      <c r="W41" s="543"/>
      <c r="X41" s="543"/>
      <c r="Y41" s="543"/>
      <c r="Z41" s="543"/>
      <c r="AL41" s="117" t="s">
        <v>123</v>
      </c>
      <c r="AM41" s="118"/>
      <c r="AN41" s="128"/>
      <c r="AO41" s="1"/>
      <c r="AP41" s="6"/>
      <c r="AQ41" s="6"/>
      <c r="AR41" s="6"/>
      <c r="AS41" s="4"/>
      <c r="AT41" s="1"/>
      <c r="AU41" s="4"/>
      <c r="AV41" s="6"/>
      <c r="AW41" s="4"/>
      <c r="AX41" s="1"/>
      <c r="AY41" s="1"/>
      <c r="AZ41" s="6"/>
      <c r="BC41" s="1"/>
    </row>
    <row r="42" spans="1:55" ht="22.5" customHeight="1" thickBot="1" x14ac:dyDescent="0.25">
      <c r="A42" s="541" t="s">
        <v>189</v>
      </c>
      <c r="B42" s="542"/>
      <c r="C42" s="542"/>
      <c r="D42" s="122"/>
      <c r="E42" s="122"/>
      <c r="F42" s="122"/>
      <c r="G42" s="122"/>
      <c r="H42" s="122"/>
      <c r="I42" s="123"/>
      <c r="J42" s="523" t="s">
        <v>132</v>
      </c>
      <c r="K42" s="524"/>
      <c r="L42" s="524"/>
      <c r="M42" s="524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4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5"/>
      <c r="AM42" s="124"/>
      <c r="AN42" s="129"/>
      <c r="AO42" s="1"/>
      <c r="AP42" s="6"/>
      <c r="AQ42" s="6"/>
      <c r="AR42" s="6"/>
      <c r="AS42" s="4"/>
      <c r="AT42" s="1"/>
      <c r="AU42" s="4"/>
      <c r="AV42" s="6"/>
      <c r="AW42" s="4"/>
      <c r="AX42" s="1"/>
      <c r="AY42" s="1"/>
      <c r="AZ42" s="6"/>
      <c r="BC42" s="1"/>
    </row>
  </sheetData>
  <autoFilter ref="A8:AU28"/>
  <mergeCells count="20">
    <mergeCell ref="A42:C42"/>
    <mergeCell ref="J42:M42"/>
    <mergeCell ref="A40:C40"/>
    <mergeCell ref="J40:M40"/>
    <mergeCell ref="A41:C41"/>
    <mergeCell ref="H41:I41"/>
    <mergeCell ref="J41:M41"/>
    <mergeCell ref="P41:Z41"/>
    <mergeCell ref="A33:F33"/>
    <mergeCell ref="J33:AN33"/>
    <mergeCell ref="A34:F34"/>
    <mergeCell ref="J34:AN34"/>
    <mergeCell ref="A35:F35"/>
    <mergeCell ref="J35:AN35"/>
    <mergeCell ref="A7:T7"/>
    <mergeCell ref="A1:AN1"/>
    <mergeCell ref="A2:AN2"/>
    <mergeCell ref="A3:AN3"/>
    <mergeCell ref="A4:AN4"/>
    <mergeCell ref="A5:AN5"/>
  </mergeCells>
  <conditionalFormatting sqref="B39 B30:B32">
    <cfRule type="duplicateValues" dxfId="23" priority="56"/>
  </conditionalFormatting>
  <conditionalFormatting sqref="B43:B1048576 B8">
    <cfRule type="duplicateValues" dxfId="22" priority="65"/>
  </conditionalFormatting>
  <conditionalFormatting sqref="B9">
    <cfRule type="duplicateValues" dxfId="21" priority="1715"/>
  </conditionalFormatting>
  <conditionalFormatting sqref="B28 B9">
    <cfRule type="duplicateValues" dxfId="20" priority="1716"/>
  </conditionalFormatting>
  <conditionalFormatting sqref="B11">
    <cfRule type="duplicateValues" dxfId="19" priority="20"/>
  </conditionalFormatting>
  <conditionalFormatting sqref="B10">
    <cfRule type="duplicateValues" dxfId="18" priority="19"/>
  </conditionalFormatting>
  <conditionalFormatting sqref="B12">
    <cfRule type="duplicateValues" dxfId="17" priority="18"/>
  </conditionalFormatting>
  <conditionalFormatting sqref="B13">
    <cfRule type="duplicateValues" dxfId="16" priority="17"/>
  </conditionalFormatting>
  <conditionalFormatting sqref="B14">
    <cfRule type="duplicateValues" dxfId="15" priority="16"/>
  </conditionalFormatting>
  <conditionalFormatting sqref="B15">
    <cfRule type="duplicateValues" dxfId="14" priority="13"/>
  </conditionalFormatting>
  <conditionalFormatting sqref="B15">
    <cfRule type="duplicateValues" dxfId="13" priority="14"/>
  </conditionalFormatting>
  <conditionalFormatting sqref="B15">
    <cfRule type="duplicateValues" dxfId="12" priority="15"/>
  </conditionalFormatting>
  <conditionalFormatting sqref="B16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9" priority="10"/>
  </conditionalFormatting>
  <conditionalFormatting sqref="B20">
    <cfRule type="duplicateValues" dxfId="8" priority="9"/>
  </conditionalFormatting>
  <conditionalFormatting sqref="B21">
    <cfRule type="duplicateValues" dxfId="7" priority="8"/>
  </conditionalFormatting>
  <conditionalFormatting sqref="B19">
    <cfRule type="duplicateValues" dxfId="6" priority="7"/>
  </conditionalFormatting>
  <conditionalFormatting sqref="B22">
    <cfRule type="duplicateValues" dxfId="5" priority="6"/>
  </conditionalFormatting>
  <conditionalFormatting sqref="B23">
    <cfRule type="duplicateValues" dxfId="4" priority="5"/>
  </conditionalFormatting>
  <conditionalFormatting sqref="B24">
    <cfRule type="duplicateValues" dxfId="3" priority="4"/>
  </conditionalFormatting>
  <conditionalFormatting sqref="B25">
    <cfRule type="duplicateValues" dxfId="2" priority="3"/>
  </conditionalFormatting>
  <conditionalFormatting sqref="B26">
    <cfRule type="duplicateValues" dxfId="1" priority="2"/>
  </conditionalFormatting>
  <conditionalFormatting sqref="B27">
    <cfRule type="duplicateValues" dxfId="0" priority="1"/>
  </conditionalFormatting>
  <pageMargins left="0.2" right="0.2" top="0.2" bottom="0.45" header="0" footer="0"/>
  <pageSetup paperSize="119" scale="65" orientation="landscape" blackAndWhite="1" errors="NA" r:id="rId1"/>
  <headerFooter scaleWithDoc="0"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OB-R-NDP</vt:lpstr>
      <vt:lpstr>OB-R-Midwives</vt:lpstr>
      <vt:lpstr>OB-R MTDP,PDP,DDP&amp;PTDP</vt:lpstr>
      <vt:lpstr>NDP</vt:lpstr>
      <vt:lpstr>RHMPP</vt:lpstr>
      <vt:lpstr>MTDP, PDP,DDP &amp; PTDP</vt:lpstr>
      <vt:lpstr>Resigned 2023</vt:lpstr>
      <vt:lpstr>Salary</vt:lpstr>
      <vt:lpstr>Resigned</vt:lpstr>
      <vt:lpstr>'MTDP, PDP,DDP &amp; PTDP'!Print_Area</vt:lpstr>
      <vt:lpstr>NDP!Print_Area</vt:lpstr>
      <vt:lpstr>'OB-R MTDP,PDP,DDP&amp;PTDP'!Print_Area</vt:lpstr>
      <vt:lpstr>'OB-R-Midwives'!Print_Area</vt:lpstr>
      <vt:lpstr>'OB-R-NDP'!Print_Area</vt:lpstr>
      <vt:lpstr>Resigned!Print_Area</vt:lpstr>
      <vt:lpstr>'Resigned 2023'!Print_Area</vt:lpstr>
      <vt:lpstr>RHMPP!Print_Area</vt:lpstr>
      <vt:lpstr>Salary!Print_Area</vt:lpstr>
      <vt:lpstr>'MTDP, PDP,DDP &amp; PTDP'!Print_Titles</vt:lpstr>
      <vt:lpstr>NDP!Print_Titles</vt:lpstr>
      <vt:lpstr>Resigned!Print_Titles</vt:lpstr>
      <vt:lpstr>'Resigned 2023'!Print_Titles</vt:lpstr>
      <vt:lpstr>RHMPP!Print_Titles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Doh</cp:lastModifiedBy>
  <cp:lastPrinted>2023-06-23T18:40:06Z</cp:lastPrinted>
  <dcterms:created xsi:type="dcterms:W3CDTF">2015-10-20T00:34:46Z</dcterms:created>
  <dcterms:modified xsi:type="dcterms:W3CDTF">2023-06-23T21:04:55Z</dcterms:modified>
</cp:coreProperties>
</file>