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LOCOS NORTE PAYROLL\SALARY\2023\"/>
    </mc:Choice>
  </mc:AlternateContent>
  <bookViews>
    <workbookView xWindow="-120" yWindow="-120" windowWidth="20730" windowHeight="11040" tabRatio="756" activeTab="5"/>
  </bookViews>
  <sheets>
    <sheet name="OB-R-NDP" sheetId="39" r:id="rId1"/>
    <sheet name="OB-R-Midwives" sheetId="46" r:id="rId2"/>
    <sheet name="OB-R-PDP MTDP" sheetId="63" r:id="rId3"/>
    <sheet name="NDP" sheetId="68" r:id="rId4"/>
    <sheet name="RHMPP" sheetId="52" r:id="rId5"/>
    <sheet name="PDP MTDP..." sheetId="67" r:id="rId6"/>
    <sheet name="Salary" sheetId="15" r:id="rId7"/>
  </sheets>
  <externalReferences>
    <externalReference r:id="rId8"/>
    <externalReference r:id="rId9"/>
  </externalReferences>
  <definedNames>
    <definedName name="_xlnm._FilterDatabase" localSheetId="3" hidden="1">NDP!$A$8:$AU$80</definedName>
    <definedName name="_xlnm._FilterDatabase" localSheetId="5" hidden="1">'PDP MTDP...'!$A$8:$AU$25</definedName>
    <definedName name="_xlnm._FilterDatabase" localSheetId="4" hidden="1">RHMPP!$A$8:$AU$28</definedName>
    <definedName name="list">[1]ETD!$E$200:$G$227</definedName>
    <definedName name="_xlnm.Print_Area" localSheetId="3">NDP!$A$1:$AN$93</definedName>
    <definedName name="_xlnm.Print_Area" localSheetId="1">'OB-R-Midwives'!$A$1:$M$64</definedName>
    <definedName name="_xlnm.Print_Area" localSheetId="0">'OB-R-NDP'!$A$1:$M$63</definedName>
    <definedName name="_xlnm.Print_Area" localSheetId="2">'OB-R-PDP MTDP'!$A$1:$M$63</definedName>
    <definedName name="_xlnm.Print_Area" localSheetId="5">'PDP MTDP...'!$A$1:$AN$38</definedName>
    <definedName name="_xlnm.Print_Area" localSheetId="4">RHMPP!$A$1:$AO$43</definedName>
    <definedName name="_xlnm.Print_Area" localSheetId="6">Salary!$A$1:$AA$25</definedName>
    <definedName name="_xlnm.Print_Titles" localSheetId="3">NDP!$1:$8</definedName>
    <definedName name="_xlnm.Print_Titles" localSheetId="5">'PDP MTDP...'!$1:$7</definedName>
    <definedName name="_xlnm.Print_Titles" localSheetId="4">RHMPP!$1:$7</definedName>
  </definedNames>
  <calcPr calcId="162913"/>
</workbook>
</file>

<file path=xl/calcChain.xml><?xml version="1.0" encoding="utf-8"?>
<calcChain xmlns="http://schemas.openxmlformats.org/spreadsheetml/2006/main">
  <c r="M13" i="67" l="1"/>
  <c r="M17" i="67"/>
  <c r="M23" i="67"/>
  <c r="E29" i="52"/>
  <c r="N78" i="68"/>
  <c r="H79" i="68"/>
  <c r="E78" i="68"/>
  <c r="F78" i="68"/>
  <c r="G78" i="68"/>
  <c r="H78" i="68"/>
  <c r="I78" i="68"/>
  <c r="J78" i="68"/>
  <c r="K78" i="68"/>
  <c r="L78" i="68"/>
  <c r="M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AG78" i="68"/>
  <c r="AH78" i="68"/>
  <c r="AI78" i="68"/>
  <c r="AJ78" i="68"/>
  <c r="AK78" i="68"/>
  <c r="AL78" i="68"/>
  <c r="AM78" i="68"/>
  <c r="AN78" i="68"/>
  <c r="AO78" i="68"/>
  <c r="AP78" i="68"/>
  <c r="AQ78" i="68"/>
  <c r="AR78" i="68"/>
  <c r="AS78" i="68"/>
  <c r="AT78" i="68"/>
  <c r="AU78" i="68"/>
  <c r="AV78" i="68"/>
  <c r="AW78" i="68"/>
  <c r="AX78" i="68"/>
  <c r="AY78" i="68"/>
  <c r="AZ78" i="68"/>
  <c r="BA78" i="68"/>
  <c r="BB78" i="68"/>
  <c r="BC78" i="68"/>
  <c r="BD78" i="68"/>
  <c r="M72" i="68"/>
  <c r="M50" i="68"/>
  <c r="M29" i="68"/>
  <c r="M24" i="67" l="1"/>
  <c r="N72" i="68" l="1"/>
  <c r="Q72" i="68"/>
  <c r="R72" i="68"/>
  <c r="S72" i="68"/>
  <c r="T72" i="68"/>
  <c r="U72" i="68"/>
  <c r="V72" i="68"/>
  <c r="W72" i="68"/>
  <c r="X72" i="68"/>
  <c r="Y72" i="68"/>
  <c r="AA72" i="68"/>
  <c r="AB72" i="68"/>
  <c r="AC72" i="68"/>
  <c r="AD72" i="68"/>
  <c r="AE72" i="68"/>
  <c r="AF72" i="68"/>
  <c r="AG72" i="68"/>
  <c r="AH72" i="68"/>
  <c r="AI72" i="68"/>
  <c r="AJ72" i="68"/>
  <c r="AK72" i="68"/>
  <c r="AN72" i="68"/>
  <c r="AO72" i="68"/>
  <c r="AP72" i="68"/>
  <c r="AS72" i="68"/>
  <c r="AT72" i="68"/>
  <c r="AV72" i="68"/>
  <c r="AX72" i="68"/>
  <c r="AY72" i="68"/>
  <c r="AZ72" i="68"/>
  <c r="BA72" i="68"/>
  <c r="BD72" i="68"/>
  <c r="E72" i="68"/>
  <c r="E24" i="67" l="1"/>
  <c r="E23" i="67"/>
  <c r="F29" i="52"/>
  <c r="G29" i="52"/>
  <c r="H29" i="52"/>
  <c r="I29" i="52"/>
  <c r="K29" i="52"/>
  <c r="L29" i="52"/>
  <c r="N29" i="52"/>
  <c r="O29" i="52"/>
  <c r="P29" i="52"/>
  <c r="Q29" i="52"/>
  <c r="R29" i="52"/>
  <c r="S29" i="52"/>
  <c r="T29" i="52"/>
  <c r="U29" i="52"/>
  <c r="V29" i="52"/>
  <c r="W29" i="52"/>
  <c r="X29" i="52"/>
  <c r="Y29" i="52"/>
  <c r="Z29" i="52"/>
  <c r="AA29" i="52"/>
  <c r="AB29" i="52"/>
  <c r="AC29" i="52"/>
  <c r="AD29" i="52"/>
  <c r="AE29" i="52"/>
  <c r="AF29" i="52"/>
  <c r="AG29" i="52"/>
  <c r="AH29" i="52"/>
  <c r="AI29" i="52"/>
  <c r="AJ29" i="52"/>
  <c r="AK29" i="52"/>
  <c r="AN29" i="52"/>
  <c r="AO29" i="52"/>
  <c r="AP29" i="52"/>
  <c r="AQ29" i="52"/>
  <c r="AS29" i="52"/>
  <c r="AT29" i="52"/>
  <c r="AU29" i="52"/>
  <c r="AV29" i="52"/>
  <c r="AW29" i="52"/>
  <c r="AX29" i="52"/>
  <c r="AY29" i="52"/>
  <c r="AZ29" i="52"/>
  <c r="BA29" i="52"/>
  <c r="BC29" i="52"/>
  <c r="BD29" i="52"/>
  <c r="BC77" i="68" l="1"/>
  <c r="BB77" i="68"/>
  <c r="AW77" i="68"/>
  <c r="AU77" i="68"/>
  <c r="AQ77" i="68"/>
  <c r="H77" i="68"/>
  <c r="Z77" i="68" s="1"/>
  <c r="BC76" i="68"/>
  <c r="BB76" i="68"/>
  <c r="AW76" i="68"/>
  <c r="AU76" i="68"/>
  <c r="AQ76" i="68"/>
  <c r="H76" i="68"/>
  <c r="N50" i="68"/>
  <c r="Q50" i="68"/>
  <c r="R50" i="68"/>
  <c r="S50" i="68"/>
  <c r="T50" i="68"/>
  <c r="U50" i="68"/>
  <c r="V50" i="68"/>
  <c r="W50" i="68"/>
  <c r="X50" i="68"/>
  <c r="Y50" i="68"/>
  <c r="AA50" i="68"/>
  <c r="AB50" i="68"/>
  <c r="AC50" i="68"/>
  <c r="AD50" i="68"/>
  <c r="AE50" i="68"/>
  <c r="AF50" i="68"/>
  <c r="AG50" i="68"/>
  <c r="AH50" i="68"/>
  <c r="AI50" i="68"/>
  <c r="AJ50" i="68"/>
  <c r="AK50" i="68"/>
  <c r="AN50" i="68"/>
  <c r="AO50" i="68"/>
  <c r="AP50" i="68"/>
  <c r="AS50" i="68"/>
  <c r="AT50" i="68"/>
  <c r="AV50" i="68"/>
  <c r="AX50" i="68"/>
  <c r="AY50" i="68"/>
  <c r="AZ50" i="68"/>
  <c r="BA50" i="68"/>
  <c r="BD50" i="68"/>
  <c r="E50" i="68"/>
  <c r="N29" i="68"/>
  <c r="Q29" i="68"/>
  <c r="R29" i="68"/>
  <c r="S29" i="68"/>
  <c r="T29" i="68"/>
  <c r="U29" i="68"/>
  <c r="V29" i="68"/>
  <c r="W29" i="68"/>
  <c r="X29" i="68"/>
  <c r="Y29" i="68"/>
  <c r="AA29" i="68"/>
  <c r="AB29" i="68"/>
  <c r="AC29" i="68"/>
  <c r="AD29" i="68"/>
  <c r="AE29" i="68"/>
  <c r="AF29" i="68"/>
  <c r="AG29" i="68"/>
  <c r="AH29" i="68"/>
  <c r="AI29" i="68"/>
  <c r="AJ29" i="68"/>
  <c r="AK29" i="68"/>
  <c r="AN29" i="68"/>
  <c r="AO29" i="68"/>
  <c r="AP29" i="68"/>
  <c r="AS29" i="68"/>
  <c r="AT29" i="68"/>
  <c r="AV29" i="68"/>
  <c r="AX29" i="68"/>
  <c r="AY29" i="68"/>
  <c r="AZ29" i="68"/>
  <c r="BA29" i="68"/>
  <c r="BD29" i="68"/>
  <c r="E29" i="68"/>
  <c r="AP79" i="68" l="1"/>
  <c r="AJ79" i="68"/>
  <c r="AF79" i="68"/>
  <c r="AB79" i="68"/>
  <c r="W79" i="68"/>
  <c r="S79" i="68"/>
  <c r="J76" i="68"/>
  <c r="AS79" i="68"/>
  <c r="AK79" i="68"/>
  <c r="AG79" i="68"/>
  <c r="AC79" i="68"/>
  <c r="X79" i="68"/>
  <c r="T79" i="68"/>
  <c r="AY79" i="68"/>
  <c r="E79" i="68"/>
  <c r="P76" i="68"/>
  <c r="AI79" i="68"/>
  <c r="AE79" i="68"/>
  <c r="AA79" i="68"/>
  <c r="V79" i="68"/>
  <c r="R79" i="68"/>
  <c r="AZ79" i="68"/>
  <c r="AT79" i="68"/>
  <c r="AH79" i="68"/>
  <c r="AD79" i="68"/>
  <c r="Y79" i="68"/>
  <c r="U79" i="68"/>
  <c r="Q79" i="68"/>
  <c r="BA79" i="68"/>
  <c r="AV79" i="68"/>
  <c r="AO79" i="68"/>
  <c r="BD79" i="68"/>
  <c r="AX79" i="68"/>
  <c r="F76" i="68"/>
  <c r="AN79" i="68"/>
  <c r="N79" i="68"/>
  <c r="L77" i="68"/>
  <c r="G76" i="68"/>
  <c r="K76" i="68"/>
  <c r="Z76" i="68"/>
  <c r="I77" i="68"/>
  <c r="L76" i="68"/>
  <c r="F77" i="68"/>
  <c r="J77" i="68"/>
  <c r="P77" i="68"/>
  <c r="AL77" i="68" s="1"/>
  <c r="I76" i="68"/>
  <c r="G77" i="68"/>
  <c r="K77" i="68"/>
  <c r="O14" i="52"/>
  <c r="H14" i="52"/>
  <c r="F14" i="52" s="1"/>
  <c r="AQ14" i="52"/>
  <c r="AU14" i="52"/>
  <c r="AW14" i="52"/>
  <c r="BB14" i="52"/>
  <c r="BC14" i="52"/>
  <c r="M77" i="68" l="1"/>
  <c r="AM77" i="68" s="1"/>
  <c r="AR77" i="68" s="1"/>
  <c r="M76" i="68"/>
  <c r="AL76" i="68"/>
  <c r="AM76" i="68" s="1"/>
  <c r="AR76" i="68" s="1"/>
  <c r="G14" i="52"/>
  <c r="I14" i="52"/>
  <c r="L14" i="52"/>
  <c r="Z14" i="52"/>
  <c r="K14" i="52"/>
  <c r="P14" i="52"/>
  <c r="J14" i="52"/>
  <c r="AL14" i="52" l="1"/>
  <c r="M14" i="52"/>
  <c r="AM14" i="52" l="1"/>
  <c r="AR14" i="52" s="1"/>
  <c r="P19" i="63" l="1"/>
  <c r="E17" i="67" l="1"/>
  <c r="BC27" i="52"/>
  <c r="BB27" i="52"/>
  <c r="AW27" i="52"/>
  <c r="AU27" i="52"/>
  <c r="AQ27" i="52"/>
  <c r="O27" i="52"/>
  <c r="H27" i="52"/>
  <c r="Z27" i="52" s="1"/>
  <c r="E13" i="67"/>
  <c r="Q24" i="67"/>
  <c r="R24" i="67"/>
  <c r="S24" i="67"/>
  <c r="T24" i="67"/>
  <c r="U24" i="67"/>
  <c r="V24" i="67"/>
  <c r="W24" i="67"/>
  <c r="X24" i="67"/>
  <c r="Y24" i="67"/>
  <c r="AA24" i="67"/>
  <c r="AB24" i="67"/>
  <c r="AC24" i="67"/>
  <c r="AD24" i="67"/>
  <c r="AE24" i="67"/>
  <c r="AF24" i="67"/>
  <c r="AG24" i="67"/>
  <c r="AH24" i="67"/>
  <c r="AI24" i="67"/>
  <c r="AJ24" i="67"/>
  <c r="AK24" i="67"/>
  <c r="AO24" i="67"/>
  <c r="AP24" i="67"/>
  <c r="AQ24" i="67"/>
  <c r="AS24" i="67"/>
  <c r="AT24" i="67"/>
  <c r="AV24" i="67"/>
  <c r="AW24" i="67"/>
  <c r="AX24" i="67"/>
  <c r="AY24" i="67"/>
  <c r="AZ24" i="67"/>
  <c r="BA24" i="67"/>
  <c r="BC24" i="67"/>
  <c r="BE24" i="67"/>
  <c r="N17" i="67"/>
  <c r="Q17" i="67"/>
  <c r="R17" i="67"/>
  <c r="S17" i="67"/>
  <c r="T17" i="67"/>
  <c r="U17" i="67"/>
  <c r="V17" i="67"/>
  <c r="W17" i="67"/>
  <c r="X17" i="67"/>
  <c r="Y17" i="67"/>
  <c r="AA17" i="67"/>
  <c r="AB17" i="67"/>
  <c r="AC17" i="67"/>
  <c r="AD17" i="67"/>
  <c r="AE17" i="67"/>
  <c r="AF17" i="67"/>
  <c r="AG17" i="67"/>
  <c r="AH17" i="67"/>
  <c r="AI17" i="67"/>
  <c r="AJ17" i="67"/>
  <c r="AK17" i="67"/>
  <c r="AN17" i="67"/>
  <c r="AO17" i="67"/>
  <c r="AP17" i="67"/>
  <c r="AQ17" i="67"/>
  <c r="AS17" i="67"/>
  <c r="AT17" i="67"/>
  <c r="AV17" i="67"/>
  <c r="AW17" i="67"/>
  <c r="AX17" i="67"/>
  <c r="AY17" i="67"/>
  <c r="AZ17" i="67"/>
  <c r="BA17" i="67"/>
  <c r="BB17" i="67"/>
  <c r="BC17" i="67"/>
  <c r="BD17" i="67"/>
  <c r="I27" i="52" l="1"/>
  <c r="F27" i="52"/>
  <c r="J27" i="52"/>
  <c r="G27" i="52"/>
  <c r="K27" i="52"/>
  <c r="P27" i="52"/>
  <c r="AL27" i="52" s="1"/>
  <c r="L27" i="52"/>
  <c r="BC16" i="67"/>
  <c r="BB16" i="67"/>
  <c r="AW16" i="67"/>
  <c r="AU16" i="67"/>
  <c r="AQ16" i="67"/>
  <c r="O16" i="67"/>
  <c r="H16" i="67"/>
  <c r="Z16" i="67" s="1"/>
  <c r="M27" i="52" l="1"/>
  <c r="AM27" i="52" s="1"/>
  <c r="AR27" i="52" s="1"/>
  <c r="I16" i="67"/>
  <c r="F16" i="67"/>
  <c r="J16" i="67"/>
  <c r="G16" i="67"/>
  <c r="K16" i="67"/>
  <c r="P16" i="67"/>
  <c r="AL16" i="67" s="1"/>
  <c r="L16" i="67"/>
  <c r="M16" i="67" l="1"/>
  <c r="AM16" i="67" s="1"/>
  <c r="AR16" i="67" s="1"/>
  <c r="N23" i="67"/>
  <c r="Q23" i="67"/>
  <c r="R23" i="67"/>
  <c r="S23" i="67"/>
  <c r="T23" i="67"/>
  <c r="U23" i="67"/>
  <c r="V23" i="67"/>
  <c r="W23" i="67"/>
  <c r="X23" i="67"/>
  <c r="Y23" i="67"/>
  <c r="AA23" i="67"/>
  <c r="AB23" i="67"/>
  <c r="AC23" i="67"/>
  <c r="AD23" i="67"/>
  <c r="AE23" i="67"/>
  <c r="AF23" i="67"/>
  <c r="AG23" i="67"/>
  <c r="AH23" i="67"/>
  <c r="AI23" i="67"/>
  <c r="AJ23" i="67"/>
  <c r="AK23" i="67"/>
  <c r="AN23" i="67"/>
  <c r="AO23" i="67"/>
  <c r="AP23" i="67"/>
  <c r="AS23" i="67"/>
  <c r="AT23" i="67"/>
  <c r="AV23" i="67"/>
  <c r="AX23" i="67"/>
  <c r="AY23" i="67"/>
  <c r="AZ23" i="67"/>
  <c r="BA23" i="67"/>
  <c r="BD23" i="67"/>
  <c r="N13" i="67"/>
  <c r="N24" i="67" s="1"/>
  <c r="Q13" i="67"/>
  <c r="R13" i="67"/>
  <c r="S13" i="67"/>
  <c r="T13" i="67"/>
  <c r="U13" i="67"/>
  <c r="V13" i="67"/>
  <c r="W13" i="67"/>
  <c r="X13" i="67"/>
  <c r="Y13" i="67"/>
  <c r="AA13" i="67"/>
  <c r="AB13" i="67"/>
  <c r="AC13" i="67"/>
  <c r="AD13" i="67"/>
  <c r="AE13" i="67"/>
  <c r="AF13" i="67"/>
  <c r="AG13" i="67"/>
  <c r="AH13" i="67"/>
  <c r="AI13" i="67"/>
  <c r="AJ13" i="67"/>
  <c r="AK13" i="67"/>
  <c r="AN13" i="67"/>
  <c r="AO13" i="67"/>
  <c r="AP13" i="67"/>
  <c r="AS13" i="67"/>
  <c r="AT13" i="67"/>
  <c r="AV13" i="67"/>
  <c r="AX13" i="67"/>
  <c r="AY13" i="67"/>
  <c r="AZ13" i="67"/>
  <c r="BA13" i="67"/>
  <c r="BD13" i="67"/>
  <c r="BD24" i="67" l="1"/>
  <c r="AN24" i="67"/>
  <c r="O22" i="67"/>
  <c r="BC22" i="67"/>
  <c r="BB22" i="67"/>
  <c r="AW22" i="67"/>
  <c r="AU22" i="67"/>
  <c r="AQ22" i="67"/>
  <c r="H22" i="67"/>
  <c r="P22" i="67" s="1"/>
  <c r="BC21" i="67"/>
  <c r="BC23" i="67" s="1"/>
  <c r="BB21" i="67"/>
  <c r="AW21" i="67"/>
  <c r="AU21" i="67"/>
  <c r="AQ21" i="67"/>
  <c r="AQ23" i="67" s="1"/>
  <c r="O21" i="67"/>
  <c r="O23" i="67" s="1"/>
  <c r="H21" i="67"/>
  <c r="AU23" i="67" l="1"/>
  <c r="AW23" i="67"/>
  <c r="H23" i="67"/>
  <c r="BB23" i="67"/>
  <c r="P21" i="67"/>
  <c r="P23" i="67" s="1"/>
  <c r="J21" i="67"/>
  <c r="K21" i="67"/>
  <c r="G21" i="67"/>
  <c r="L21" i="67"/>
  <c r="Z21" i="67"/>
  <c r="I22" i="67"/>
  <c r="I21" i="67"/>
  <c r="I23" i="67" s="1"/>
  <c r="F22" i="67"/>
  <c r="J22" i="67"/>
  <c r="L22" i="67"/>
  <c r="Z22" i="67"/>
  <c r="AL22" i="67" s="1"/>
  <c r="F21" i="67"/>
  <c r="F23" i="67" s="1"/>
  <c r="G22" i="67"/>
  <c r="K22" i="67"/>
  <c r="Z23" i="67" l="1"/>
  <c r="L23" i="67"/>
  <c r="G23" i="67"/>
  <c r="J23" i="67"/>
  <c r="K23" i="67"/>
  <c r="AL21" i="67"/>
  <c r="AL23" i="67" s="1"/>
  <c r="M21" i="67"/>
  <c r="M22" i="67"/>
  <c r="AM22" i="67" s="1"/>
  <c r="AR22" i="67" s="1"/>
  <c r="BC75" i="68"/>
  <c r="BB75" i="68"/>
  <c r="AW75" i="68"/>
  <c r="AU75" i="68"/>
  <c r="AQ75" i="68"/>
  <c r="H75" i="68"/>
  <c r="Z75" i="68" s="1"/>
  <c r="BC74" i="68"/>
  <c r="BB74" i="68"/>
  <c r="AW74" i="68"/>
  <c r="AU74" i="68"/>
  <c r="AQ74" i="68"/>
  <c r="H74" i="68"/>
  <c r="BC73" i="68"/>
  <c r="BB73" i="68"/>
  <c r="AW73" i="68"/>
  <c r="AU73" i="68"/>
  <c r="AQ73" i="68"/>
  <c r="H73" i="68"/>
  <c r="BC71" i="68"/>
  <c r="BB71" i="68"/>
  <c r="AW71" i="68"/>
  <c r="AU71" i="68"/>
  <c r="AQ71" i="68"/>
  <c r="H71" i="68"/>
  <c r="BC70" i="68"/>
  <c r="BB70" i="68"/>
  <c r="AW70" i="68"/>
  <c r="AU70" i="68"/>
  <c r="AQ70" i="68"/>
  <c r="H70" i="68"/>
  <c r="BC69" i="68"/>
  <c r="BB69" i="68"/>
  <c r="AW69" i="68"/>
  <c r="AU69" i="68"/>
  <c r="AQ69" i="68"/>
  <c r="H69" i="68"/>
  <c r="BC68" i="68"/>
  <c r="BB68" i="68"/>
  <c r="AW68" i="68"/>
  <c r="AU68" i="68"/>
  <c r="AQ68" i="68"/>
  <c r="H68" i="68"/>
  <c r="I68" i="68" s="1"/>
  <c r="BC67" i="68"/>
  <c r="BB67" i="68"/>
  <c r="AW67" i="68"/>
  <c r="AU67" i="68"/>
  <c r="AQ67" i="68"/>
  <c r="H67" i="68"/>
  <c r="BC66" i="68"/>
  <c r="BB66" i="68"/>
  <c r="AW66" i="68"/>
  <c r="AU66" i="68"/>
  <c r="AQ66" i="68"/>
  <c r="O66" i="68"/>
  <c r="H66" i="68"/>
  <c r="F66" i="68" s="1"/>
  <c r="BC65" i="68"/>
  <c r="BB65" i="68"/>
  <c r="AW65" i="68"/>
  <c r="AU65" i="68"/>
  <c r="AQ65" i="68"/>
  <c r="O65" i="68"/>
  <c r="H65" i="68"/>
  <c r="Z65" i="68" s="1"/>
  <c r="BC62" i="68"/>
  <c r="BB62" i="68"/>
  <c r="AW62" i="68"/>
  <c r="AU62" i="68"/>
  <c r="AQ62" i="68"/>
  <c r="O62" i="68"/>
  <c r="H62" i="68"/>
  <c r="BC64" i="68"/>
  <c r="BB64" i="68"/>
  <c r="AW64" i="68"/>
  <c r="AU64" i="68"/>
  <c r="AQ64" i="68"/>
  <c r="O64" i="68"/>
  <c r="H64" i="68"/>
  <c r="F64" i="68" s="1"/>
  <c r="BC63" i="68"/>
  <c r="BB63" i="68"/>
  <c r="AW63" i="68"/>
  <c r="AU63" i="68"/>
  <c r="AQ63" i="68"/>
  <c r="O63" i="68"/>
  <c r="H63" i="68"/>
  <c r="BC61" i="68"/>
  <c r="BB61" i="68"/>
  <c r="AW61" i="68"/>
  <c r="AU61" i="68"/>
  <c r="AQ61" i="68"/>
  <c r="O61" i="68"/>
  <c r="H61" i="68"/>
  <c r="F61" i="68" s="1"/>
  <c r="BC60" i="68"/>
  <c r="BB60" i="68"/>
  <c r="AW60" i="68"/>
  <c r="AU60" i="68"/>
  <c r="AQ60" i="68"/>
  <c r="O60" i="68"/>
  <c r="H60" i="68"/>
  <c r="Z60" i="68" s="1"/>
  <c r="BC59" i="68"/>
  <c r="BB59" i="68"/>
  <c r="AW59" i="68"/>
  <c r="AU59" i="68"/>
  <c r="AQ59" i="68"/>
  <c r="O59" i="68"/>
  <c r="H59" i="68"/>
  <c r="F59" i="68" s="1"/>
  <c r="BC58" i="68"/>
  <c r="BB58" i="68"/>
  <c r="AW58" i="68"/>
  <c r="AU58" i="68"/>
  <c r="AQ58" i="68"/>
  <c r="O58" i="68"/>
  <c r="H58" i="68"/>
  <c r="Z58" i="68" s="1"/>
  <c r="BC57" i="68"/>
  <c r="BB57" i="68"/>
  <c r="AW57" i="68"/>
  <c r="AU57" i="68"/>
  <c r="AQ57" i="68"/>
  <c r="O57" i="68"/>
  <c r="H57" i="68"/>
  <c r="BC56" i="68"/>
  <c r="BB56" i="68"/>
  <c r="AW56" i="68"/>
  <c r="AU56" i="68"/>
  <c r="AQ56" i="68"/>
  <c r="O56" i="68"/>
  <c r="H56" i="68"/>
  <c r="BC55" i="68"/>
  <c r="BB55" i="68"/>
  <c r="AW55" i="68"/>
  <c r="AU55" i="68"/>
  <c r="AQ55" i="68"/>
  <c r="O55" i="68"/>
  <c r="H55" i="68"/>
  <c r="BC54" i="68"/>
  <c r="BB54" i="68"/>
  <c r="AW54" i="68"/>
  <c r="AU54" i="68"/>
  <c r="AQ54" i="68"/>
  <c r="O54" i="68"/>
  <c r="H54" i="68"/>
  <c r="Z54" i="68" s="1"/>
  <c r="BC53" i="68"/>
  <c r="BB53" i="68"/>
  <c r="AW53" i="68"/>
  <c r="AU53" i="68"/>
  <c r="AQ53" i="68"/>
  <c r="O53" i="68"/>
  <c r="H53" i="68"/>
  <c r="G53" i="68" s="1"/>
  <c r="BC52" i="68"/>
  <c r="BB52" i="68"/>
  <c r="AW52" i="68"/>
  <c r="AU52" i="68"/>
  <c r="AQ52" i="68"/>
  <c r="O52" i="68"/>
  <c r="H52" i="68"/>
  <c r="BC51" i="68"/>
  <c r="BB51" i="68"/>
  <c r="AW51" i="68"/>
  <c r="AW72" i="68" s="1"/>
  <c r="AU51" i="68"/>
  <c r="AQ51" i="68"/>
  <c r="O51" i="68"/>
  <c r="H51" i="68"/>
  <c r="BC13" i="68"/>
  <c r="BB13" i="68"/>
  <c r="AW13" i="68"/>
  <c r="AU13" i="68"/>
  <c r="AQ13" i="68"/>
  <c r="O13" i="68"/>
  <c r="H13" i="68"/>
  <c r="F13" i="68" s="1"/>
  <c r="BC49" i="68"/>
  <c r="BB49" i="68"/>
  <c r="AW49" i="68"/>
  <c r="AU49" i="68"/>
  <c r="AQ49" i="68"/>
  <c r="O49" i="68"/>
  <c r="H49" i="68"/>
  <c r="Z49" i="68" s="1"/>
  <c r="BC48" i="68"/>
  <c r="BB48" i="68"/>
  <c r="AW48" i="68"/>
  <c r="AU48" i="68"/>
  <c r="AQ48" i="68"/>
  <c r="O48" i="68"/>
  <c r="H48" i="68"/>
  <c r="BC47" i="68"/>
  <c r="BB47" i="68"/>
  <c r="AW47" i="68"/>
  <c r="AU47" i="68"/>
  <c r="AQ47" i="68"/>
  <c r="O47" i="68"/>
  <c r="H47" i="68"/>
  <c r="Z47" i="68" s="1"/>
  <c r="BC46" i="68"/>
  <c r="BB46" i="68"/>
  <c r="AW46" i="68"/>
  <c r="AU46" i="68"/>
  <c r="AQ46" i="68"/>
  <c r="O46" i="68"/>
  <c r="H46" i="68"/>
  <c r="BC45" i="68"/>
  <c r="BB45" i="68"/>
  <c r="AW45" i="68"/>
  <c r="AU45" i="68"/>
  <c r="AQ45" i="68"/>
  <c r="O45" i="68"/>
  <c r="H45" i="68"/>
  <c r="Z45" i="68" s="1"/>
  <c r="BC44" i="68"/>
  <c r="BB44" i="68"/>
  <c r="AW44" i="68"/>
  <c r="AU44" i="68"/>
  <c r="AQ44" i="68"/>
  <c r="O44" i="68"/>
  <c r="H44" i="68"/>
  <c r="F44" i="68" s="1"/>
  <c r="BC43" i="68"/>
  <c r="BB43" i="68"/>
  <c r="AW43" i="68"/>
  <c r="AU43" i="68"/>
  <c r="AQ43" i="68"/>
  <c r="O43" i="68"/>
  <c r="H43" i="68"/>
  <c r="BC42" i="68"/>
  <c r="BB42" i="68"/>
  <c r="AW42" i="68"/>
  <c r="AU42" i="68"/>
  <c r="AQ42" i="68"/>
  <c r="O42" i="68"/>
  <c r="H42" i="68"/>
  <c r="L42" i="68" s="1"/>
  <c r="BC41" i="68"/>
  <c r="BB41" i="68"/>
  <c r="AW41" i="68"/>
  <c r="AU41" i="68"/>
  <c r="AQ41" i="68"/>
  <c r="O41" i="68"/>
  <c r="H41" i="68"/>
  <c r="K41" i="68" s="1"/>
  <c r="BC40" i="68"/>
  <c r="BB40" i="68"/>
  <c r="AW40" i="68"/>
  <c r="AU40" i="68"/>
  <c r="AQ40" i="68"/>
  <c r="O40" i="68"/>
  <c r="H40" i="68"/>
  <c r="F40" i="68" s="1"/>
  <c r="BC39" i="68"/>
  <c r="BB39" i="68"/>
  <c r="AW39" i="68"/>
  <c r="AU39" i="68"/>
  <c r="AQ39" i="68"/>
  <c r="O39" i="68"/>
  <c r="H39" i="68"/>
  <c r="BC38" i="68"/>
  <c r="BB38" i="68"/>
  <c r="AW38" i="68"/>
  <c r="AU38" i="68"/>
  <c r="AQ38" i="68"/>
  <c r="O38" i="68"/>
  <c r="H38" i="68"/>
  <c r="BC37" i="68"/>
  <c r="BB37" i="68"/>
  <c r="AW37" i="68"/>
  <c r="AU37" i="68"/>
  <c r="AQ37" i="68"/>
  <c r="O37" i="68"/>
  <c r="H37" i="68"/>
  <c r="BC36" i="68"/>
  <c r="BB36" i="68"/>
  <c r="AW36" i="68"/>
  <c r="AU36" i="68"/>
  <c r="AQ36" i="68"/>
  <c r="O36" i="68"/>
  <c r="H36" i="68"/>
  <c r="BC35" i="68"/>
  <c r="BB35" i="68"/>
  <c r="AW35" i="68"/>
  <c r="AU35" i="68"/>
  <c r="AQ35" i="68"/>
  <c r="O35" i="68"/>
  <c r="H35" i="68"/>
  <c r="Z35" i="68" s="1"/>
  <c r="BC34" i="68"/>
  <c r="BB34" i="68"/>
  <c r="AW34" i="68"/>
  <c r="AU34" i="68"/>
  <c r="AQ34" i="68"/>
  <c r="O34" i="68"/>
  <c r="H34" i="68"/>
  <c r="Z34" i="68" s="1"/>
  <c r="BC33" i="68"/>
  <c r="BB33" i="68"/>
  <c r="AW33" i="68"/>
  <c r="AU33" i="68"/>
  <c r="AQ33" i="68"/>
  <c r="O33" i="68"/>
  <c r="H33" i="68"/>
  <c r="BC32" i="68"/>
  <c r="BB32" i="68"/>
  <c r="AW32" i="68"/>
  <c r="AU32" i="68"/>
  <c r="AQ32" i="68"/>
  <c r="O32" i="68"/>
  <c r="H32" i="68"/>
  <c r="Z32" i="68" s="1"/>
  <c r="BC31" i="68"/>
  <c r="BB31" i="68"/>
  <c r="AW31" i="68"/>
  <c r="AU31" i="68"/>
  <c r="AQ31" i="68"/>
  <c r="O31" i="68"/>
  <c r="H31" i="68"/>
  <c r="BC30" i="68"/>
  <c r="BB30" i="68"/>
  <c r="AW30" i="68"/>
  <c r="AU30" i="68"/>
  <c r="AQ30" i="68"/>
  <c r="O30" i="68"/>
  <c r="H30" i="68"/>
  <c r="BC28" i="68"/>
  <c r="BB28" i="68"/>
  <c r="AW28" i="68"/>
  <c r="AU28" i="68"/>
  <c r="AQ28" i="68"/>
  <c r="O28" i="68"/>
  <c r="H28" i="68"/>
  <c r="BC27" i="68"/>
  <c r="BB27" i="68"/>
  <c r="AW27" i="68"/>
  <c r="AU27" i="68"/>
  <c r="AQ27" i="68"/>
  <c r="O27" i="68"/>
  <c r="H27" i="68"/>
  <c r="Z27" i="68" s="1"/>
  <c r="BC26" i="68"/>
  <c r="BB26" i="68"/>
  <c r="AW26" i="68"/>
  <c r="AU26" i="68"/>
  <c r="AQ26" i="68"/>
  <c r="O26" i="68"/>
  <c r="H26" i="68"/>
  <c r="P26" i="68" s="1"/>
  <c r="BC25" i="68"/>
  <c r="BB25" i="68"/>
  <c r="AW25" i="68"/>
  <c r="AU25" i="68"/>
  <c r="AQ25" i="68"/>
  <c r="O25" i="68"/>
  <c r="H25" i="68"/>
  <c r="Z25" i="68" s="1"/>
  <c r="BC24" i="68"/>
  <c r="BB24" i="68"/>
  <c r="AW24" i="68"/>
  <c r="AU24" i="68"/>
  <c r="AQ24" i="68"/>
  <c r="O24" i="68"/>
  <c r="H24" i="68"/>
  <c r="BC23" i="68"/>
  <c r="BB23" i="68"/>
  <c r="AW23" i="68"/>
  <c r="AU23" i="68"/>
  <c r="AQ23" i="68"/>
  <c r="O23" i="68"/>
  <c r="H23" i="68"/>
  <c r="Z23" i="68" s="1"/>
  <c r="BC22" i="68"/>
  <c r="BB22" i="68"/>
  <c r="AW22" i="68"/>
  <c r="AU22" i="68"/>
  <c r="AQ22" i="68"/>
  <c r="O22" i="68"/>
  <c r="H22" i="68"/>
  <c r="Z22" i="68" s="1"/>
  <c r="BC21" i="68"/>
  <c r="BB21" i="68"/>
  <c r="AW21" i="68"/>
  <c r="AU21" i="68"/>
  <c r="AQ21" i="68"/>
  <c r="O21" i="68"/>
  <c r="H21" i="68"/>
  <c r="Z21" i="68" s="1"/>
  <c r="BC20" i="68"/>
  <c r="BB20" i="68"/>
  <c r="AW20" i="68"/>
  <c r="AU20" i="68"/>
  <c r="AQ20" i="68"/>
  <c r="O20" i="68"/>
  <c r="H20" i="68"/>
  <c r="BC19" i="68"/>
  <c r="BB19" i="68"/>
  <c r="AW19" i="68"/>
  <c r="AU19" i="68"/>
  <c r="AQ19" i="68"/>
  <c r="O19" i="68"/>
  <c r="H19" i="68"/>
  <c r="Z19" i="68" s="1"/>
  <c r="BC18" i="68"/>
  <c r="BB18" i="68"/>
  <c r="AW18" i="68"/>
  <c r="AU18" i="68"/>
  <c r="AQ18" i="68"/>
  <c r="O18" i="68"/>
  <c r="H18" i="68"/>
  <c r="Z18" i="68" s="1"/>
  <c r="BC17" i="68"/>
  <c r="BB17" i="68"/>
  <c r="AW17" i="68"/>
  <c r="AU17" i="68"/>
  <c r="AQ17" i="68"/>
  <c r="O17" i="68"/>
  <c r="H17" i="68"/>
  <c r="Z17" i="68" s="1"/>
  <c r="BC16" i="68"/>
  <c r="BB16" i="68"/>
  <c r="AW16" i="68"/>
  <c r="AU16" i="68"/>
  <c r="AQ16" i="68"/>
  <c r="O16" i="68"/>
  <c r="H16" i="68"/>
  <c r="F16" i="68" s="1"/>
  <c r="BC15" i="68"/>
  <c r="BB15" i="68"/>
  <c r="AW15" i="68"/>
  <c r="AU15" i="68"/>
  <c r="AQ15" i="68"/>
  <c r="O15" i="68"/>
  <c r="H15" i="68"/>
  <c r="Z15" i="68" s="1"/>
  <c r="BC14" i="68"/>
  <c r="BB14" i="68"/>
  <c r="AW14" i="68"/>
  <c r="AU14" i="68"/>
  <c r="AQ14" i="68"/>
  <c r="O14" i="68"/>
  <c r="H14" i="68"/>
  <c r="Z14" i="68" s="1"/>
  <c r="BC12" i="68"/>
  <c r="BB12" i="68"/>
  <c r="AW12" i="68"/>
  <c r="AU12" i="68"/>
  <c r="AQ12" i="68"/>
  <c r="O12" i="68"/>
  <c r="H12" i="68"/>
  <c r="Z12" i="68" s="1"/>
  <c r="BC11" i="68"/>
  <c r="BB11" i="68"/>
  <c r="AW11" i="68"/>
  <c r="AU11" i="68"/>
  <c r="AQ11" i="68"/>
  <c r="O11" i="68"/>
  <c r="H11" i="68"/>
  <c r="F11" i="68" s="1"/>
  <c r="BC10" i="68"/>
  <c r="BB10" i="68"/>
  <c r="AW10" i="68"/>
  <c r="AU10" i="68"/>
  <c r="AQ10" i="68"/>
  <c r="O10" i="68"/>
  <c r="H10" i="68"/>
  <c r="BC9" i="68"/>
  <c r="BB9" i="68"/>
  <c r="AW9" i="68"/>
  <c r="AU9" i="68"/>
  <c r="AQ9" i="68"/>
  <c r="O9" i="68"/>
  <c r="H9" i="68"/>
  <c r="O72" i="68" l="1"/>
  <c r="BB72" i="68"/>
  <c r="AQ72" i="68"/>
  <c r="BC72" i="68"/>
  <c r="AU72" i="68"/>
  <c r="F62" i="68"/>
  <c r="H72" i="68"/>
  <c r="O29" i="68"/>
  <c r="BB29" i="68"/>
  <c r="O50" i="68"/>
  <c r="BB50" i="68"/>
  <c r="AU50" i="68"/>
  <c r="AU29" i="68"/>
  <c r="H29" i="68"/>
  <c r="AW29" i="68"/>
  <c r="G31" i="68"/>
  <c r="H50" i="68"/>
  <c r="AW50" i="68"/>
  <c r="AQ29" i="68"/>
  <c r="BC29" i="68"/>
  <c r="AQ50" i="68"/>
  <c r="BC50" i="68"/>
  <c r="K74" i="68"/>
  <c r="L74" i="68"/>
  <c r="L36" i="68"/>
  <c r="L48" i="68"/>
  <c r="Z10" i="68"/>
  <c r="K10" i="68"/>
  <c r="L10" i="68"/>
  <c r="K51" i="68"/>
  <c r="Z70" i="68"/>
  <c r="Z52" i="68"/>
  <c r="K52" i="68"/>
  <c r="L52" i="68"/>
  <c r="L67" i="68"/>
  <c r="K56" i="68"/>
  <c r="L56" i="68"/>
  <c r="L73" i="68"/>
  <c r="F9" i="68"/>
  <c r="P51" i="68"/>
  <c r="Z30" i="68"/>
  <c r="Z69" i="68"/>
  <c r="AM21" i="67"/>
  <c r="AM23" i="67" s="1"/>
  <c r="F60" i="68"/>
  <c r="Z57" i="68"/>
  <c r="L57" i="68"/>
  <c r="K57" i="68"/>
  <c r="I12" i="68"/>
  <c r="K60" i="68"/>
  <c r="I15" i="68"/>
  <c r="G69" i="68"/>
  <c r="I49" i="68"/>
  <c r="K9" i="68"/>
  <c r="K19" i="68"/>
  <c r="G23" i="68"/>
  <c r="K47" i="68"/>
  <c r="K68" i="68"/>
  <c r="L9" i="68"/>
  <c r="K17" i="68"/>
  <c r="P41" i="68"/>
  <c r="J41" i="68"/>
  <c r="Z68" i="68"/>
  <c r="I73" i="68"/>
  <c r="G41" i="68"/>
  <c r="F47" i="68"/>
  <c r="I65" i="68"/>
  <c r="J66" i="68"/>
  <c r="G68" i="68"/>
  <c r="L69" i="68"/>
  <c r="I75" i="68"/>
  <c r="I69" i="68"/>
  <c r="F70" i="68"/>
  <c r="K70" i="68"/>
  <c r="F75" i="68"/>
  <c r="K75" i="68"/>
  <c r="I70" i="68"/>
  <c r="K69" i="68"/>
  <c r="G70" i="68"/>
  <c r="P70" i="68"/>
  <c r="I74" i="68"/>
  <c r="G75" i="68"/>
  <c r="P75" i="68"/>
  <c r="AL75" i="68" s="1"/>
  <c r="I67" i="68"/>
  <c r="P53" i="68"/>
  <c r="J53" i="68"/>
  <c r="K58" i="68"/>
  <c r="L64" i="68"/>
  <c r="F67" i="68"/>
  <c r="K67" i="68"/>
  <c r="J52" i="68"/>
  <c r="L54" i="68"/>
  <c r="I58" i="68"/>
  <c r="I60" i="68"/>
  <c r="G67" i="68"/>
  <c r="Z67" i="68"/>
  <c r="I31" i="68"/>
  <c r="J40" i="68"/>
  <c r="L40" i="68"/>
  <c r="I45" i="68"/>
  <c r="J48" i="68"/>
  <c r="K49" i="68"/>
  <c r="L13" i="68"/>
  <c r="F42" i="68"/>
  <c r="K45" i="68"/>
  <c r="I47" i="68"/>
  <c r="F48" i="68"/>
  <c r="G49" i="68"/>
  <c r="I21" i="68"/>
  <c r="J26" i="68"/>
  <c r="G12" i="68"/>
  <c r="G15" i="68"/>
  <c r="F17" i="68"/>
  <c r="J18" i="68"/>
  <c r="F21" i="68"/>
  <c r="K21" i="68"/>
  <c r="I23" i="68"/>
  <c r="I30" i="68"/>
  <c r="F18" i="68"/>
  <c r="G21" i="68"/>
  <c r="K23" i="68"/>
  <c r="J70" i="68"/>
  <c r="J75" i="68"/>
  <c r="J67" i="68"/>
  <c r="J59" i="68"/>
  <c r="J20" i="68"/>
  <c r="P10" i="68"/>
  <c r="AL10" i="68" s="1"/>
  <c r="J25" i="68"/>
  <c r="P27" i="68"/>
  <c r="AL27" i="68" s="1"/>
  <c r="Z33" i="68"/>
  <c r="G33" i="68"/>
  <c r="P33" i="68"/>
  <c r="Z37" i="68"/>
  <c r="K37" i="68"/>
  <c r="F37" i="68"/>
  <c r="Z39" i="68"/>
  <c r="G39" i="68"/>
  <c r="P39" i="68"/>
  <c r="Z43" i="68"/>
  <c r="I43" i="68"/>
  <c r="J55" i="68"/>
  <c r="K55" i="68"/>
  <c r="I55" i="68"/>
  <c r="G56" i="68"/>
  <c r="F56" i="68"/>
  <c r="Z63" i="68"/>
  <c r="G63" i="68"/>
  <c r="K63" i="68"/>
  <c r="I63" i="68"/>
  <c r="I10" i="68"/>
  <c r="F12" i="68"/>
  <c r="K12" i="68"/>
  <c r="F14" i="68"/>
  <c r="K15" i="68"/>
  <c r="G17" i="68"/>
  <c r="G19" i="68"/>
  <c r="P21" i="68"/>
  <c r="AL21" i="68" s="1"/>
  <c r="J21" i="68"/>
  <c r="J22" i="68"/>
  <c r="P23" i="68"/>
  <c r="AL23" i="68" s="1"/>
  <c r="I25" i="68"/>
  <c r="I27" i="68"/>
  <c r="F30" i="68"/>
  <c r="K30" i="68"/>
  <c r="P31" i="68"/>
  <c r="J31" i="68"/>
  <c r="J32" i="68"/>
  <c r="I33" i="68"/>
  <c r="I37" i="68"/>
  <c r="L38" i="68"/>
  <c r="F38" i="68"/>
  <c r="I39" i="68"/>
  <c r="Z41" i="68"/>
  <c r="AL41" i="68" s="1"/>
  <c r="I41" i="68"/>
  <c r="K43" i="68"/>
  <c r="F46" i="68"/>
  <c r="L46" i="68"/>
  <c r="G51" i="68"/>
  <c r="J56" i="68"/>
  <c r="F25" i="68"/>
  <c r="K25" i="68"/>
  <c r="F26" i="68"/>
  <c r="K27" i="68"/>
  <c r="J28" i="68"/>
  <c r="G30" i="68"/>
  <c r="K33" i="68"/>
  <c r="K39" i="68"/>
  <c r="F43" i="68"/>
  <c r="I51" i="68"/>
  <c r="P55" i="68"/>
  <c r="P63" i="68"/>
  <c r="P25" i="68"/>
  <c r="AL25" i="68" s="1"/>
  <c r="P17" i="68"/>
  <c r="AL17" i="68" s="1"/>
  <c r="J17" i="68"/>
  <c r="P19" i="68"/>
  <c r="AL19" i="68" s="1"/>
  <c r="G10" i="68"/>
  <c r="P12" i="68"/>
  <c r="AL12" i="68" s="1"/>
  <c r="J12" i="68"/>
  <c r="J14" i="68"/>
  <c r="P15" i="68"/>
  <c r="AL15" i="68" s="1"/>
  <c r="I17" i="68"/>
  <c r="I19" i="68"/>
  <c r="F22" i="68"/>
  <c r="G25" i="68"/>
  <c r="G27" i="68"/>
  <c r="P30" i="68"/>
  <c r="J30" i="68"/>
  <c r="F31" i="68"/>
  <c r="K31" i="68"/>
  <c r="F32" i="68"/>
  <c r="G37" i="68"/>
  <c r="P37" i="68"/>
  <c r="J37" i="68"/>
  <c r="J38" i="68"/>
  <c r="F41" i="68"/>
  <c r="G43" i="68"/>
  <c r="P43" i="68"/>
  <c r="J43" i="68"/>
  <c r="J13" i="68"/>
  <c r="Z53" i="68"/>
  <c r="K53" i="68"/>
  <c r="F53" i="68"/>
  <c r="I53" i="68"/>
  <c r="G55" i="68"/>
  <c r="J42" i="68"/>
  <c r="G45" i="68"/>
  <c r="G47" i="68"/>
  <c r="P49" i="68"/>
  <c r="AL49" i="68" s="1"/>
  <c r="F52" i="68"/>
  <c r="G58" i="68"/>
  <c r="L59" i="68"/>
  <c r="G60" i="68"/>
  <c r="J62" i="68"/>
  <c r="K65" i="68"/>
  <c r="P67" i="68"/>
  <c r="F73" i="68"/>
  <c r="K73" i="68"/>
  <c r="G74" i="68"/>
  <c r="Z74" i="68"/>
  <c r="P45" i="68"/>
  <c r="AL45" i="68" s="1"/>
  <c r="P47" i="68"/>
  <c r="AL47" i="68" s="1"/>
  <c r="J47" i="68"/>
  <c r="P58" i="68"/>
  <c r="AL58" i="68" s="1"/>
  <c r="P60" i="68"/>
  <c r="AL60" i="68" s="1"/>
  <c r="J60" i="68"/>
  <c r="G65" i="68"/>
  <c r="G73" i="68"/>
  <c r="P73" i="68"/>
  <c r="L62" i="68"/>
  <c r="P65" i="68"/>
  <c r="AL65" i="68" s="1"/>
  <c r="Z73" i="68"/>
  <c r="J73" i="68"/>
  <c r="L11" i="68"/>
  <c r="J9" i="68"/>
  <c r="Z9" i="68"/>
  <c r="J11" i="68"/>
  <c r="L14" i="68"/>
  <c r="J16" i="68"/>
  <c r="L22" i="68"/>
  <c r="F24" i="68"/>
  <c r="J24" i="68"/>
  <c r="L26" i="68"/>
  <c r="Z26" i="68"/>
  <c r="AL26" i="68" s="1"/>
  <c r="G9" i="68"/>
  <c r="F10" i="68"/>
  <c r="J10" i="68"/>
  <c r="G11" i="68"/>
  <c r="K11" i="68"/>
  <c r="P11" i="68"/>
  <c r="L12" i="68"/>
  <c r="I14" i="68"/>
  <c r="F15" i="68"/>
  <c r="J15" i="68"/>
  <c r="G16" i="68"/>
  <c r="K16" i="68"/>
  <c r="P16" i="68"/>
  <c r="L17" i="68"/>
  <c r="I18" i="68"/>
  <c r="F19" i="68"/>
  <c r="J19" i="68"/>
  <c r="G20" i="68"/>
  <c r="K20" i="68"/>
  <c r="P20" i="68"/>
  <c r="L21" i="68"/>
  <c r="I22" i="68"/>
  <c r="F23" i="68"/>
  <c r="J23" i="68"/>
  <c r="G24" i="68"/>
  <c r="K24" i="68"/>
  <c r="P24" i="68"/>
  <c r="L25" i="68"/>
  <c r="I26" i="68"/>
  <c r="F27" i="68"/>
  <c r="J27" i="68"/>
  <c r="G28" i="68"/>
  <c r="K28" i="68"/>
  <c r="P28" i="68"/>
  <c r="L30" i="68"/>
  <c r="L31" i="68"/>
  <c r="Z31" i="68"/>
  <c r="I32" i="68"/>
  <c r="F33" i="68"/>
  <c r="J33" i="68"/>
  <c r="G34" i="68"/>
  <c r="K34" i="68"/>
  <c r="G35" i="68"/>
  <c r="L35" i="68"/>
  <c r="F36" i="68"/>
  <c r="I40" i="68"/>
  <c r="P40" i="68"/>
  <c r="K40" i="68"/>
  <c r="G40" i="68"/>
  <c r="Z40" i="68"/>
  <c r="J46" i="68"/>
  <c r="I13" i="68"/>
  <c r="P13" i="68"/>
  <c r="K13" i="68"/>
  <c r="G13" i="68"/>
  <c r="Z13" i="68"/>
  <c r="J54" i="68"/>
  <c r="F54" i="68"/>
  <c r="I54" i="68"/>
  <c r="P54" i="68"/>
  <c r="AL54" i="68" s="1"/>
  <c r="K54" i="68"/>
  <c r="G54" i="68"/>
  <c r="Z11" i="68"/>
  <c r="L24" i="68"/>
  <c r="L34" i="68"/>
  <c r="J35" i="68"/>
  <c r="F35" i="68"/>
  <c r="P36" i="68"/>
  <c r="K36" i="68"/>
  <c r="G36" i="68"/>
  <c r="P44" i="68"/>
  <c r="K44" i="68"/>
  <c r="G44" i="68"/>
  <c r="I44" i="68"/>
  <c r="Z44" i="68"/>
  <c r="L16" i="68"/>
  <c r="Z16" i="68"/>
  <c r="L20" i="68"/>
  <c r="Z20" i="68"/>
  <c r="Z24" i="68"/>
  <c r="L28" i="68"/>
  <c r="Z28" i="68"/>
  <c r="I9" i="68"/>
  <c r="P9" i="68"/>
  <c r="I11" i="68"/>
  <c r="G14" i="68"/>
  <c r="K14" i="68"/>
  <c r="P14" i="68"/>
  <c r="AL14" i="68" s="1"/>
  <c r="L15" i="68"/>
  <c r="I16" i="68"/>
  <c r="G18" i="68"/>
  <c r="K18" i="68"/>
  <c r="P18" i="68"/>
  <c r="AL18" i="68" s="1"/>
  <c r="L19" i="68"/>
  <c r="I20" i="68"/>
  <c r="G22" i="68"/>
  <c r="K22" i="68"/>
  <c r="P22" i="68"/>
  <c r="AL22" i="68" s="1"/>
  <c r="L23" i="68"/>
  <c r="I24" i="68"/>
  <c r="G26" i="68"/>
  <c r="K26" i="68"/>
  <c r="L27" i="68"/>
  <c r="I28" i="68"/>
  <c r="G32" i="68"/>
  <c r="K32" i="68"/>
  <c r="P32" i="68"/>
  <c r="L33" i="68"/>
  <c r="I34" i="68"/>
  <c r="I35" i="68"/>
  <c r="I36" i="68"/>
  <c r="P38" i="68"/>
  <c r="K38" i="68"/>
  <c r="G38" i="68"/>
  <c r="I38" i="68"/>
  <c r="Z38" i="68"/>
  <c r="I42" i="68"/>
  <c r="P42" i="68"/>
  <c r="K42" i="68"/>
  <c r="G42" i="68"/>
  <c r="Z42" i="68"/>
  <c r="J44" i="68"/>
  <c r="P48" i="68"/>
  <c r="K48" i="68"/>
  <c r="G48" i="68"/>
  <c r="I48" i="68"/>
  <c r="Z48" i="68"/>
  <c r="L18" i="68"/>
  <c r="F20" i="68"/>
  <c r="F28" i="68"/>
  <c r="L32" i="68"/>
  <c r="F34" i="68"/>
  <c r="J34" i="68"/>
  <c r="P34" i="68"/>
  <c r="AL34" i="68" s="1"/>
  <c r="K35" i="68"/>
  <c r="P35" i="68"/>
  <c r="AL35" i="68" s="1"/>
  <c r="J36" i="68"/>
  <c r="Z36" i="68"/>
  <c r="L44" i="68"/>
  <c r="I46" i="68"/>
  <c r="P46" i="68"/>
  <c r="K46" i="68"/>
  <c r="G46" i="68"/>
  <c r="Z46" i="68"/>
  <c r="L37" i="68"/>
  <c r="F39" i="68"/>
  <c r="J39" i="68"/>
  <c r="L41" i="68"/>
  <c r="L43" i="68"/>
  <c r="F45" i="68"/>
  <c r="J45" i="68"/>
  <c r="L47" i="68"/>
  <c r="F49" i="68"/>
  <c r="J49" i="68"/>
  <c r="L51" i="68"/>
  <c r="Z51" i="68"/>
  <c r="I52" i="68"/>
  <c r="L55" i="68"/>
  <c r="Z55" i="68"/>
  <c r="I56" i="68"/>
  <c r="Z56" i="68"/>
  <c r="F57" i="68"/>
  <c r="J64" i="68"/>
  <c r="I66" i="68"/>
  <c r="P66" i="68"/>
  <c r="K66" i="68"/>
  <c r="G66" i="68"/>
  <c r="Z66" i="68"/>
  <c r="L68" i="68"/>
  <c r="P71" i="68"/>
  <c r="J71" i="68"/>
  <c r="F71" i="68"/>
  <c r="L71" i="68"/>
  <c r="G71" i="68"/>
  <c r="K71" i="68"/>
  <c r="Z71" i="68"/>
  <c r="I71" i="68"/>
  <c r="P57" i="68"/>
  <c r="I57" i="68"/>
  <c r="G57" i="68"/>
  <c r="P61" i="68"/>
  <c r="K61" i="68"/>
  <c r="G61" i="68"/>
  <c r="I61" i="68"/>
  <c r="Z61" i="68"/>
  <c r="L39" i="68"/>
  <c r="L45" i="68"/>
  <c r="L49" i="68"/>
  <c r="F51" i="68"/>
  <c r="J51" i="68"/>
  <c r="G52" i="68"/>
  <c r="P52" i="68"/>
  <c r="L53" i="68"/>
  <c r="F55" i="68"/>
  <c r="J57" i="68"/>
  <c r="I59" i="68"/>
  <c r="P59" i="68"/>
  <c r="K59" i="68"/>
  <c r="G59" i="68"/>
  <c r="Z59" i="68"/>
  <c r="J61" i="68"/>
  <c r="P62" i="68"/>
  <c r="K62" i="68"/>
  <c r="G62" i="68"/>
  <c r="I62" i="68"/>
  <c r="Z62" i="68"/>
  <c r="L66" i="68"/>
  <c r="P56" i="68"/>
  <c r="L61" i="68"/>
  <c r="I64" i="68"/>
  <c r="P64" i="68"/>
  <c r="K64" i="68"/>
  <c r="G64" i="68"/>
  <c r="Z64" i="68"/>
  <c r="F58" i="68"/>
  <c r="J58" i="68"/>
  <c r="L60" i="68"/>
  <c r="F63" i="68"/>
  <c r="J63" i="68"/>
  <c r="F65" i="68"/>
  <c r="J65" i="68"/>
  <c r="F68" i="68"/>
  <c r="J68" i="68"/>
  <c r="P68" i="68"/>
  <c r="P69" i="68"/>
  <c r="J69" i="68"/>
  <c r="F69" i="68"/>
  <c r="L70" i="68"/>
  <c r="L58" i="68"/>
  <c r="L63" i="68"/>
  <c r="L65" i="68"/>
  <c r="P74" i="68"/>
  <c r="J74" i="68"/>
  <c r="F74" i="68"/>
  <c r="L75" i="68"/>
  <c r="K72" i="68" l="1"/>
  <c r="Z72" i="68"/>
  <c r="P72" i="68"/>
  <c r="L72" i="68"/>
  <c r="I72" i="68"/>
  <c r="F72" i="68"/>
  <c r="G72" i="68"/>
  <c r="J72" i="68"/>
  <c r="BB79" i="68"/>
  <c r="AU79" i="68"/>
  <c r="O79" i="68"/>
  <c r="P29" i="68"/>
  <c r="L50" i="68"/>
  <c r="Z29" i="68"/>
  <c r="L29" i="68"/>
  <c r="G50" i="68"/>
  <c r="I29" i="68"/>
  <c r="J29" i="68"/>
  <c r="J50" i="68"/>
  <c r="K29" i="68"/>
  <c r="AW79" i="68"/>
  <c r="K50" i="68"/>
  <c r="P50" i="68"/>
  <c r="I50" i="68"/>
  <c r="BC79" i="68"/>
  <c r="Z50" i="68"/>
  <c r="G29" i="68"/>
  <c r="F50" i="68"/>
  <c r="F29" i="68"/>
  <c r="AQ79" i="68"/>
  <c r="AL68" i="68"/>
  <c r="AL70" i="68"/>
  <c r="AL55" i="68"/>
  <c r="M74" i="68"/>
  <c r="M41" i="68"/>
  <c r="AM41" i="68" s="1"/>
  <c r="AR41" i="68" s="1"/>
  <c r="AL73" i="68"/>
  <c r="M60" i="68"/>
  <c r="AM60" i="68" s="1"/>
  <c r="AR60" i="68" s="1"/>
  <c r="AL57" i="68"/>
  <c r="AL13" i="68"/>
  <c r="AL30" i="68"/>
  <c r="AL67" i="68"/>
  <c r="AR21" i="67"/>
  <c r="AR23" i="67" s="1"/>
  <c r="AL53" i="68"/>
  <c r="M48" i="68"/>
  <c r="AL43" i="68"/>
  <c r="AL39" i="68"/>
  <c r="AL40" i="68"/>
  <c r="M21" i="68"/>
  <c r="AM21" i="68" s="1"/>
  <c r="AR21" i="68" s="1"/>
  <c r="AL56" i="68"/>
  <c r="M42" i="68"/>
  <c r="AL63" i="68"/>
  <c r="AL36" i="68"/>
  <c r="M17" i="68"/>
  <c r="AM17" i="68" s="1"/>
  <c r="AR17" i="68" s="1"/>
  <c r="AL74" i="68"/>
  <c r="M75" i="68"/>
  <c r="AM75" i="68" s="1"/>
  <c r="AR75" i="68" s="1"/>
  <c r="M69" i="68"/>
  <c r="AL59" i="68"/>
  <c r="M62" i="68"/>
  <c r="M55" i="68"/>
  <c r="M70" i="68"/>
  <c r="M56" i="68"/>
  <c r="M40" i="68"/>
  <c r="AL33" i="68"/>
  <c r="AL66" i="68"/>
  <c r="M66" i="68"/>
  <c r="M26" i="68"/>
  <c r="AM26" i="68" s="1"/>
  <c r="AR26" i="68" s="1"/>
  <c r="M16" i="68"/>
  <c r="AL16" i="68"/>
  <c r="M73" i="68"/>
  <c r="M68" i="68"/>
  <c r="M67" i="68"/>
  <c r="AL61" i="68"/>
  <c r="M59" i="68"/>
  <c r="AM59" i="68" s="1"/>
  <c r="AR59" i="68" s="1"/>
  <c r="M53" i="68"/>
  <c r="M54" i="68"/>
  <c r="AM54" i="68" s="1"/>
  <c r="AR54" i="68" s="1"/>
  <c r="AL48" i="68"/>
  <c r="M31" i="68"/>
  <c r="M22" i="68"/>
  <c r="AM22" i="68" s="1"/>
  <c r="AR22" i="68" s="1"/>
  <c r="M20" i="68"/>
  <c r="M30" i="68"/>
  <c r="M47" i="68"/>
  <c r="AM47" i="68" s="1"/>
  <c r="AR47" i="68" s="1"/>
  <c r="M46" i="68"/>
  <c r="M12" i="68"/>
  <c r="AM12" i="68" s="1"/>
  <c r="AR12" i="68" s="1"/>
  <c r="M61" i="68"/>
  <c r="AM61" i="68" s="1"/>
  <c r="AR61" i="68" s="1"/>
  <c r="M44" i="68"/>
  <c r="AL42" i="68"/>
  <c r="M36" i="68"/>
  <c r="M11" i="68"/>
  <c r="M25" i="68"/>
  <c r="AM25" i="68" s="1"/>
  <c r="AR25" i="68" s="1"/>
  <c r="M23" i="68"/>
  <c r="AM23" i="68" s="1"/>
  <c r="AR23" i="68" s="1"/>
  <c r="AL20" i="68"/>
  <c r="AL37" i="68"/>
  <c r="AL38" i="68"/>
  <c r="AL44" i="68"/>
  <c r="M19" i="68"/>
  <c r="AM19" i="68" s="1"/>
  <c r="AR19" i="68" s="1"/>
  <c r="M65" i="68"/>
  <c r="AM65" i="68" s="1"/>
  <c r="AR65" i="68" s="1"/>
  <c r="M57" i="68"/>
  <c r="M71" i="68"/>
  <c r="M43" i="68"/>
  <c r="M37" i="68"/>
  <c r="M35" i="68"/>
  <c r="AM35" i="68" s="1"/>
  <c r="AR35" i="68" s="1"/>
  <c r="M32" i="68"/>
  <c r="M28" i="68"/>
  <c r="M24" i="68"/>
  <c r="M18" i="68"/>
  <c r="AM18" i="68" s="1"/>
  <c r="AR18" i="68" s="1"/>
  <c r="M13" i="68"/>
  <c r="M27" i="68"/>
  <c r="AM27" i="68" s="1"/>
  <c r="AR27" i="68" s="1"/>
  <c r="AL24" i="68"/>
  <c r="M10" i="68"/>
  <c r="AM10" i="68" s="1"/>
  <c r="AR10" i="68" s="1"/>
  <c r="AL64" i="68"/>
  <c r="M64" i="68"/>
  <c r="AL62" i="68"/>
  <c r="AL46" i="68"/>
  <c r="M38" i="68"/>
  <c r="M34" i="68"/>
  <c r="AM34" i="68" s="1"/>
  <c r="AR34" i="68" s="1"/>
  <c r="M14" i="68"/>
  <c r="AM14" i="68" s="1"/>
  <c r="AR14" i="68" s="1"/>
  <c r="AL28" i="68"/>
  <c r="M15" i="68"/>
  <c r="AM15" i="68" s="1"/>
  <c r="AR15" i="68" s="1"/>
  <c r="AL11" i="68"/>
  <c r="AL69" i="68"/>
  <c r="M63" i="68"/>
  <c r="M52" i="68"/>
  <c r="M45" i="68"/>
  <c r="AM45" i="68" s="1"/>
  <c r="AR45" i="68" s="1"/>
  <c r="M39" i="68"/>
  <c r="M9" i="68"/>
  <c r="M51" i="68"/>
  <c r="AL71" i="68"/>
  <c r="M49" i="68"/>
  <c r="AM49" i="68" s="1"/>
  <c r="AR49" i="68" s="1"/>
  <c r="AL52" i="68"/>
  <c r="M33" i="68"/>
  <c r="AL31" i="68"/>
  <c r="AL32" i="68"/>
  <c r="M58" i="68"/>
  <c r="AM58" i="68" s="1"/>
  <c r="AR58" i="68" s="1"/>
  <c r="AL51" i="68"/>
  <c r="AL9" i="68"/>
  <c r="AL72" i="68" l="1"/>
  <c r="P79" i="68"/>
  <c r="AL29" i="68"/>
  <c r="J79" i="68"/>
  <c r="Z79" i="68"/>
  <c r="G79" i="68"/>
  <c r="I79" i="68"/>
  <c r="AL50" i="68"/>
  <c r="F79" i="68"/>
  <c r="L79" i="68"/>
  <c r="K79" i="68"/>
  <c r="AM68" i="68"/>
  <c r="AR68" i="68" s="1"/>
  <c r="AM20" i="68"/>
  <c r="AR20" i="68" s="1"/>
  <c r="AM70" i="68"/>
  <c r="AM74" i="68"/>
  <c r="AM40" i="68"/>
  <c r="AR40" i="68" s="1"/>
  <c r="AM57" i="68"/>
  <c r="AR57" i="68" s="1"/>
  <c r="AM55" i="68"/>
  <c r="AR55" i="68" s="1"/>
  <c r="AM13" i="68"/>
  <c r="AR13" i="68" s="1"/>
  <c r="AM73" i="68"/>
  <c r="AR73" i="68" s="1"/>
  <c r="AM43" i="68"/>
  <c r="AR43" i="68" s="1"/>
  <c r="AM42" i="68"/>
  <c r="AR42" i="68" s="1"/>
  <c r="AM67" i="68"/>
  <c r="AR67" i="68" s="1"/>
  <c r="AM62" i="68"/>
  <c r="AM71" i="68"/>
  <c r="AR71" i="68" s="1"/>
  <c r="AM56" i="68"/>
  <c r="AR56" i="68" s="1"/>
  <c r="AM63" i="68"/>
  <c r="AR63" i="68" s="1"/>
  <c r="AM30" i="68"/>
  <c r="AM53" i="68"/>
  <c r="AR53" i="68" s="1"/>
  <c r="AM48" i="68"/>
  <c r="AR48" i="68" s="1"/>
  <c r="AM39" i="68"/>
  <c r="AM38" i="68"/>
  <c r="AR38" i="68" s="1"/>
  <c r="AM66" i="68"/>
  <c r="AR66" i="68" s="1"/>
  <c r="AM64" i="68"/>
  <c r="AR64" i="68" s="1"/>
  <c r="AM69" i="68"/>
  <c r="AM11" i="68"/>
  <c r="AM33" i="68"/>
  <c r="AR33" i="68" s="1"/>
  <c r="AM36" i="68"/>
  <c r="AR36" i="68" s="1"/>
  <c r="AM37" i="68"/>
  <c r="AR37" i="68" s="1"/>
  <c r="AM16" i="68"/>
  <c r="AR16" i="68" s="1"/>
  <c r="AM46" i="68"/>
  <c r="AR46" i="68" s="1"/>
  <c r="AM32" i="68"/>
  <c r="AR32" i="68" s="1"/>
  <c r="AM24" i="68"/>
  <c r="AR24" i="68" s="1"/>
  <c r="AM44" i="68"/>
  <c r="AR44" i="68" s="1"/>
  <c r="AM28" i="68"/>
  <c r="AR28" i="68" s="1"/>
  <c r="AM31" i="68"/>
  <c r="AM9" i="68"/>
  <c r="AM52" i="68"/>
  <c r="AM51" i="68"/>
  <c r="AR62" i="68" l="1"/>
  <c r="AM72" i="68"/>
  <c r="AM29" i="68"/>
  <c r="M79" i="68"/>
  <c r="AL79" i="68"/>
  <c r="AM50" i="68"/>
  <c r="AR70" i="68"/>
  <c r="AR74" i="68"/>
  <c r="AR52" i="68"/>
  <c r="AR39" i="68"/>
  <c r="AR11" i="68"/>
  <c r="AR69" i="68"/>
  <c r="AR30" i="68"/>
  <c r="AR9" i="68"/>
  <c r="AR31" i="68"/>
  <c r="AR51" i="68"/>
  <c r="AR72" i="68" l="1"/>
  <c r="AR29" i="68"/>
  <c r="AM79" i="68"/>
  <c r="AR50" i="68"/>
  <c r="O19" i="67"/>
  <c r="O15" i="67"/>
  <c r="O17" i="67" s="1"/>
  <c r="O11" i="67"/>
  <c r="O12" i="67"/>
  <c r="O10" i="67"/>
  <c r="O10" i="52"/>
  <c r="O11" i="52"/>
  <c r="O12" i="52"/>
  <c r="O13" i="52"/>
  <c r="O15" i="52"/>
  <c r="O16" i="52"/>
  <c r="O17" i="52"/>
  <c r="O18" i="52"/>
  <c r="O19" i="52"/>
  <c r="O20" i="52"/>
  <c r="O21" i="52"/>
  <c r="O22" i="52"/>
  <c r="O23" i="52"/>
  <c r="O24" i="52"/>
  <c r="O25" i="52"/>
  <c r="O26" i="52"/>
  <c r="O28" i="52"/>
  <c r="O9" i="52"/>
  <c r="BF24" i="67"/>
  <c r="BC19" i="67"/>
  <c r="BB19" i="67"/>
  <c r="AW19" i="67"/>
  <c r="AU19" i="67"/>
  <c r="AQ19" i="67"/>
  <c r="H19" i="67"/>
  <c r="F19" i="67" s="1"/>
  <c r="BC15" i="67"/>
  <c r="BB15" i="67"/>
  <c r="AW15" i="67"/>
  <c r="AU15" i="67"/>
  <c r="AU17" i="67" s="1"/>
  <c r="AQ15" i="67"/>
  <c r="H15" i="67"/>
  <c r="H17" i="67" s="1"/>
  <c r="BC12" i="67"/>
  <c r="BB12" i="67"/>
  <c r="AW12" i="67"/>
  <c r="AU12" i="67"/>
  <c r="AQ12" i="67"/>
  <c r="H12" i="67"/>
  <c r="P12" i="67" s="1"/>
  <c r="BC11" i="67"/>
  <c r="BB11" i="67"/>
  <c r="AW11" i="67"/>
  <c r="AU11" i="67"/>
  <c r="AQ11" i="67"/>
  <c r="H11" i="67"/>
  <c r="BC10" i="67"/>
  <c r="BC13" i="67" s="1"/>
  <c r="BB10" i="67"/>
  <c r="AW10" i="67"/>
  <c r="AU10" i="67"/>
  <c r="AQ10" i="67"/>
  <c r="AQ13" i="67" s="1"/>
  <c r="H10" i="67"/>
  <c r="AR79" i="68" l="1"/>
  <c r="Z15" i="67"/>
  <c r="Z17" i="67" s="1"/>
  <c r="H13" i="67"/>
  <c r="H24" i="67" s="1"/>
  <c r="BB13" i="67"/>
  <c r="BB24" i="67" s="1"/>
  <c r="O13" i="67"/>
  <c r="O24" i="67" s="1"/>
  <c r="AU13" i="67"/>
  <c r="AU24" i="67" s="1"/>
  <c r="AW13" i="67"/>
  <c r="Z10" i="67"/>
  <c r="Z11" i="67"/>
  <c r="K11" i="67"/>
  <c r="F12" i="67"/>
  <c r="J19" i="67"/>
  <c r="J12" i="67"/>
  <c r="P19" i="67"/>
  <c r="L10" i="67"/>
  <c r="I10" i="67"/>
  <c r="I11" i="67"/>
  <c r="G12" i="67"/>
  <c r="K12" i="67"/>
  <c r="Z12" i="67"/>
  <c r="AL12" i="67" s="1"/>
  <c r="I15" i="67"/>
  <c r="I17" i="67" s="1"/>
  <c r="G19" i="67"/>
  <c r="K19" i="67"/>
  <c r="Z19" i="67"/>
  <c r="L11" i="67"/>
  <c r="F10" i="67"/>
  <c r="J10" i="67"/>
  <c r="P10" i="67"/>
  <c r="F11" i="67"/>
  <c r="L12" i="67"/>
  <c r="F15" i="67"/>
  <c r="F17" i="67" s="1"/>
  <c r="J15" i="67"/>
  <c r="J17" i="67" s="1"/>
  <c r="P15" i="67"/>
  <c r="P17" i="67" s="1"/>
  <c r="L19" i="67"/>
  <c r="L15" i="67"/>
  <c r="L17" i="67" s="1"/>
  <c r="J11" i="67"/>
  <c r="P11" i="67"/>
  <c r="G10" i="67"/>
  <c r="K10" i="67"/>
  <c r="G11" i="67"/>
  <c r="I12" i="67"/>
  <c r="G15" i="67"/>
  <c r="G17" i="67" s="1"/>
  <c r="K15" i="67"/>
  <c r="K17" i="67" s="1"/>
  <c r="I19" i="67"/>
  <c r="AL15" i="67" l="1"/>
  <c r="AL17" i="67" s="1"/>
  <c r="K13" i="67"/>
  <c r="K24" i="67" s="1"/>
  <c r="P13" i="67"/>
  <c r="P24" i="67" s="1"/>
  <c r="I13" i="67"/>
  <c r="I24" i="67" s="1"/>
  <c r="J13" i="67"/>
  <c r="J24" i="67" s="1"/>
  <c r="L13" i="67"/>
  <c r="L24" i="67" s="1"/>
  <c r="Z13" i="67"/>
  <c r="Z24" i="67" s="1"/>
  <c r="G13" i="67"/>
  <c r="G24" i="67" s="1"/>
  <c r="F13" i="67"/>
  <c r="F24" i="67" s="1"/>
  <c r="AL11" i="67"/>
  <c r="M11" i="67"/>
  <c r="M12" i="67"/>
  <c r="AM12" i="67" s="1"/>
  <c r="AR12" i="67" s="1"/>
  <c r="M19" i="67"/>
  <c r="M15" i="67"/>
  <c r="AL19" i="67"/>
  <c r="AL10" i="67"/>
  <c r="M10" i="67"/>
  <c r="AM15" i="67" l="1"/>
  <c r="AM17" i="67" s="1"/>
  <c r="AL13" i="67"/>
  <c r="AL24" i="67" s="1"/>
  <c r="AM11" i="67"/>
  <c r="AR11" i="67" s="1"/>
  <c r="AM19" i="67"/>
  <c r="AM10" i="67"/>
  <c r="AM13" i="67" l="1"/>
  <c r="AM24" i="67" s="1"/>
  <c r="AR19" i="67"/>
  <c r="AR15" i="67"/>
  <c r="AR17" i="67" s="1"/>
  <c r="AR10" i="67"/>
  <c r="AR13" i="67" l="1"/>
  <c r="AR24" i="67" s="1"/>
  <c r="L37" i="63"/>
  <c r="P21" i="63"/>
  <c r="P20" i="63"/>
  <c r="P22" i="63" l="1"/>
  <c r="BC28" i="52" l="1"/>
  <c r="BB28" i="52"/>
  <c r="AW28" i="52"/>
  <c r="AU28" i="52"/>
  <c r="AQ28" i="52"/>
  <c r="H28" i="52"/>
  <c r="BC26" i="52"/>
  <c r="BB26" i="52"/>
  <c r="AW26" i="52"/>
  <c r="AU26" i="52"/>
  <c r="AQ26" i="52"/>
  <c r="H26" i="52"/>
  <c r="Z26" i="52" s="1"/>
  <c r="BC25" i="52"/>
  <c r="BB25" i="52"/>
  <c r="AW25" i="52"/>
  <c r="AU25" i="52"/>
  <c r="AQ25" i="52"/>
  <c r="H25" i="52"/>
  <c r="P25" i="52" s="1"/>
  <c r="BC24" i="52"/>
  <c r="BB24" i="52"/>
  <c r="AW24" i="52"/>
  <c r="AU24" i="52"/>
  <c r="AQ24" i="52"/>
  <c r="H24" i="52"/>
  <c r="Z24" i="52" s="1"/>
  <c r="BC23" i="52"/>
  <c r="BB23" i="52"/>
  <c r="AW23" i="52"/>
  <c r="AU23" i="52"/>
  <c r="AQ23" i="52"/>
  <c r="H23" i="52"/>
  <c r="P23" i="52" s="1"/>
  <c r="BC22" i="52"/>
  <c r="BB22" i="52"/>
  <c r="AW22" i="52"/>
  <c r="AU22" i="52"/>
  <c r="AQ22" i="52"/>
  <c r="H22" i="52"/>
  <c r="BC21" i="52"/>
  <c r="BB21" i="52"/>
  <c r="AW21" i="52"/>
  <c r="AU21" i="52"/>
  <c r="AQ21" i="52"/>
  <c r="H21" i="52"/>
  <c r="P21" i="52" s="1"/>
  <c r="BC20" i="52"/>
  <c r="BB20" i="52"/>
  <c r="AW20" i="52"/>
  <c r="AU20" i="52"/>
  <c r="AQ20" i="52"/>
  <c r="H20" i="52"/>
  <c r="BC19" i="52"/>
  <c r="BB19" i="52"/>
  <c r="AW19" i="52"/>
  <c r="AU19" i="52"/>
  <c r="AQ19" i="52"/>
  <c r="H19" i="52"/>
  <c r="BC18" i="52"/>
  <c r="BB18" i="52"/>
  <c r="AW18" i="52"/>
  <c r="AU18" i="52"/>
  <c r="AQ18" i="52"/>
  <c r="H18" i="52"/>
  <c r="P18" i="52" s="1"/>
  <c r="BC17" i="52"/>
  <c r="BB17" i="52"/>
  <c r="AW17" i="52"/>
  <c r="AU17" i="52"/>
  <c r="AQ17" i="52"/>
  <c r="H17" i="52"/>
  <c r="P17" i="52" s="1"/>
  <c r="BC16" i="52"/>
  <c r="BB16" i="52"/>
  <c r="AW16" i="52"/>
  <c r="AU16" i="52"/>
  <c r="AQ16" i="52"/>
  <c r="H16" i="52"/>
  <c r="BC15" i="52"/>
  <c r="BB15" i="52"/>
  <c r="AW15" i="52"/>
  <c r="AU15" i="52"/>
  <c r="AQ15" i="52"/>
  <c r="H15" i="52"/>
  <c r="P15" i="52" s="1"/>
  <c r="BC13" i="52"/>
  <c r="BB13" i="52"/>
  <c r="AW13" i="52"/>
  <c r="AU13" i="52"/>
  <c r="AQ13" i="52"/>
  <c r="H13" i="52"/>
  <c r="F13" i="52" s="1"/>
  <c r="BC12" i="52"/>
  <c r="BB12" i="52"/>
  <c r="AW12" i="52"/>
  <c r="AU12" i="52"/>
  <c r="AQ12" i="52"/>
  <c r="H12" i="52"/>
  <c r="P12" i="52" s="1"/>
  <c r="BC11" i="52"/>
  <c r="BB11" i="52"/>
  <c r="AW11" i="52"/>
  <c r="AU11" i="52"/>
  <c r="AQ11" i="52"/>
  <c r="H11" i="52"/>
  <c r="BC10" i="52"/>
  <c r="BB10" i="52"/>
  <c r="AW10" i="52"/>
  <c r="AU10" i="52"/>
  <c r="AQ10" i="52"/>
  <c r="H10" i="52"/>
  <c r="F10" i="52" s="1"/>
  <c r="BC9" i="52"/>
  <c r="BB9" i="52"/>
  <c r="AW9" i="52"/>
  <c r="AU9" i="52"/>
  <c r="AQ9" i="52"/>
  <c r="H9" i="52"/>
  <c r="BB29" i="52" l="1"/>
  <c r="F9" i="52"/>
  <c r="L22" i="52"/>
  <c r="F18" i="52"/>
  <c r="J12" i="52"/>
  <c r="J21" i="52"/>
  <c r="L9" i="52"/>
  <c r="L12" i="52"/>
  <c r="J23" i="52"/>
  <c r="F12" i="52"/>
  <c r="F15" i="52"/>
  <c r="F25" i="52"/>
  <c r="F23" i="52"/>
  <c r="F21" i="52"/>
  <c r="J18" i="52"/>
  <c r="F17" i="52"/>
  <c r="P9" i="52"/>
  <c r="P10" i="52"/>
  <c r="J9" i="52"/>
  <c r="P13" i="52"/>
  <c r="L17" i="52"/>
  <c r="J25" i="52"/>
  <c r="L13" i="52"/>
  <c r="I11" i="52"/>
  <c r="Z11" i="52"/>
  <c r="K11" i="52"/>
  <c r="G11" i="52"/>
  <c r="I16" i="52"/>
  <c r="Z16" i="52"/>
  <c r="K16" i="52"/>
  <c r="G16" i="52"/>
  <c r="I19" i="52"/>
  <c r="Z19" i="52"/>
  <c r="K19" i="52"/>
  <c r="G19" i="52"/>
  <c r="Z10" i="52"/>
  <c r="K10" i="52"/>
  <c r="G10" i="52"/>
  <c r="I10" i="52"/>
  <c r="J11" i="52"/>
  <c r="Z15" i="52"/>
  <c r="AL15" i="52" s="1"/>
  <c r="K15" i="52"/>
  <c r="G15" i="52"/>
  <c r="I15" i="52"/>
  <c r="J16" i="52"/>
  <c r="J19" i="52"/>
  <c r="J10" i="52"/>
  <c r="L11" i="52"/>
  <c r="I13" i="52"/>
  <c r="Z13" i="52"/>
  <c r="K13" i="52"/>
  <c r="G13" i="52"/>
  <c r="J15" i="52"/>
  <c r="L16" i="52"/>
  <c r="I17" i="52"/>
  <c r="Z17" i="52"/>
  <c r="AL17" i="52" s="1"/>
  <c r="K17" i="52"/>
  <c r="G17" i="52"/>
  <c r="L19" i="52"/>
  <c r="Z20" i="52"/>
  <c r="K20" i="52"/>
  <c r="G20" i="52"/>
  <c r="J20" i="52"/>
  <c r="P20" i="52"/>
  <c r="F20" i="52"/>
  <c r="I20" i="52"/>
  <c r="Z18" i="52"/>
  <c r="AL18" i="52" s="1"/>
  <c r="K18" i="52"/>
  <c r="G18" i="52"/>
  <c r="I18" i="52"/>
  <c r="Z9" i="52"/>
  <c r="K9" i="52"/>
  <c r="G9" i="52"/>
  <c r="I9" i="52"/>
  <c r="L10" i="52"/>
  <c r="F11" i="52"/>
  <c r="P11" i="52"/>
  <c r="AL11" i="52" s="1"/>
  <c r="Z12" i="52"/>
  <c r="AL12" i="52" s="1"/>
  <c r="K12" i="52"/>
  <c r="G12" i="52"/>
  <c r="I12" i="52"/>
  <c r="J13" i="52"/>
  <c r="L15" i="52"/>
  <c r="F16" i="52"/>
  <c r="P16" i="52"/>
  <c r="AL16" i="52" s="1"/>
  <c r="J17" i="52"/>
  <c r="L18" i="52"/>
  <c r="F19" i="52"/>
  <c r="P19" i="52"/>
  <c r="AL19" i="52" s="1"/>
  <c r="L20" i="52"/>
  <c r="Z22" i="52"/>
  <c r="K22" i="52"/>
  <c r="G22" i="52"/>
  <c r="P22" i="52"/>
  <c r="J22" i="52"/>
  <c r="F22" i="52"/>
  <c r="I22" i="52"/>
  <c r="L24" i="52"/>
  <c r="L26" i="52"/>
  <c r="F28" i="52"/>
  <c r="J28" i="52"/>
  <c r="P28" i="52"/>
  <c r="G21" i="52"/>
  <c r="K21" i="52"/>
  <c r="Z21" i="52"/>
  <c r="AL21" i="52" s="1"/>
  <c r="G23" i="52"/>
  <c r="K23" i="52"/>
  <c r="Z23" i="52"/>
  <c r="AL23" i="52" s="1"/>
  <c r="I24" i="52"/>
  <c r="G25" i="52"/>
  <c r="K25" i="52"/>
  <c r="Z25" i="52"/>
  <c r="AL25" i="52" s="1"/>
  <c r="I26" i="52"/>
  <c r="G28" i="52"/>
  <c r="K28" i="52"/>
  <c r="Z28" i="52"/>
  <c r="L21" i="52"/>
  <c r="L23" i="52"/>
  <c r="J24" i="52"/>
  <c r="L28" i="52"/>
  <c r="F24" i="52"/>
  <c r="P24" i="52"/>
  <c r="AL24" i="52" s="1"/>
  <c r="L25" i="52"/>
  <c r="F26" i="52"/>
  <c r="J26" i="52"/>
  <c r="P26" i="52"/>
  <c r="AL26" i="52" s="1"/>
  <c r="I21" i="52"/>
  <c r="I23" i="52"/>
  <c r="G24" i="52"/>
  <c r="K24" i="52"/>
  <c r="I25" i="52"/>
  <c r="G26" i="52"/>
  <c r="K26" i="52"/>
  <c r="I28" i="52"/>
  <c r="J29" i="52" l="1"/>
  <c r="AL20" i="52"/>
  <c r="M9" i="52"/>
  <c r="AL10" i="52"/>
  <c r="M28" i="52"/>
  <c r="M25" i="52"/>
  <c r="AM25" i="52" s="1"/>
  <c r="AR25" i="52" s="1"/>
  <c r="M13" i="52"/>
  <c r="M23" i="52"/>
  <c r="AM23" i="52" s="1"/>
  <c r="AR23" i="52" s="1"/>
  <c r="M12" i="52"/>
  <c r="AM12" i="52" s="1"/>
  <c r="AR12" i="52" s="1"/>
  <c r="M21" i="52"/>
  <c r="AM21" i="52" s="1"/>
  <c r="AR21" i="52" s="1"/>
  <c r="M22" i="52"/>
  <c r="M15" i="52"/>
  <c r="AM15" i="52" s="1"/>
  <c r="AR15" i="52" s="1"/>
  <c r="M17" i="52"/>
  <c r="M10" i="52"/>
  <c r="M19" i="52"/>
  <c r="AM19" i="52" s="1"/>
  <c r="AR19" i="52" s="1"/>
  <c r="M11" i="52"/>
  <c r="AM11" i="52" s="1"/>
  <c r="AR11" i="52" s="1"/>
  <c r="M26" i="52"/>
  <c r="AM26" i="52" s="1"/>
  <c r="AR26" i="52" s="1"/>
  <c r="M24" i="52"/>
  <c r="AM24" i="52" s="1"/>
  <c r="AR24" i="52" s="1"/>
  <c r="M18" i="52"/>
  <c r="AM18" i="52" s="1"/>
  <c r="AR18" i="52" s="1"/>
  <c r="M20" i="52"/>
  <c r="M16" i="52"/>
  <c r="AL13" i="52"/>
  <c r="AL22" i="52"/>
  <c r="AL9" i="52"/>
  <c r="AL28" i="52"/>
  <c r="AM17" i="52" l="1"/>
  <c r="AR17" i="52" s="1"/>
  <c r="M29" i="52"/>
  <c r="AL29" i="52"/>
  <c r="AM16" i="52"/>
  <c r="AR16" i="52" s="1"/>
  <c r="AM20" i="52"/>
  <c r="AR20" i="52" s="1"/>
  <c r="AM28" i="52"/>
  <c r="AR28" i="52" s="1"/>
  <c r="AM10" i="52"/>
  <c r="AR10" i="52" s="1"/>
  <c r="AM13" i="52"/>
  <c r="AR13" i="52" s="1"/>
  <c r="AM22" i="52"/>
  <c r="AR22" i="52" s="1"/>
  <c r="AM9" i="52"/>
  <c r="AM29" i="52" l="1"/>
  <c r="AR9" i="52"/>
  <c r="AR29" i="52" s="1"/>
  <c r="L39" i="46" l="1"/>
  <c r="P21" i="46"/>
  <c r="P20" i="46"/>
  <c r="P19" i="46"/>
  <c r="P22" i="46" l="1"/>
  <c r="L37" i="39" l="1"/>
  <c r="P21" i="39"/>
  <c r="P20" i="39"/>
  <c r="P19" i="39"/>
  <c r="P22" i="39" l="1"/>
  <c r="F18" i="15" l="1"/>
  <c r="F22" i="15"/>
  <c r="V16" i="15"/>
  <c r="W16" i="15"/>
  <c r="K16" i="15"/>
  <c r="L16" i="15" s="1"/>
  <c r="M16" i="15"/>
  <c r="Q16" i="15" s="1"/>
  <c r="F17" i="15"/>
  <c r="V17" i="15" s="1"/>
  <c r="W17" i="15"/>
  <c r="I17" i="15"/>
  <c r="O17" i="15"/>
  <c r="W18" i="15"/>
  <c r="I18" i="15"/>
  <c r="O18" i="15"/>
  <c r="F19" i="15"/>
  <c r="W19" i="15"/>
  <c r="I19" i="15"/>
  <c r="O19" i="15"/>
  <c r="F20" i="15"/>
  <c r="W20" i="15"/>
  <c r="I20" i="15"/>
  <c r="O20" i="15"/>
  <c r="F21" i="15"/>
  <c r="W21" i="15"/>
  <c r="I21" i="15"/>
  <c r="O21" i="15"/>
  <c r="W22" i="15"/>
  <c r="I22" i="15"/>
  <c r="O22" i="15"/>
  <c r="F23" i="15"/>
  <c r="V23" i="15" s="1"/>
  <c r="W23" i="15"/>
  <c r="I23" i="15"/>
  <c r="O23" i="15"/>
  <c r="D25" i="15"/>
  <c r="AL10" i="15"/>
  <c r="Y17" i="15" l="1"/>
  <c r="Y23" i="15"/>
  <c r="R16" i="15"/>
  <c r="S16" i="15" s="1"/>
  <c r="M23" i="15"/>
  <c r="Q23" i="15" s="1"/>
  <c r="K23" i="15"/>
  <c r="L23" i="15" s="1"/>
  <c r="K22" i="15"/>
  <c r="L22" i="15" s="1"/>
  <c r="M17" i="15"/>
  <c r="Q17" i="15" s="1"/>
  <c r="K17" i="15"/>
  <c r="L17" i="15" s="1"/>
  <c r="Y16" i="15"/>
  <c r="M22" i="15"/>
  <c r="Q22" i="15" s="1"/>
  <c r="V22" i="15"/>
  <c r="Y22" i="15" s="1"/>
  <c r="V18" i="15"/>
  <c r="Y18" i="15" s="1"/>
  <c r="K18" i="15"/>
  <c r="L18" i="15" s="1"/>
  <c r="M18" i="15"/>
  <c r="Q18" i="15" s="1"/>
  <c r="V20" i="15"/>
  <c r="Y20" i="15" s="1"/>
  <c r="K20" i="15"/>
  <c r="L20" i="15" s="1"/>
  <c r="M20" i="15"/>
  <c r="Q20" i="15" s="1"/>
  <c r="M21" i="15"/>
  <c r="Q21" i="15" s="1"/>
  <c r="V21" i="15"/>
  <c r="Y21" i="15" s="1"/>
  <c r="K21" i="15"/>
  <c r="L21" i="15" s="1"/>
  <c r="M19" i="15"/>
  <c r="Q19" i="15" s="1"/>
  <c r="V19" i="15"/>
  <c r="Y19" i="15" s="1"/>
  <c r="K19" i="15"/>
  <c r="L19" i="15" s="1"/>
  <c r="Z16" i="15" l="1"/>
  <c r="AA16" i="15" s="1"/>
  <c r="R17" i="15"/>
  <c r="S17" i="15" s="1"/>
  <c r="Z17" i="15" s="1"/>
  <c r="AA17" i="15" s="1"/>
  <c r="R23" i="15"/>
  <c r="S23" i="15" s="1"/>
  <c r="Z23" i="15" s="1"/>
  <c r="AA23" i="15" s="1"/>
  <c r="R22" i="15"/>
  <c r="S22" i="15" s="1"/>
  <c r="Z22" i="15" s="1"/>
  <c r="AA22" i="15" s="1"/>
  <c r="R19" i="15"/>
  <c r="S19" i="15" s="1"/>
  <c r="Z19" i="15" s="1"/>
  <c r="AA19" i="15" s="1"/>
  <c r="R18" i="15"/>
  <c r="S18" i="15" s="1"/>
  <c r="Z18" i="15" s="1"/>
  <c r="AA18" i="15" s="1"/>
  <c r="R20" i="15"/>
  <c r="S20" i="15" s="1"/>
  <c r="Z20" i="15" s="1"/>
  <c r="AA20" i="15" s="1"/>
  <c r="R21" i="15"/>
  <c r="S21" i="15" s="1"/>
  <c r="Z21" i="15" s="1"/>
  <c r="AA21" i="15" s="1"/>
  <c r="AA25" i="15" l="1"/>
</calcChain>
</file>

<file path=xl/sharedStrings.xml><?xml version="1.0" encoding="utf-8"?>
<sst xmlns="http://schemas.openxmlformats.org/spreadsheetml/2006/main" count="712" uniqueCount="365">
  <si>
    <t>NAME</t>
  </si>
  <si>
    <t>PHIC EE</t>
  </si>
  <si>
    <t>ECARDPLUS</t>
  </si>
  <si>
    <t>PLOPT</t>
  </si>
  <si>
    <t>TOTAL DEDUC</t>
  </si>
  <si>
    <t>OVER PAYMENT</t>
  </si>
  <si>
    <t>SG</t>
  </si>
  <si>
    <t>SEQ NO</t>
  </si>
  <si>
    <t>ECIP</t>
  </si>
  <si>
    <t>GSIS-ER</t>
  </si>
  <si>
    <t>TOTAL NET PAY</t>
  </si>
  <si>
    <t>DIFFERENCE</t>
  </si>
  <si>
    <t>EMRGYLN 
(GCL)</t>
  </si>
  <si>
    <t>EDUC_ASST
(GEA)</t>
  </si>
  <si>
    <t>PLREG 
(POL)</t>
  </si>
  <si>
    <t>PAG-IBIG EE
(FUN)</t>
  </si>
  <si>
    <t>COOP
(COP)</t>
  </si>
  <si>
    <t>UKKKRI LOAN
(UKK)</t>
  </si>
  <si>
    <t>LAND BANK 
(LBP)</t>
  </si>
  <si>
    <t>RANG-AY
(RRB)</t>
  </si>
  <si>
    <t>PAG-IBIG CALAMITY 
(PA1)</t>
  </si>
  <si>
    <t>PAG-IBIG MP 
(MUL)</t>
  </si>
  <si>
    <t>CEAP 
(ED1)</t>
  </si>
  <si>
    <t>UKKKRI
(ADI)</t>
  </si>
  <si>
    <t>CONSOLOAN
(GCN)</t>
  </si>
  <si>
    <t>PERA
(%)</t>
  </si>
  <si>
    <t>PAG-IBIG EE MODIFIED
(PA2)</t>
  </si>
  <si>
    <t>OPT_LIFE
(UOI)</t>
  </si>
  <si>
    <t>SALARY 
(*)</t>
  </si>
  <si>
    <t>GSIS -EE
(LIF)</t>
  </si>
  <si>
    <t>DISALLOWANCE
(DIS)</t>
  </si>
  <si>
    <t>WITHOUT PAY 
(WP)</t>
  </si>
  <si>
    <t>PAG-IBIG HOUSING
(PHO)</t>
  </si>
  <si>
    <t>TOTAL</t>
  </si>
  <si>
    <t>SEPT 1 - 15</t>
  </si>
  <si>
    <t>SEPT 16 - 30</t>
  </si>
  <si>
    <t>TOTAL NET PAY 
SEPTEMBER</t>
  </si>
  <si>
    <t>SUBSISTENCE</t>
  </si>
  <si>
    <t>LAUNDRY</t>
  </si>
  <si>
    <t>HAZARD PAY</t>
  </si>
  <si>
    <t>LAUNDRY PAY</t>
  </si>
  <si>
    <t>SUBSISTENCE PAY</t>
  </si>
  <si>
    <t>TOTAL SALARY</t>
  </si>
  <si>
    <t>HP RATE</t>
  </si>
  <si>
    <t>NO. OF DAYS PRESENT</t>
  </si>
  <si>
    <t>WORKING DAYS</t>
  </si>
  <si>
    <t>SUBSISTENCE PER DAY</t>
  </si>
  <si>
    <t>SUBSISTENCE DEDUCTION</t>
  </si>
  <si>
    <t>SUBSISTENCE PER MONTH</t>
  </si>
  <si>
    <t>2019 BUDGET PROPOSAL</t>
  </si>
  <si>
    <t>Department</t>
  </si>
  <si>
    <t>:  Department of Health</t>
  </si>
  <si>
    <t>RO/Bureau/Office</t>
  </si>
  <si>
    <t>:  Health Human Resource Development Bureau</t>
  </si>
  <si>
    <t>Program</t>
  </si>
  <si>
    <t>:  Health Systems Strengthening Program</t>
  </si>
  <si>
    <t>Sub-Program</t>
  </si>
  <si>
    <t>:  Health Human Resource Sub-Program</t>
  </si>
  <si>
    <t>Line Item</t>
  </si>
  <si>
    <r>
      <rPr>
        <sz val="12"/>
        <color theme="1"/>
        <rFont val="Arial"/>
        <family val="2"/>
      </rPr>
      <t xml:space="preserve">: </t>
    </r>
    <r>
      <rPr>
        <b/>
        <sz val="12"/>
        <color theme="1"/>
        <rFont val="Arial"/>
        <family val="2"/>
      </rPr>
      <t xml:space="preserve"> Human Resources for Health Deployment</t>
    </r>
  </si>
  <si>
    <t>Organizational Outcome</t>
  </si>
  <si>
    <t>:  Access to Promotive and Preventive Healthcare Services Improved</t>
  </si>
  <si>
    <t>Object Code</t>
  </si>
  <si>
    <t>:  310202100001000</t>
  </si>
  <si>
    <t>Calendar Year</t>
  </si>
  <si>
    <t>:  2019</t>
  </si>
  <si>
    <t>POSITION</t>
  </si>
  <si>
    <t>SG
SSL 4 - Tranche</t>
  </si>
  <si>
    <r>
      <rPr>
        <sz val="10"/>
        <color theme="1"/>
        <rFont val="Arial"/>
        <family val="2"/>
      </rPr>
      <t>(A)</t>
    </r>
    <r>
      <rPr>
        <b/>
        <sz val="10"/>
        <color theme="1"/>
        <rFont val="Arial"/>
        <family val="2"/>
      </rPr>
      <t xml:space="preserve">
Total No. of Slots</t>
    </r>
  </si>
  <si>
    <r>
      <rPr>
        <sz val="10"/>
        <color theme="1"/>
        <rFont val="Arial"/>
        <family val="2"/>
      </rPr>
      <t xml:space="preserve">(B) </t>
    </r>
    <r>
      <rPr>
        <b/>
        <sz val="10"/>
        <color theme="1"/>
        <rFont val="Arial"/>
        <family val="2"/>
      </rPr>
      <t xml:space="preserve">
No. of Months</t>
    </r>
  </si>
  <si>
    <t>COST for BASIC PAY, PERA, RA, SUBSISTENCE, LAUNDRY, HAZARD</t>
  </si>
  <si>
    <t>EMPLOYER SHARE</t>
  </si>
  <si>
    <r>
      <rPr>
        <sz val="10"/>
        <color theme="1"/>
        <rFont val="Arial"/>
        <family val="2"/>
      </rPr>
      <t>(C)</t>
    </r>
    <r>
      <rPr>
        <b/>
        <sz val="10"/>
        <color theme="1"/>
        <rFont val="Arial"/>
        <family val="2"/>
      </rPr>
      <t xml:space="preserve">
TOTAL</t>
    </r>
  </si>
  <si>
    <r>
      <rPr>
        <sz val="10"/>
        <color theme="1"/>
        <rFont val="Arial"/>
        <family val="2"/>
      </rPr>
      <t>(D=B*C)</t>
    </r>
    <r>
      <rPr>
        <b/>
        <sz val="10"/>
        <color theme="1"/>
        <rFont val="Arial"/>
        <family val="2"/>
      </rPr>
      <t xml:space="preserve">
TOTAL COST</t>
    </r>
  </si>
  <si>
    <t>ADDITIONAL BENEFITS</t>
  </si>
  <si>
    <r>
      <rPr>
        <sz val="10"/>
        <color theme="1"/>
        <rFont val="Arial"/>
        <family val="2"/>
      </rPr>
      <t xml:space="preserve">(F=D+E) </t>
    </r>
    <r>
      <rPr>
        <b/>
        <sz val="10"/>
        <color theme="1"/>
        <rFont val="Arial"/>
        <family val="2"/>
      </rPr>
      <t xml:space="preserve">
Total Salary + Benefits for 1 Year</t>
    </r>
  </si>
  <si>
    <r>
      <rPr>
        <sz val="10"/>
        <color theme="1"/>
        <rFont val="Arial"/>
        <family val="2"/>
      </rPr>
      <t>(G=A*F)</t>
    </r>
    <r>
      <rPr>
        <b/>
        <sz val="10"/>
        <color theme="1"/>
        <rFont val="Arial"/>
        <family val="2"/>
      </rPr>
      <t xml:space="preserve">
Total Salary + Benefits</t>
    </r>
  </si>
  <si>
    <t>Mid-Year BONUS</t>
  </si>
  <si>
    <t>CLOTHING</t>
  </si>
  <si>
    <t>Year-End BONUS</t>
  </si>
  <si>
    <t>CASH GIFT</t>
  </si>
  <si>
    <t>PEI</t>
  </si>
  <si>
    <r>
      <rPr>
        <sz val="9"/>
        <color theme="1"/>
        <rFont val="Arial"/>
        <family val="2"/>
      </rPr>
      <t>(E)</t>
    </r>
    <r>
      <rPr>
        <b/>
        <sz val="9"/>
        <color theme="1"/>
        <rFont val="Arial"/>
        <family val="2"/>
      </rPr>
      <t xml:space="preserve"> 
TOTAL</t>
    </r>
  </si>
  <si>
    <t>BASIC</t>
  </si>
  <si>
    <t>PERA</t>
  </si>
  <si>
    <t>RA</t>
  </si>
  <si>
    <t>HAZARD</t>
  </si>
  <si>
    <r>
      <t xml:space="preserve">TOTAL
</t>
    </r>
    <r>
      <rPr>
        <sz val="8"/>
        <color theme="1"/>
        <rFont val="Arial"/>
        <family val="2"/>
      </rPr>
      <t>(as stated in the memo)</t>
    </r>
  </si>
  <si>
    <t>GSIS</t>
  </si>
  <si>
    <t>PAG IBIG</t>
  </si>
  <si>
    <t>PHIC</t>
  </si>
  <si>
    <t>PER MONTH</t>
  </si>
  <si>
    <t>Medical Officer IV 
(Deployment of Resident Physicians)</t>
  </si>
  <si>
    <t xml:space="preserve">Dentist II </t>
  </si>
  <si>
    <t>Nurse II</t>
  </si>
  <si>
    <t>Pharmacist II</t>
  </si>
  <si>
    <t>Medical Technologist II</t>
  </si>
  <si>
    <t>Nutritionist - Dietititians II</t>
  </si>
  <si>
    <t>Midwife II</t>
  </si>
  <si>
    <t>Sub-Total:</t>
  </si>
  <si>
    <t>SL CODE
TIN</t>
  </si>
  <si>
    <t>MONTHLY BASIC SALARY</t>
  </si>
  <si>
    <t>SUB TOTAL</t>
  </si>
  <si>
    <t>GRAND TOTAL</t>
  </si>
  <si>
    <t>NO. OF LEAVES WITH PAY</t>
  </si>
  <si>
    <t>G E N E R A L   P A Y R O L L</t>
  </si>
  <si>
    <t>DOH-CENTER FOR HEALTH DEVELOPMENT - I</t>
  </si>
  <si>
    <t>Name of  Office</t>
  </si>
  <si>
    <t>Period covered</t>
  </si>
  <si>
    <t>We acknowledge receipt of cash shown opposite our name as ull compensation for the period covered</t>
  </si>
  <si>
    <t>REMARKS</t>
  </si>
  <si>
    <t xml:space="preserve">          CERTIFIED: Services duly rendered as stated.</t>
  </si>
  <si>
    <t xml:space="preserve">          APPROVED FOR PAYMENT:______________________________________________________</t>
  </si>
  <si>
    <t xml:space="preserve">       ________________________________________________(Php ______________)</t>
  </si>
  <si>
    <r>
      <t xml:space="preserve"> </t>
    </r>
    <r>
      <rPr>
        <b/>
        <u/>
        <sz val="12"/>
        <rFont val="Times New Roman"/>
        <family val="1"/>
      </rPr>
      <t>GUDELIA M. TE, MDA</t>
    </r>
  </si>
  <si>
    <t>Authorized Official</t>
  </si>
  <si>
    <t xml:space="preserve">                      CERTIFIED: Supporting documents complete and proper, and cash available</t>
  </si>
  <si>
    <t xml:space="preserve">         CERTIFIED: Each employee whose name appears above  has been paid the amount indicated opposite </t>
  </si>
  <si>
    <t xml:space="preserve">                in the amount of   P ________________.</t>
  </si>
  <si>
    <t xml:space="preserve">              on his/her name.</t>
  </si>
  <si>
    <t xml:space="preserve">   ALOBS No. ____________________</t>
  </si>
  <si>
    <t>ALOBS No.</t>
  </si>
  <si>
    <t xml:space="preserve">    Date: _________________________</t>
  </si>
  <si>
    <t>Date :</t>
  </si>
  <si>
    <r>
      <t xml:space="preserve">  </t>
    </r>
    <r>
      <rPr>
        <b/>
        <u/>
        <sz val="12"/>
        <rFont val="Times New Roman"/>
        <family val="1"/>
      </rPr>
      <t>ERLINDA S. MONTEMAYOR, CPA</t>
    </r>
  </si>
  <si>
    <t>EPIGENIA L. BUENO</t>
  </si>
  <si>
    <t xml:space="preserve">    JEV No. ______________________</t>
  </si>
  <si>
    <t>JEV No,</t>
  </si>
  <si>
    <t xml:space="preserve">   Accountant III</t>
  </si>
  <si>
    <t>Date</t>
  </si>
  <si>
    <t>Administrative Officer V</t>
  </si>
  <si>
    <t xml:space="preserve">     Date: </t>
  </si>
  <si>
    <t>Disbursing Officer</t>
  </si>
  <si>
    <t>W/ TAX</t>
  </si>
  <si>
    <t>Appendix 11</t>
  </si>
  <si>
    <t>OBLIGATION REQUEST AND STATUS</t>
  </si>
  <si>
    <t>Serial No. : _____________________</t>
  </si>
  <si>
    <t>Date : _________________________</t>
  </si>
  <si>
    <t>Entity Name</t>
  </si>
  <si>
    <t>Fund Cluster : ___________________</t>
  </si>
  <si>
    <t>Payee</t>
  </si>
  <si>
    <t>Office</t>
  </si>
  <si>
    <t>DOH-CHD I</t>
  </si>
  <si>
    <t>Address</t>
  </si>
  <si>
    <t>Responsibility Center</t>
  </si>
  <si>
    <t>Particulars</t>
  </si>
  <si>
    <t>MFO/PAP</t>
  </si>
  <si>
    <t>UACS Object Code</t>
  </si>
  <si>
    <t>Amount</t>
  </si>
  <si>
    <t>ABELLON, GREG JHOANNES</t>
  </si>
  <si>
    <t>P/P/A : 224002000200000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</si>
  <si>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</si>
  <si>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</si>
  <si>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</si>
  <si>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</si>
  <si>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</si>
  <si>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</si>
  <si>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</si>
  <si>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</si>
  <si>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</si>
  <si>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</si>
  <si>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</si>
  <si>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</si>
  <si>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</si>
  <si>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Printed Name: ____________________________________</t>
  </si>
  <si>
    <t>Printed Name:</t>
  </si>
  <si>
    <t>MARIBEL A. CEREZO</t>
  </si>
  <si>
    <t>Position        :</t>
  </si>
  <si>
    <t>Head, Requesting Office/Authorized Representative</t>
  </si>
  <si>
    <t>Head, Budget Division/Unit/Authorized Representative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</si>
  <si>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</si>
  <si>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</si>
  <si>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</si>
  <si>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</si>
  <si>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</si>
  <si>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</si>
  <si>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</si>
  <si>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</si>
  <si>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</si>
  <si>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</si>
  <si>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</si>
  <si>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</si>
  <si>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</si>
  <si>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</si>
  <si>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</si>
  <si>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</si>
  <si>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</si>
  <si>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</si>
  <si>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</si>
  <si>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</si>
  <si>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</si>
  <si>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</si>
  <si>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</si>
  <si>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</si>
  <si>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</si>
  <si>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</si>
  <si>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</si>
  <si>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</si>
  <si>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</si>
  <si>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</si>
  <si>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</si>
  <si>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</si>
  <si>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</si>
  <si>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</si>
  <si>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</si>
  <si>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</si>
  <si>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</si>
  <si>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</si>
  <si>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Head Accounting Unit</t>
  </si>
  <si>
    <t>Chief, MSD</t>
  </si>
  <si>
    <t xml:space="preserve">                                 Chief, MSD</t>
  </si>
  <si>
    <t>ILOCOS NORTE</t>
  </si>
  <si>
    <t xml:space="preserve">                               Chief, MSD</t>
  </si>
  <si>
    <t xml:space="preserve"> TOTAL</t>
  </si>
  <si>
    <t>SUB-TOTAL</t>
  </si>
  <si>
    <t>PS CONTRACTUAL</t>
  </si>
  <si>
    <t>`</t>
  </si>
  <si>
    <t>MIDWIVES-PS CONTRACTUAL (RHMPP) ILOCOS NORTE BASIC SALARY, PERA,HAZARD PAY, SUBSISTENCE &amp; LAUNDRY ALLOWANCE</t>
  </si>
  <si>
    <t xml:space="preserve"> </t>
  </si>
  <si>
    <t>MIDWIVES II -PS CONTRACTUAL</t>
  </si>
  <si>
    <t>PHARMACIST</t>
  </si>
  <si>
    <t>MEDTECH</t>
  </si>
  <si>
    <t xml:space="preserve">          CERTIFIED: Each employee whose name appears above  has been paid the amount indicated opposite </t>
  </si>
  <si>
    <t xml:space="preserve">  </t>
  </si>
  <si>
    <t>Director III</t>
  </si>
  <si>
    <t>NDP - ILOCOS NORTE BASIC SALARY, PERA,HAZARD PAY, SUBSISTENCE &amp; LAUNDRY ALLOWANCE</t>
  </si>
  <si>
    <t>ABAD, NISSAN JAY A.</t>
  </si>
  <si>
    <t>AGPALZA, TWINKLE D.</t>
  </si>
  <si>
    <t>AGUINALDO, KRISTINE MAE G.</t>
  </si>
  <si>
    <t>ALBINO, YNA JOYCE L.</t>
  </si>
  <si>
    <t>ALEJANDRO, DONALD D.</t>
  </si>
  <si>
    <t>ALIAGA, FRITZY GAY J.</t>
  </si>
  <si>
    <t>ALIPIO, ELOISA MAE G.</t>
  </si>
  <si>
    <t>ANCHETA, MARK VINCENT R.</t>
  </si>
  <si>
    <t>ANTALAN, JUVY F.</t>
  </si>
  <si>
    <t>ARCANGEL, DORIS DAY B.</t>
  </si>
  <si>
    <t>BAGAOISAN, RICHELLE MARIE U.</t>
  </si>
  <si>
    <t>BALALIO, RACHELLE MAE D.</t>
  </si>
  <si>
    <t>BALANAY, MARIE CHANTAL V.</t>
  </si>
  <si>
    <t>BAROT, LENDAYLE R.</t>
  </si>
  <si>
    <t>BAYSA, JHOANA MARIE P.</t>
  </si>
  <si>
    <t>BONGOLAN, EDERLYN G.</t>
  </si>
  <si>
    <t>BONILLA, STEVENSON C.</t>
  </si>
  <si>
    <t>BUMATAY, CURREN B.</t>
  </si>
  <si>
    <t>CABACUNGAN, LYCA MARIEL T.</t>
  </si>
  <si>
    <t>CABEBE, REINA G.</t>
  </si>
  <si>
    <t>CALA, MARK JESSELL J.</t>
  </si>
  <si>
    <t>CALAPINI, SHIELA KATE A.</t>
  </si>
  <si>
    <t>CARIAGA, BRIGITTE LALENE M.</t>
  </si>
  <si>
    <t>CARLOS, KAARA SHAE V.</t>
  </si>
  <si>
    <t>DAWANG, JOFELLE P.</t>
  </si>
  <si>
    <t>DE LA CRUZ, RENALYN S.</t>
  </si>
  <si>
    <t>DEL ROSARIO, JENIEVE LEIGH J.</t>
  </si>
  <si>
    <t>DEL ROSARIO, GENEVIEVE I.</t>
  </si>
  <si>
    <t>DELOS SANTOS, JUVEL R.</t>
  </si>
  <si>
    <t>DOMINGO, KAREN CHRISTINE P.</t>
  </si>
  <si>
    <t>FERNANDO, MYRON EUSEBIO A.</t>
  </si>
  <si>
    <t>FORONDA, PRIMA REINA V.</t>
  </si>
  <si>
    <t>GACHO, SHARMAINE F.</t>
  </si>
  <si>
    <t>GAN, JOHN MARK F.</t>
  </si>
  <si>
    <t>GARCIA, LANA KATHLYN MAE T.</t>
  </si>
  <si>
    <t>HOGAR, JUSTIN ANTHONIUS L.</t>
  </si>
  <si>
    <t>IBUYAT, GRETCHEN G.</t>
  </si>
  <si>
    <t>IGNACIO, CHRISTIAN F.</t>
  </si>
  <si>
    <t>JUSTO, MA. CHRISERMA R.</t>
  </si>
  <si>
    <t>LAZARO, MARIE KAYSELLINE C.</t>
  </si>
  <si>
    <t>MANGAPIT, ANTONETTE I.</t>
  </si>
  <si>
    <t>MANGOBA, JORGE PAUL B.</t>
  </si>
  <si>
    <t>NAVARRA, KEVIN MIKHAIL O.</t>
  </si>
  <si>
    <t>NICOLAS, CARL MARC P.</t>
  </si>
  <si>
    <t>OPEDA, JEYNETTE ANN G.</t>
  </si>
  <si>
    <t>PASION, ARISTOTLE B.</t>
  </si>
  <si>
    <t>PEDRONAN, PRINCESS RUBY V.</t>
  </si>
  <si>
    <t>RAMOS, AURELIA P.</t>
  </si>
  <si>
    <t>RAROGAL, REYMARK C.</t>
  </si>
  <si>
    <t>RESPICIO, RUSSEL M.</t>
  </si>
  <si>
    <t>RODRIGUEZ, JAYSON S.</t>
  </si>
  <si>
    <t>AGANON, ELSA A.</t>
  </si>
  <si>
    <t>AMORA, NESSLEE S.</t>
  </si>
  <si>
    <t>ANDRES, LORIE MAE L.</t>
  </si>
  <si>
    <t>BALANAY, CYBIL JOY A.</t>
  </si>
  <si>
    <t>BUGAOISAN, JEANELYN D.</t>
  </si>
  <si>
    <t>BUTOY, RUBY T.</t>
  </si>
  <si>
    <t>CALAPINI, ILEEN C.</t>
  </si>
  <si>
    <t>CASCAYAN, MARINEL W.</t>
  </si>
  <si>
    <t>GRANDE, JULIE ANN S.</t>
  </si>
  <si>
    <t>GUMALAOI, LOVELY JOY S.</t>
  </si>
  <si>
    <t>JOSE, LILIDEL M.</t>
  </si>
  <si>
    <t>QUEDDENG, MARIEFE D.</t>
  </si>
  <si>
    <t>QUEVEDO, SHIRLEY E.</t>
  </si>
  <si>
    <t>RAVELO, RHIC ANN MAE L.</t>
  </si>
  <si>
    <t>ROBUELTO, DIANA S.</t>
  </si>
  <si>
    <t>SUNIGA, VERONICA ALEXANDRIA C.</t>
  </si>
  <si>
    <t>TAGLE, LIA MARIE D.</t>
  </si>
  <si>
    <t>VALDEZ, MARY CRIS D.</t>
  </si>
  <si>
    <t>ADORA, RAFAEL LAWRENCE C.</t>
  </si>
  <si>
    <t>RUIZ, JUVELYN D.</t>
  </si>
  <si>
    <t>VERDADERO, JEF JOSHUA R.</t>
  </si>
  <si>
    <t>MATA, MARK BRYAN R.</t>
  </si>
  <si>
    <t>PHYSICAL THERAPIST</t>
  </si>
  <si>
    <t>PASCUA, ANNE SHALDAN MAE F.</t>
  </si>
  <si>
    <t>DENTIST</t>
  </si>
  <si>
    <t>CORPUZ, MARGARETTE CARMEL G.</t>
  </si>
  <si>
    <t>GALLANO, ALLEN G.</t>
  </si>
  <si>
    <t>ALDOS, ROMEL M.</t>
  </si>
  <si>
    <t>(NDP II) - PS CONTRACTUAL</t>
  </si>
  <si>
    <t>CASTILLO, RACHEL JOY I.</t>
  </si>
  <si>
    <t>RODOLFO ANTONIO M. ALBORNOZ, MD, MPH, MDM, CESE</t>
  </si>
  <si>
    <t>CACACTING GEORGE ANDREW P.</t>
  </si>
  <si>
    <t>CORPUZ, JAYNE CHRISEL M.</t>
  </si>
  <si>
    <t>LAGUA, KRSITINE ANN T.</t>
  </si>
  <si>
    <t>SIMON, ROSE MARIE M.</t>
  </si>
  <si>
    <t>SULQUIANO, ROSEMARIE M.</t>
  </si>
  <si>
    <t>TAGUICANA, RICHARD A.</t>
  </si>
  <si>
    <t>TORIBIO, JEAN R.</t>
  </si>
  <si>
    <t>TORRALBA, JETHRO Q.</t>
  </si>
  <si>
    <t>TUMANENG, ADRIAN NICOLAS R.</t>
  </si>
  <si>
    <t>ALBINO-GONZALES, ELSIE A.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</si>
  <si>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</si>
  <si>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</si>
  <si>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</si>
  <si>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</si>
  <si>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</si>
  <si>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</si>
  <si>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</si>
  <si>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</si>
  <si>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</si>
  <si>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</si>
  <si>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</si>
  <si>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</si>
  <si>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</si>
  <si>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</si>
  <si>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</si>
  <si>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</si>
  <si>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</si>
  <si>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</si>
  <si>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</si>
  <si>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</si>
  <si>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PARADO-RAMOS, JOANNE MARIE P.</t>
  </si>
  <si>
    <t xml:space="preserve">(PHARMACIST II, MEDTECH II, PHYSICAL </t>
  </si>
  <si>
    <t>THERAPIST II, DENTIST II)</t>
  </si>
  <si>
    <t>PDP, MTDP, PTDP, DDP  ILOCOS NORTE BASIC SALARY, PERA,HAZARD PAY, SUBSISTENCE &amp; LAUNDRY ALLOWANCE</t>
  </si>
  <si>
    <t>SUBTOTAL</t>
  </si>
  <si>
    <t>DUMLAO, HAZEL JOY C.</t>
  </si>
  <si>
    <t>UNIDA, MARY JANE E.</t>
  </si>
  <si>
    <t>General Payroll- ADORA, RAFAEL LAWRENCE C. &amp; 7 OTHERS</t>
  </si>
  <si>
    <t>BUGAOISAN, JENNA GELLI</t>
  </si>
  <si>
    <t>General Payroll- AGANON, ELSA A. &amp; 19 OTHERS</t>
  </si>
  <si>
    <t>JUNE 2023</t>
  </si>
  <si>
    <t>RESIGNED: JUNE 16, 2023</t>
  </si>
  <si>
    <t>ADDU, MARICEL L.</t>
  </si>
  <si>
    <t>AGNO, JULIE ANNE PATRIX P.</t>
  </si>
  <si>
    <t>To obligate BASIC SALARY, PERA, SUBSISTENCE, LAUNDRY AND HAZARD PAY for the month of JUNE 2023 as per attached supporting papers in the amount of .......</t>
  </si>
  <si>
    <t>General Payroll - ABAD, NISSAN JAY A. &amp; 64 OTHERS</t>
  </si>
  <si>
    <t xml:space="preserve">ETD: MAY 11, 2023; Advanced payroll for the month of June </t>
  </si>
  <si>
    <t>SL -MAY 8; EL -MAY 19, 2023 -W/ PAY.</t>
  </si>
  <si>
    <t>3SL -MAY 12,15,16, 2023 -W/ PAY.</t>
  </si>
  <si>
    <t>SL -MAY 22, 2023 -W/ PAY.</t>
  </si>
  <si>
    <t>2SL - MAY 4-5; 6QL -MAY 18-19,22-25, 2023</t>
  </si>
  <si>
    <t>4SL - MAY 15-17,29, 2023 -W/ PAY.</t>
  </si>
  <si>
    <t>2SL - MAY 10-11; 3EL - MAY 19,22-23, 2023 -W/ PAY.</t>
  </si>
  <si>
    <t>6SL -MAY 24-26,29-31, 2023 -W/ PAY.</t>
  </si>
  <si>
    <t>EL - MAY 23, 2023 -W/ PAY.</t>
  </si>
  <si>
    <t>E2EL - MAY 18-19, 2023 -W/ PAY.</t>
  </si>
  <si>
    <t>3EL - MAY 9-11, 2023 -W/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</si>
</sst>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0_ ;\-#,##0.00\ "/>
    <numFmt numFmtId="167" formatCode="mm/dd/yy;@"/>
  </numFmts>
  <fonts count="74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9"/>
      <color indexed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20"/>
      <name val="Broadway"/>
      <family val="5"/>
    </font>
    <font>
      <u/>
      <sz val="12"/>
      <name val="Arial Narrow"/>
      <family val="2"/>
    </font>
    <font>
      <sz val="8"/>
      <name val="Arial Narrow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u/>
      <sz val="12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rgb="FFFF0000"/>
      <name val="Arial Narrow"/>
      <family val="2"/>
    </font>
    <font>
      <sz val="10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4.5"/>
      <name val="Times New Roman"/>
      <family val="1"/>
    </font>
    <font>
      <b/>
      <u/>
      <sz val="12.5"/>
      <name val="Arial"/>
      <family val="2"/>
    </font>
    <font>
      <b/>
      <u/>
      <sz val="12.5"/>
      <name val="Times New Roman"/>
      <family val="1"/>
    </font>
    <font>
      <b/>
      <sz val="12.5"/>
      <name val="Arial Narrow"/>
      <family val="2"/>
    </font>
    <font>
      <sz val="11.5"/>
      <name val="Times New Roman"/>
      <family val="1"/>
    </font>
    <font>
      <sz val="11.5"/>
      <name val="Arial Narrow"/>
      <family val="2"/>
    </font>
    <font>
      <sz val="11.5"/>
      <color indexed="8"/>
      <name val="Times New Roman"/>
      <family val="1"/>
    </font>
    <font>
      <b/>
      <sz val="11"/>
      <name val="Arial"/>
      <family val="2"/>
    </font>
    <font>
      <b/>
      <sz val="14"/>
      <name val="Arial Narrow"/>
      <family val="2"/>
    </font>
    <font>
      <sz val="18.5"/>
      <name val="Broadway"/>
      <family val="5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463C1"/>
      <name val="Calibri"/>
      <family val="2"/>
    </font>
    <font>
      <b/>
      <u/>
      <sz val="12"/>
      <name val="Arial Narrow"/>
      <family val="2"/>
    </font>
    <font>
      <sz val="11"/>
      <color indexed="8"/>
      <name val="Times New Roman"/>
      <family val="1"/>
    </font>
    <font>
      <sz val="8"/>
      <name val="MS Sans Serif"/>
    </font>
    <font>
      <b/>
      <sz val="12"/>
      <color indexed="8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indexed="8"/>
      <name val="Times New Roman"/>
      <family val="1"/>
    </font>
    <font>
      <sz val="8"/>
      <name val="Times New Roman"/>
      <family val="1"/>
    </font>
    <font>
      <b/>
      <sz val="11"/>
      <color indexed="8"/>
      <name val="Times New Roman"/>
      <family val="1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u/>
      <sz val="6.6"/>
      <color theme="10"/>
      <name val="Calibri"/>
      <family val="2"/>
    </font>
    <font>
      <b/>
      <sz val="9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>
      <alignment vertical="center"/>
    </xf>
    <xf numFmtId="43" fontId="4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/>
    <xf numFmtId="0" fontId="39" fillId="0" borderId="0">
      <alignment vertical="center"/>
    </xf>
    <xf numFmtId="0" fontId="57" fillId="0" borderId="0">
      <alignment vertical="top"/>
      <protection locked="0"/>
    </xf>
    <xf numFmtId="0" fontId="4" fillId="0" borderId="0"/>
    <xf numFmtId="165" fontId="4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2" fillId="0" borderId="0"/>
    <xf numFmtId="0" fontId="70" fillId="0" borderId="0" applyNumberFormat="0" applyFill="0" applyBorder="0" applyAlignment="0" applyProtection="0"/>
    <xf numFmtId="0" fontId="71" fillId="0" borderId="0"/>
    <xf numFmtId="0" fontId="1" fillId="0" borderId="0"/>
    <xf numFmtId="0" fontId="22" fillId="0" borderId="0"/>
    <xf numFmtId="0" fontId="72" fillId="0" borderId="0" applyNumberFormat="0" applyFill="0" applyBorder="0" applyAlignment="0" applyProtection="0">
      <alignment vertical="top"/>
      <protection locked="0"/>
    </xf>
  </cellStyleXfs>
  <cellXfs count="719">
    <xf numFmtId="0" fontId="0" fillId="0" borderId="0" xfId="0"/>
    <xf numFmtId="0" fontId="9" fillId="0" borderId="0" xfId="0" applyFont="1" applyAlignment="1">
      <alignment vertical="center"/>
    </xf>
    <xf numFmtId="43" fontId="9" fillId="0" borderId="0" xfId="1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43" fontId="9" fillId="0" borderId="0" xfId="1" applyFont="1" applyFill="1" applyBorder="1" applyAlignment="1">
      <alignment vertical="center"/>
    </xf>
    <xf numFmtId="43" fontId="9" fillId="0" borderId="0" xfId="1" applyFont="1" applyFill="1" applyBorder="1" applyAlignment="1" applyProtection="1">
      <alignment vertical="center"/>
    </xf>
    <xf numFmtId="43" fontId="8" fillId="3" borderId="2" xfId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43" fontId="8" fillId="3" borderId="0" xfId="1" applyFont="1" applyFill="1" applyBorder="1" applyAlignment="1" applyProtection="1">
      <alignment horizontal="center" vertical="center" wrapText="1"/>
    </xf>
    <xf numFmtId="0" fontId="10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 wrapText="1"/>
    </xf>
    <xf numFmtId="164" fontId="11" fillId="0" borderId="0" xfId="2" applyNumberFormat="1" applyFont="1" applyAlignment="1">
      <alignment horizontal="center" vertical="center" wrapText="1"/>
    </xf>
    <xf numFmtId="43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vertical="center" wrapText="1"/>
    </xf>
    <xf numFmtId="164" fontId="11" fillId="0" borderId="0" xfId="3" applyNumberFormat="1" applyFont="1" applyAlignment="1">
      <alignment horizontal="center" vertical="center" wrapText="1"/>
    </xf>
    <xf numFmtId="164" fontId="11" fillId="0" borderId="0" xfId="4" applyNumberFormat="1" applyFont="1" applyAlignment="1">
      <alignment horizontal="center" vertical="center" wrapText="1"/>
    </xf>
    <xf numFmtId="164" fontId="11" fillId="0" borderId="0" xfId="3" applyNumberFormat="1" applyFont="1" applyAlignment="1">
      <alignment horizontal="right" vertical="center" wrapText="1"/>
    </xf>
    <xf numFmtId="164" fontId="6" fillId="0" borderId="0" xfId="2" applyNumberFormat="1" applyAlignment="1">
      <alignment vertical="center"/>
    </xf>
    <xf numFmtId="165" fontId="0" fillId="0" borderId="0" xfId="5" applyFont="1" applyAlignment="1">
      <alignment vertical="center"/>
    </xf>
    <xf numFmtId="0" fontId="6" fillId="0" borderId="0" xfId="2" applyAlignment="1">
      <alignment vertical="center"/>
    </xf>
    <xf numFmtId="166" fontId="0" fillId="0" borderId="0" xfId="5" applyNumberFormat="1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center" vertical="center"/>
    </xf>
    <xf numFmtId="164" fontId="13" fillId="0" borderId="0" xfId="2" applyNumberFormat="1" applyFont="1" applyAlignment="1">
      <alignment vertical="center"/>
    </xf>
    <xf numFmtId="164" fontId="13" fillId="0" borderId="0" xfId="2" applyNumberFormat="1" applyFont="1" applyAlignment="1">
      <alignment horizontal="center" vertical="center"/>
    </xf>
    <xf numFmtId="3" fontId="6" fillId="0" borderId="0" xfId="2" applyNumberFormat="1" applyAlignment="1">
      <alignment vertical="center"/>
    </xf>
    <xf numFmtId="0" fontId="14" fillId="0" borderId="0" xfId="2" applyFont="1" applyAlignment="1">
      <alignment vertical="center"/>
    </xf>
    <xf numFmtId="166" fontId="14" fillId="0" borderId="0" xfId="5" applyNumberFormat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4" fillId="0" borderId="0" xfId="2" applyFont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14" fillId="0" borderId="0" xfId="2" applyNumberFormat="1" applyFont="1" applyAlignment="1">
      <alignment vertical="center"/>
    </xf>
    <xf numFmtId="165" fontId="14" fillId="0" borderId="0" xfId="5" applyFont="1" applyAlignment="1">
      <alignment vertical="center"/>
    </xf>
    <xf numFmtId="164" fontId="18" fillId="2" borderId="25" xfId="2" applyNumberFormat="1" applyFont="1" applyFill="1" applyBorder="1" applyAlignment="1">
      <alignment horizontal="center" vertical="center" textRotation="90"/>
    </xf>
    <xf numFmtId="164" fontId="18" fillId="2" borderId="26" xfId="2" applyNumberFormat="1" applyFont="1" applyFill="1" applyBorder="1" applyAlignment="1">
      <alignment horizontal="center" vertical="center" textRotation="90"/>
    </xf>
    <xf numFmtId="164" fontId="19" fillId="2" borderId="27" xfId="2" applyNumberFormat="1" applyFont="1" applyFill="1" applyBorder="1" applyAlignment="1">
      <alignment horizontal="centerContinuous" vertical="center" wrapText="1"/>
    </xf>
    <xf numFmtId="164" fontId="14" fillId="2" borderId="23" xfId="2" applyNumberFormat="1" applyFont="1" applyFill="1" applyBorder="1" applyAlignment="1">
      <alignment horizontal="center" vertical="center" textRotation="90" wrapText="1"/>
    </xf>
    <xf numFmtId="164" fontId="14" fillId="2" borderId="24" xfId="2" applyNumberFormat="1" applyFont="1" applyFill="1" applyBorder="1" applyAlignment="1">
      <alignment horizontal="center" vertical="center" textRotation="90" wrapText="1"/>
    </xf>
    <xf numFmtId="164" fontId="15" fillId="2" borderId="24" xfId="2" applyNumberFormat="1" applyFont="1" applyFill="1" applyBorder="1" applyAlignment="1">
      <alignment horizontal="center" vertical="center" textRotation="90" wrapText="1"/>
    </xf>
    <xf numFmtId="164" fontId="19" fillId="2" borderId="25" xfId="2" applyNumberFormat="1" applyFont="1" applyFill="1" applyBorder="1" applyAlignment="1">
      <alignment horizontal="center" vertical="center" textRotation="90"/>
    </xf>
    <xf numFmtId="0" fontId="14" fillId="0" borderId="29" xfId="2" applyFont="1" applyBorder="1" applyAlignment="1">
      <alignment horizontal="left" vertical="center" wrapText="1"/>
    </xf>
    <xf numFmtId="0" fontId="14" fillId="0" borderId="30" xfId="2" applyFont="1" applyBorder="1" applyAlignment="1">
      <alignment horizontal="center" vertical="center"/>
    </xf>
    <xf numFmtId="164" fontId="14" fillId="0" borderId="30" xfId="2" applyNumberFormat="1" applyFont="1" applyBorder="1" applyAlignment="1">
      <alignment horizontal="center" vertical="center"/>
    </xf>
    <xf numFmtId="3" fontId="14" fillId="0" borderId="30" xfId="2" applyNumberFormat="1" applyFont="1" applyBorder="1" applyAlignment="1">
      <alignment horizontal="center" vertical="center"/>
    </xf>
    <xf numFmtId="164" fontId="14" fillId="0" borderId="30" xfId="2" applyNumberFormat="1" applyFont="1" applyBorder="1" applyAlignment="1">
      <alignment vertical="center"/>
    </xf>
    <xf numFmtId="164" fontId="14" fillId="0" borderId="31" xfId="2" applyNumberFormat="1" applyFont="1" applyBorder="1" applyAlignment="1">
      <alignment vertical="center"/>
    </xf>
    <xf numFmtId="164" fontId="15" fillId="2" borderId="32" xfId="2" applyNumberFormat="1" applyFont="1" applyFill="1" applyBorder="1" applyAlignment="1">
      <alignment horizontal="center" vertical="center"/>
    </xf>
    <xf numFmtId="164" fontId="14" fillId="0" borderId="33" xfId="2" applyNumberFormat="1" applyFont="1" applyBorder="1" applyAlignment="1">
      <alignment vertical="center"/>
    </xf>
    <xf numFmtId="164" fontId="15" fillId="0" borderId="30" xfId="2" applyNumberFormat="1" applyFont="1" applyBorder="1" applyAlignment="1">
      <alignment vertical="center"/>
    </xf>
    <xf numFmtId="165" fontId="15" fillId="0" borderId="30" xfId="5" applyFont="1" applyBorder="1" applyAlignment="1">
      <alignment vertical="center"/>
    </xf>
    <xf numFmtId="165" fontId="15" fillId="0" borderId="34" xfId="5" applyFont="1" applyBorder="1" applyAlignment="1">
      <alignment vertical="center"/>
    </xf>
    <xf numFmtId="0" fontId="14" fillId="0" borderId="35" xfId="2" applyFont="1" applyBorder="1" applyAlignment="1">
      <alignment vertical="center" wrapText="1"/>
    </xf>
    <xf numFmtId="0" fontId="14" fillId="0" borderId="36" xfId="2" applyFont="1" applyBorder="1" applyAlignment="1">
      <alignment horizontal="center" vertical="center"/>
    </xf>
    <xf numFmtId="164" fontId="14" fillId="0" borderId="36" xfId="2" applyNumberFormat="1" applyFont="1" applyBorder="1" applyAlignment="1">
      <alignment horizontal="center" vertical="center"/>
    </xf>
    <xf numFmtId="3" fontId="14" fillId="0" borderId="36" xfId="2" applyNumberFormat="1" applyFont="1" applyBorder="1" applyAlignment="1">
      <alignment horizontal="center" vertical="center"/>
    </xf>
    <xf numFmtId="164" fontId="14" fillId="0" borderId="36" xfId="2" applyNumberFormat="1" applyFont="1" applyBorder="1" applyAlignment="1">
      <alignment vertical="center"/>
    </xf>
    <xf numFmtId="164" fontId="14" fillId="0" borderId="37" xfId="2" applyNumberFormat="1" applyFont="1" applyBorder="1" applyAlignment="1">
      <alignment vertical="center"/>
    </xf>
    <xf numFmtId="164" fontId="15" fillId="2" borderId="38" xfId="2" applyNumberFormat="1" applyFont="1" applyFill="1" applyBorder="1" applyAlignment="1">
      <alignment horizontal="center" vertical="center"/>
    </xf>
    <xf numFmtId="164" fontId="14" fillId="0" borderId="39" xfId="2" applyNumberFormat="1" applyFont="1" applyBorder="1" applyAlignment="1">
      <alignment vertical="center"/>
    </xf>
    <xf numFmtId="164" fontId="15" fillId="0" borderId="36" xfId="2" applyNumberFormat="1" applyFont="1" applyBorder="1" applyAlignment="1">
      <alignment vertical="center"/>
    </xf>
    <xf numFmtId="165" fontId="15" fillId="0" borderId="36" xfId="5" applyFont="1" applyBorder="1" applyAlignment="1">
      <alignment vertical="center"/>
    </xf>
    <xf numFmtId="165" fontId="15" fillId="0" borderId="40" xfId="5" applyFont="1" applyBorder="1" applyAlignment="1">
      <alignment vertical="center"/>
    </xf>
    <xf numFmtId="0" fontId="14" fillId="0" borderId="41" xfId="2" applyFont="1" applyBorder="1" applyAlignment="1">
      <alignment vertical="center" wrapText="1"/>
    </xf>
    <xf numFmtId="0" fontId="14" fillId="0" borderId="42" xfId="2" applyFont="1" applyBorder="1" applyAlignment="1">
      <alignment horizontal="center" vertical="center"/>
    </xf>
    <xf numFmtId="164" fontId="14" fillId="0" borderId="42" xfId="2" applyNumberFormat="1" applyFont="1" applyBorder="1" applyAlignment="1">
      <alignment horizontal="center" vertical="center"/>
    </xf>
    <xf numFmtId="3" fontId="14" fillId="0" borderId="42" xfId="2" applyNumberFormat="1" applyFont="1" applyBorder="1" applyAlignment="1">
      <alignment horizontal="center" vertical="center"/>
    </xf>
    <xf numFmtId="164" fontId="14" fillId="0" borderId="42" xfId="2" applyNumberFormat="1" applyFont="1" applyBorder="1" applyAlignment="1">
      <alignment vertical="center"/>
    </xf>
    <xf numFmtId="164" fontId="14" fillId="0" borderId="43" xfId="2" applyNumberFormat="1" applyFont="1" applyBorder="1" applyAlignment="1">
      <alignment vertical="center"/>
    </xf>
    <xf numFmtId="164" fontId="15" fillId="2" borderId="44" xfId="2" applyNumberFormat="1" applyFont="1" applyFill="1" applyBorder="1" applyAlignment="1">
      <alignment horizontal="center" vertical="center"/>
    </xf>
    <xf numFmtId="164" fontId="14" fillId="0" borderId="45" xfId="2" applyNumberFormat="1" applyFont="1" applyBorder="1" applyAlignment="1">
      <alignment vertical="center"/>
    </xf>
    <xf numFmtId="164" fontId="15" fillId="0" borderId="42" xfId="2" applyNumberFormat="1" applyFont="1" applyBorder="1" applyAlignment="1">
      <alignment vertical="center"/>
    </xf>
    <xf numFmtId="165" fontId="15" fillId="0" borderId="42" xfId="5" applyFont="1" applyBorder="1" applyAlignment="1">
      <alignment vertical="center"/>
    </xf>
    <xf numFmtId="165" fontId="15" fillId="0" borderId="46" xfId="5" applyFont="1" applyBorder="1" applyAlignment="1">
      <alignment vertical="center"/>
    </xf>
    <xf numFmtId="0" fontId="14" fillId="0" borderId="47" xfId="2" quotePrefix="1" applyFont="1" applyBorder="1" applyAlignment="1">
      <alignment vertical="center" wrapText="1"/>
    </xf>
    <xf numFmtId="3" fontId="14" fillId="0" borderId="0" xfId="2" applyNumberFormat="1" applyFont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164" fontId="15" fillId="0" borderId="0" xfId="2" applyNumberFormat="1" applyFont="1" applyAlignment="1">
      <alignment vertical="center"/>
    </xf>
    <xf numFmtId="165" fontId="15" fillId="0" borderId="0" xfId="5" applyFont="1" applyAlignment="1">
      <alignment vertical="center"/>
    </xf>
    <xf numFmtId="165" fontId="15" fillId="0" borderId="48" xfId="5" applyFont="1" applyBorder="1" applyAlignment="1">
      <alignment vertical="center"/>
    </xf>
    <xf numFmtId="0" fontId="20" fillId="4" borderId="49" xfId="2" applyFont="1" applyFill="1" applyBorder="1" applyAlignment="1">
      <alignment vertical="center" wrapText="1"/>
    </xf>
    <xf numFmtId="0" fontId="20" fillId="4" borderId="50" xfId="2" applyFont="1" applyFill="1" applyBorder="1" applyAlignment="1">
      <alignment horizontal="center" vertical="center"/>
    </xf>
    <xf numFmtId="164" fontId="20" fillId="4" borderId="50" xfId="2" applyNumberFormat="1" applyFont="1" applyFill="1" applyBorder="1" applyAlignment="1">
      <alignment horizontal="center" vertical="center"/>
    </xf>
    <xf numFmtId="3" fontId="20" fillId="4" borderId="50" xfId="2" applyNumberFormat="1" applyFont="1" applyFill="1" applyBorder="1" applyAlignment="1">
      <alignment horizontal="center" vertical="center"/>
    </xf>
    <xf numFmtId="164" fontId="20" fillId="4" borderId="50" xfId="2" applyNumberFormat="1" applyFont="1" applyFill="1" applyBorder="1" applyAlignment="1">
      <alignment vertical="center"/>
    </xf>
    <xf numFmtId="165" fontId="20" fillId="4" borderId="50" xfId="5" applyFont="1" applyFill="1" applyBorder="1" applyAlignment="1">
      <alignment vertical="center"/>
    </xf>
    <xf numFmtId="165" fontId="21" fillId="4" borderId="51" xfId="5" applyFont="1" applyFill="1" applyBorder="1" applyAlignment="1">
      <alignment horizontal="right" vertical="center"/>
    </xf>
    <xf numFmtId="0" fontId="22" fillId="0" borderId="0" xfId="2" applyFont="1" applyAlignment="1">
      <alignment vertical="center"/>
    </xf>
    <xf numFmtId="166" fontId="22" fillId="0" borderId="0" xfId="5" applyNumberFormat="1" applyFon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5" fillId="0" borderId="0" xfId="0" applyFont="1"/>
    <xf numFmtId="0" fontId="29" fillId="0" borderId="0" xfId="0" applyFont="1"/>
    <xf numFmtId="0" fontId="30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vertical="center"/>
    </xf>
    <xf numFmtId="17" fontId="26" fillId="0" borderId="0" xfId="0" quotePrefix="1" applyNumberFormat="1" applyFont="1"/>
    <xf numFmtId="0" fontId="9" fillId="0" borderId="52" xfId="0" applyFont="1" applyBorder="1" applyAlignment="1">
      <alignment vertical="center"/>
    </xf>
    <xf numFmtId="0" fontId="9" fillId="0" borderId="53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9" fillId="0" borderId="55" xfId="0" applyFont="1" applyBorder="1" applyAlignment="1">
      <alignment vertical="center"/>
    </xf>
    <xf numFmtId="43" fontId="9" fillId="0" borderId="53" xfId="1" applyFont="1" applyFill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9" fillId="0" borderId="47" xfId="0" applyFont="1" applyBorder="1" applyAlignment="1">
      <alignment vertical="center"/>
    </xf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9" fillId="0" borderId="58" xfId="0" applyFont="1" applyBorder="1" applyAlignment="1">
      <alignment vertical="center"/>
    </xf>
    <xf numFmtId="43" fontId="9" fillId="0" borderId="13" xfId="1" applyFont="1" applyFill="1" applyBorder="1" applyAlignment="1">
      <alignment vertical="center"/>
    </xf>
    <xf numFmtId="43" fontId="33" fillId="0" borderId="13" xfId="1" applyFont="1" applyFill="1" applyBorder="1" applyAlignment="1">
      <alignment vertical="center"/>
    </xf>
    <xf numFmtId="43" fontId="9" fillId="0" borderId="59" xfId="1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3" fontId="9" fillId="0" borderId="1" xfId="1" applyFont="1" applyFill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0" borderId="51" xfId="0" applyFont="1" applyBorder="1" applyAlignment="1">
      <alignment vertical="center"/>
    </xf>
    <xf numFmtId="43" fontId="9" fillId="0" borderId="50" xfId="1" applyFont="1" applyFill="1" applyBorder="1" applyAlignment="1">
      <alignment vertical="center"/>
    </xf>
    <xf numFmtId="43" fontId="9" fillId="0" borderId="22" xfId="1" applyFont="1" applyFill="1" applyBorder="1" applyAlignment="1">
      <alignment vertical="center"/>
    </xf>
    <xf numFmtId="43" fontId="9" fillId="0" borderId="54" xfId="1" applyFont="1" applyFill="1" applyBorder="1" applyAlignment="1">
      <alignment vertical="center"/>
    </xf>
    <xf numFmtId="43" fontId="9" fillId="0" borderId="48" xfId="1" applyFont="1" applyFill="1" applyBorder="1" applyAlignment="1">
      <alignment vertical="center"/>
    </xf>
    <xf numFmtId="43" fontId="9" fillId="0" borderId="60" xfId="1" applyFont="1" applyFill="1" applyBorder="1" applyAlignment="1">
      <alignment vertical="center"/>
    </xf>
    <xf numFmtId="43" fontId="9" fillId="0" borderId="51" xfId="1" applyFont="1" applyFill="1" applyBorder="1" applyAlignment="1">
      <alignment vertical="center"/>
    </xf>
    <xf numFmtId="43" fontId="8" fillId="3" borderId="61" xfId="1" applyFont="1" applyFill="1" applyBorder="1" applyAlignment="1" applyProtection="1">
      <alignment horizontal="center" vertical="center" wrapText="1"/>
    </xf>
    <xf numFmtId="0" fontId="8" fillId="3" borderId="63" xfId="0" applyFont="1" applyFill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9" fillId="0" borderId="67" xfId="0" applyFont="1" applyBorder="1" applyAlignment="1">
      <alignment vertical="center"/>
    </xf>
    <xf numFmtId="0" fontId="33" fillId="0" borderId="0" xfId="2" applyFont="1"/>
    <xf numFmtId="0" fontId="32" fillId="0" borderId="0" xfId="2" applyFont="1"/>
    <xf numFmtId="0" fontId="40" fillId="0" borderId="17" xfId="7" applyFont="1" applyBorder="1" applyAlignment="1"/>
    <xf numFmtId="0" fontId="28" fillId="0" borderId="15" xfId="2" applyFont="1" applyBorder="1" applyAlignment="1">
      <alignment horizontal="center" vertical="center"/>
    </xf>
    <xf numFmtId="0" fontId="28" fillId="0" borderId="15" xfId="2" applyFont="1" applyBorder="1" applyAlignment="1">
      <alignment horizontal="center"/>
    </xf>
    <xf numFmtId="0" fontId="28" fillId="0" borderId="15" xfId="2" applyFont="1" applyBorder="1"/>
    <xf numFmtId="43" fontId="32" fillId="0" borderId="0" xfId="2" applyNumberFormat="1" applyFont="1"/>
    <xf numFmtId="43" fontId="41" fillId="0" borderId="0" xfId="2" applyNumberFormat="1" applyFont="1"/>
    <xf numFmtId="0" fontId="28" fillId="0" borderId="23" xfId="2" applyFont="1" applyBorder="1" applyAlignment="1">
      <alignment wrapText="1"/>
    </xf>
    <xf numFmtId="0" fontId="37" fillId="0" borderId="0" xfId="2" applyFont="1" applyAlignment="1">
      <alignment vertical="center"/>
    </xf>
    <xf numFmtId="0" fontId="37" fillId="0" borderId="0" xfId="2" applyFont="1" applyAlignment="1">
      <alignment horizontal="left" vertical="center" wrapText="1"/>
    </xf>
    <xf numFmtId="0" fontId="33" fillId="0" borderId="48" xfId="2" applyFont="1" applyBorder="1"/>
    <xf numFmtId="0" fontId="37" fillId="0" borderId="0" xfId="2" applyFont="1"/>
    <xf numFmtId="0" fontId="37" fillId="0" borderId="47" xfId="2" applyFont="1" applyBorder="1"/>
    <xf numFmtId="0" fontId="33" fillId="0" borderId="47" xfId="2" applyFont="1" applyBorder="1"/>
    <xf numFmtId="0" fontId="33" fillId="0" borderId="0" xfId="2" applyFont="1" applyAlignment="1">
      <alignment wrapText="1"/>
    </xf>
    <xf numFmtId="0" fontId="33" fillId="0" borderId="1" xfId="2" applyFont="1" applyBorder="1" applyAlignment="1">
      <alignment horizontal="left"/>
    </xf>
    <xf numFmtId="0" fontId="33" fillId="0" borderId="1" xfId="2" applyFont="1" applyBorder="1"/>
    <xf numFmtId="0" fontId="33" fillId="0" borderId="71" xfId="2" applyFont="1" applyBorder="1"/>
    <xf numFmtId="0" fontId="33" fillId="0" borderId="47" xfId="2" applyFont="1" applyBorder="1" applyAlignment="1">
      <alignment vertical="center" wrapText="1"/>
    </xf>
    <xf numFmtId="0" fontId="33" fillId="0" borderId="0" xfId="2" applyFont="1" applyAlignment="1">
      <alignment vertical="center" wrapText="1"/>
    </xf>
    <xf numFmtId="0" fontId="33" fillId="0" borderId="49" xfId="2" applyFont="1" applyBorder="1" applyAlignment="1">
      <alignment vertical="center" wrapText="1"/>
    </xf>
    <xf numFmtId="0" fontId="33" fillId="0" borderId="50" xfId="2" applyFont="1" applyBorder="1" applyAlignment="1">
      <alignment vertical="center" wrapText="1"/>
    </xf>
    <xf numFmtId="0" fontId="33" fillId="0" borderId="51" xfId="2" applyFont="1" applyBorder="1" applyAlignment="1">
      <alignment vertical="center" wrapText="1"/>
    </xf>
    <xf numFmtId="0" fontId="33" fillId="0" borderId="50" xfId="2" applyFont="1" applyBorder="1" applyAlignment="1">
      <alignment wrapText="1"/>
    </xf>
    <xf numFmtId="0" fontId="33" fillId="0" borderId="51" xfId="2" applyFont="1" applyBorder="1" applyAlignment="1">
      <alignment wrapText="1"/>
    </xf>
    <xf numFmtId="0" fontId="33" fillId="0" borderId="76" xfId="2" applyFont="1" applyBorder="1"/>
    <xf numFmtId="0" fontId="33" fillId="0" borderId="52" xfId="2" applyFont="1" applyBorder="1"/>
    <xf numFmtId="0" fontId="33" fillId="0" borderId="53" xfId="2" applyFont="1" applyBorder="1"/>
    <xf numFmtId="0" fontId="33" fillId="0" borderId="54" xfId="2" applyFont="1" applyBorder="1"/>
    <xf numFmtId="0" fontId="37" fillId="0" borderId="77" xfId="2" applyFont="1" applyBorder="1"/>
    <xf numFmtId="0" fontId="33" fillId="0" borderId="82" xfId="2" applyFont="1" applyBorder="1" applyAlignment="1">
      <alignment horizontal="center" vertical="center" wrapText="1"/>
    </xf>
    <xf numFmtId="0" fontId="33" fillId="0" borderId="77" xfId="2" applyFont="1" applyBorder="1" applyAlignment="1">
      <alignment horizontal="center" vertical="center"/>
    </xf>
    <xf numFmtId="0" fontId="33" fillId="0" borderId="85" xfId="2" applyFont="1" applyBorder="1" applyAlignment="1">
      <alignment horizontal="center" vertical="center"/>
    </xf>
    <xf numFmtId="0" fontId="33" fillId="0" borderId="85" xfId="2" applyFont="1" applyBorder="1" applyAlignment="1">
      <alignment horizontal="center"/>
    </xf>
    <xf numFmtId="0" fontId="33" fillId="0" borderId="86" xfId="2" applyFont="1" applyBorder="1" applyAlignment="1">
      <alignment horizontal="center" wrapText="1"/>
    </xf>
    <xf numFmtId="167" fontId="33" fillId="0" borderId="75" xfId="2" quotePrefix="1" applyNumberFormat="1" applyFont="1" applyBorder="1"/>
    <xf numFmtId="167" fontId="33" fillId="0" borderId="13" xfId="2" quotePrefix="1" applyNumberFormat="1" applyFont="1" applyBorder="1"/>
    <xf numFmtId="0" fontId="33" fillId="0" borderId="14" xfId="2" applyFont="1" applyBorder="1"/>
    <xf numFmtId="0" fontId="33" fillId="0" borderId="13" xfId="2" quotePrefix="1" applyFont="1" applyBorder="1"/>
    <xf numFmtId="41" fontId="33" fillId="0" borderId="75" xfId="5" applyNumberFormat="1" applyFont="1" applyBorder="1"/>
    <xf numFmtId="0" fontId="33" fillId="0" borderId="13" xfId="2" applyFont="1" applyBorder="1"/>
    <xf numFmtId="0" fontId="33" fillId="0" borderId="15" xfId="2" applyFont="1" applyBorder="1"/>
    <xf numFmtId="41" fontId="33" fillId="0" borderId="15" xfId="5" applyNumberFormat="1" applyFont="1" applyBorder="1"/>
    <xf numFmtId="41" fontId="33" fillId="0" borderId="48" xfId="5" applyNumberFormat="1" applyFont="1" applyBorder="1"/>
    <xf numFmtId="167" fontId="33" fillId="0" borderId="13" xfId="2" applyNumberFormat="1" applyFont="1" applyBorder="1"/>
    <xf numFmtId="0" fontId="33" fillId="0" borderId="75" xfId="2" applyFont="1" applyBorder="1"/>
    <xf numFmtId="41" fontId="33" fillId="0" borderId="13" xfId="5" applyNumberFormat="1" applyFont="1" applyBorder="1"/>
    <xf numFmtId="41" fontId="33" fillId="0" borderId="14" xfId="5" applyNumberFormat="1" applyFont="1" applyBorder="1"/>
    <xf numFmtId="41" fontId="33" fillId="0" borderId="48" xfId="2" applyNumberFormat="1" applyFont="1" applyBorder="1"/>
    <xf numFmtId="43" fontId="33" fillId="0" borderId="15" xfId="5" applyNumberFormat="1" applyFont="1" applyBorder="1"/>
    <xf numFmtId="167" fontId="33" fillId="0" borderId="75" xfId="2" applyNumberFormat="1" applyFont="1" applyBorder="1"/>
    <xf numFmtId="167" fontId="32" fillId="0" borderId="83" xfId="2" applyNumberFormat="1" applyFont="1" applyBorder="1"/>
    <xf numFmtId="167" fontId="32" fillId="0" borderId="22" xfId="2" applyNumberFormat="1" applyFont="1" applyBorder="1"/>
    <xf numFmtId="0" fontId="32" fillId="0" borderId="50" xfId="2" applyFont="1" applyBorder="1"/>
    <xf numFmtId="0" fontId="32" fillId="0" borderId="23" xfId="2" applyFont="1" applyBorder="1"/>
    <xf numFmtId="0" fontId="32" fillId="0" borderId="22" xfId="2" applyFont="1" applyBorder="1"/>
    <xf numFmtId="0" fontId="32" fillId="0" borderId="51" xfId="2" applyFont="1" applyBorder="1"/>
    <xf numFmtId="0" fontId="32" fillId="0" borderId="83" xfId="2" applyFont="1" applyBorder="1"/>
    <xf numFmtId="0" fontId="32" fillId="0" borderId="24" xfId="2" applyFont="1" applyBorder="1"/>
    <xf numFmtId="0" fontId="8" fillId="5" borderId="64" xfId="0" applyFont="1" applyFill="1" applyBorder="1" applyAlignment="1">
      <alignment horizontal="center" vertical="center" wrapText="1"/>
    </xf>
    <xf numFmtId="43" fontId="8" fillId="5" borderId="64" xfId="1" applyFont="1" applyFill="1" applyBorder="1" applyAlignment="1" applyProtection="1">
      <alignment horizontal="center" vertical="center" wrapText="1"/>
    </xf>
    <xf numFmtId="43" fontId="8" fillId="5" borderId="64" xfId="1" applyFont="1" applyFill="1" applyBorder="1" applyAlignment="1">
      <alignment horizontal="center" vertical="center" wrapText="1"/>
    </xf>
    <xf numFmtId="43" fontId="8" fillId="5" borderId="65" xfId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>
      <alignment horizontal="center"/>
    </xf>
    <xf numFmtId="43" fontId="9" fillId="3" borderId="2" xfId="1" applyFont="1" applyFill="1" applyBorder="1" applyAlignment="1"/>
    <xf numFmtId="43" fontId="9" fillId="5" borderId="2" xfId="1" applyFont="1" applyFill="1" applyBorder="1" applyAlignment="1">
      <alignment horizontal="right"/>
    </xf>
    <xf numFmtId="43" fontId="9" fillId="5" borderId="2" xfId="1" applyFont="1" applyFill="1" applyBorder="1" applyAlignment="1"/>
    <xf numFmtId="43" fontId="9" fillId="5" borderId="2" xfId="1" applyFont="1" applyFill="1" applyBorder="1" applyAlignment="1" applyProtection="1"/>
    <xf numFmtId="43" fontId="33" fillId="3" borderId="2" xfId="1" applyFont="1" applyFill="1" applyBorder="1" applyAlignment="1">
      <alignment vertical="center"/>
    </xf>
    <xf numFmtId="0" fontId="33" fillId="3" borderId="66" xfId="0" quotePrefix="1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43" fontId="33" fillId="3" borderId="61" xfId="1" applyFont="1" applyFill="1" applyBorder="1" applyAlignment="1">
      <alignment vertical="center"/>
    </xf>
    <xf numFmtId="43" fontId="33" fillId="3" borderId="2" xfId="1" applyFont="1" applyFill="1" applyBorder="1" applyAlignment="1" applyProtection="1">
      <alignment vertical="center"/>
    </xf>
    <xf numFmtId="43" fontId="33" fillId="3" borderId="0" xfId="1" applyFont="1" applyFill="1" applyBorder="1" applyAlignment="1" applyProtection="1">
      <alignment vertical="center"/>
    </xf>
    <xf numFmtId="0" fontId="33" fillId="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165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9" fillId="5" borderId="0" xfId="0" applyFont="1" applyFill="1"/>
    <xf numFmtId="0" fontId="9" fillId="5" borderId="53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9" fillId="5" borderId="57" xfId="0" applyFont="1" applyFill="1" applyBorder="1" applyAlignment="1">
      <alignment vertical="center"/>
    </xf>
    <xf numFmtId="0" fontId="33" fillId="0" borderId="15" xfId="2" applyFont="1" applyBorder="1" applyAlignment="1">
      <alignment horizontal="center" vertical="center"/>
    </xf>
    <xf numFmtId="0" fontId="33" fillId="0" borderId="47" xfId="2" applyFont="1" applyBorder="1" applyAlignment="1">
      <alignment wrapText="1"/>
    </xf>
    <xf numFmtId="0" fontId="33" fillId="0" borderId="47" xfId="2" applyFont="1" applyBorder="1" applyAlignment="1">
      <alignment horizontal="center"/>
    </xf>
    <xf numFmtId="0" fontId="33" fillId="0" borderId="0" xfId="2" applyFont="1" applyAlignment="1">
      <alignment horizontal="center"/>
    </xf>
    <xf numFmtId="0" fontId="33" fillId="0" borderId="14" xfId="2" applyFont="1" applyBorder="1" applyAlignment="1">
      <alignment horizontal="center"/>
    </xf>
    <xf numFmtId="0" fontId="33" fillId="0" borderId="13" xfId="2" quotePrefix="1" applyFont="1" applyBorder="1" applyAlignment="1">
      <alignment horizontal="center"/>
    </xf>
    <xf numFmtId="0" fontId="33" fillId="0" borderId="14" xfId="2" quotePrefix="1" applyFont="1" applyBorder="1" applyAlignment="1">
      <alignment horizontal="center"/>
    </xf>
    <xf numFmtId="0" fontId="59" fillId="5" borderId="2" xfId="0" applyFont="1" applyFill="1" applyBorder="1" applyAlignment="1">
      <alignment horizontal="left" vertical="center"/>
    </xf>
    <xf numFmtId="0" fontId="33" fillId="3" borderId="67" xfId="0" quotePrefix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5" borderId="2" xfId="0" applyFont="1" applyFill="1" applyBorder="1" applyAlignment="1">
      <alignment horizontal="left" vertical="center"/>
    </xf>
    <xf numFmtId="0" fontId="8" fillId="6" borderId="2" xfId="0" quotePrefix="1" applyFont="1" applyFill="1" applyBorder="1" applyAlignment="1">
      <alignment horizontal="center"/>
    </xf>
    <xf numFmtId="43" fontId="8" fillId="6" borderId="2" xfId="1" applyFont="1" applyFill="1" applyBorder="1" applyAlignment="1"/>
    <xf numFmtId="0" fontId="8" fillId="4" borderId="2" xfId="0" quotePrefix="1" applyFont="1" applyFill="1" applyBorder="1" applyAlignment="1">
      <alignment horizontal="center"/>
    </xf>
    <xf numFmtId="43" fontId="8" fillId="4" borderId="2" xfId="1" applyFont="1" applyFill="1" applyBorder="1" applyAlignment="1"/>
    <xf numFmtId="0" fontId="33" fillId="0" borderId="13" xfId="2" applyFont="1" applyBorder="1" applyAlignment="1">
      <alignment horizontal="center"/>
    </xf>
    <xf numFmtId="0" fontId="28" fillId="0" borderId="13" xfId="2" applyFont="1" applyBorder="1" applyAlignment="1">
      <alignment horizontal="center"/>
    </xf>
    <xf numFmtId="0" fontId="28" fillId="0" borderId="48" xfId="2" applyFont="1" applyBorder="1" applyAlignment="1">
      <alignment horizontal="center"/>
    </xf>
    <xf numFmtId="43" fontId="33" fillId="3" borderId="61" xfId="1" applyFont="1" applyFill="1" applyBorder="1" applyAlignment="1">
      <alignment vertical="center" wrapText="1"/>
    </xf>
    <xf numFmtId="0" fontId="8" fillId="5" borderId="2" xfId="0" applyFont="1" applyFill="1" applyBorder="1"/>
    <xf numFmtId="0" fontId="59" fillId="0" borderId="2" xfId="0" applyFont="1" applyBorder="1" applyAlignment="1">
      <alignment horizontal="left" vertical="center"/>
    </xf>
    <xf numFmtId="43" fontId="9" fillId="0" borderId="2" xfId="1" applyFont="1" applyFill="1" applyBorder="1" applyAlignment="1"/>
    <xf numFmtId="43" fontId="9" fillId="0" borderId="2" xfId="1" applyFont="1" applyFill="1" applyBorder="1" applyAlignment="1">
      <alignment horizontal="right"/>
    </xf>
    <xf numFmtId="43" fontId="9" fillId="0" borderId="2" xfId="1" applyFont="1" applyFill="1" applyBorder="1" applyAlignment="1" applyProtection="1"/>
    <xf numFmtId="43" fontId="33" fillId="0" borderId="61" xfId="1" applyFont="1" applyFill="1" applyBorder="1" applyAlignment="1">
      <alignment vertical="center"/>
    </xf>
    <xf numFmtId="43" fontId="33" fillId="0" borderId="2" xfId="1" applyFont="1" applyFill="1" applyBorder="1" applyAlignment="1">
      <alignment vertical="center"/>
    </xf>
    <xf numFmtId="43" fontId="33" fillId="0" borderId="2" xfId="1" applyFont="1" applyFill="1" applyBorder="1" applyAlignment="1" applyProtection="1">
      <alignment vertical="center"/>
    </xf>
    <xf numFmtId="43" fontId="33" fillId="0" borderId="0" xfId="1" applyFont="1" applyFill="1" applyBorder="1" applyAlignment="1" applyProtection="1">
      <alignment vertical="center"/>
    </xf>
    <xf numFmtId="0" fontId="33" fillId="0" borderId="2" xfId="0" applyFont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33" fillId="0" borderId="0" xfId="17" applyFont="1"/>
    <xf numFmtId="0" fontId="32" fillId="0" borderId="0" xfId="17" applyFont="1"/>
    <xf numFmtId="0" fontId="28" fillId="0" borderId="15" xfId="17" applyFont="1" applyBorder="1" applyAlignment="1">
      <alignment horizontal="center" vertical="center"/>
    </xf>
    <xf numFmtId="0" fontId="28" fillId="0" borderId="15" xfId="17" applyFont="1" applyBorder="1" applyAlignment="1">
      <alignment horizontal="center"/>
    </xf>
    <xf numFmtId="0" fontId="33" fillId="0" borderId="47" xfId="17" applyFont="1" applyBorder="1" applyAlignment="1">
      <alignment horizontal="center"/>
    </xf>
    <xf numFmtId="0" fontId="33" fillId="0" borderId="0" xfId="17" applyFont="1" applyAlignment="1">
      <alignment horizontal="center"/>
    </xf>
    <xf numFmtId="0" fontId="33" fillId="0" borderId="14" xfId="17" applyFont="1" applyBorder="1" applyAlignment="1">
      <alignment horizontal="center"/>
    </xf>
    <xf numFmtId="0" fontId="33" fillId="0" borderId="13" xfId="17" quotePrefix="1" applyFont="1" applyBorder="1" applyAlignment="1">
      <alignment horizontal="center"/>
    </xf>
    <xf numFmtId="0" fontId="33" fillId="0" borderId="14" xfId="17" quotePrefix="1" applyFont="1" applyBorder="1" applyAlignment="1">
      <alignment horizontal="center"/>
    </xf>
    <xf numFmtId="0" fontId="28" fillId="0" borderId="15" xfId="17" applyFont="1" applyBorder="1"/>
    <xf numFmtId="43" fontId="32" fillId="0" borderId="0" xfId="17" applyNumberFormat="1" applyFont="1"/>
    <xf numFmtId="43" fontId="41" fillId="0" borderId="0" xfId="17" applyNumberFormat="1" applyFont="1"/>
    <xf numFmtId="0" fontId="28" fillId="0" borderId="23" xfId="17" applyFont="1" applyBorder="1" applyAlignment="1">
      <alignment wrapText="1"/>
    </xf>
    <xf numFmtId="0" fontId="37" fillId="0" borderId="0" xfId="17" applyFont="1" applyAlignment="1">
      <alignment vertical="center"/>
    </xf>
    <xf numFmtId="0" fontId="37" fillId="0" borderId="0" xfId="17" applyFont="1" applyAlignment="1">
      <alignment horizontal="left" vertical="center" wrapText="1"/>
    </xf>
    <xf numFmtId="0" fontId="33" fillId="0" borderId="48" xfId="17" applyFont="1" applyBorder="1"/>
    <xf numFmtId="0" fontId="37" fillId="0" borderId="0" xfId="17" applyFont="1"/>
    <xf numFmtId="0" fontId="37" fillId="0" borderId="47" xfId="17" applyFont="1" applyBorder="1"/>
    <xf numFmtId="0" fontId="33" fillId="0" borderId="47" xfId="17" applyFont="1" applyBorder="1"/>
    <xf numFmtId="0" fontId="33" fillId="0" borderId="47" xfId="17" applyFont="1" applyBorder="1" applyAlignment="1">
      <alignment wrapText="1"/>
    </xf>
    <xf numFmtId="0" fontId="33" fillId="0" borderId="0" xfId="17" applyFont="1" applyAlignment="1">
      <alignment wrapText="1"/>
    </xf>
    <xf numFmtId="0" fontId="33" fillId="0" borderId="1" xfId="17" applyFont="1" applyBorder="1" applyAlignment="1">
      <alignment horizontal="left"/>
    </xf>
    <xf numFmtId="0" fontId="33" fillId="0" borderId="1" xfId="17" applyFont="1" applyBorder="1"/>
    <xf numFmtId="0" fontId="33" fillId="0" borderId="71" xfId="17" applyFont="1" applyBorder="1"/>
    <xf numFmtId="0" fontId="33" fillId="0" borderId="47" xfId="17" applyFont="1" applyBorder="1" applyAlignment="1">
      <alignment vertical="center" wrapText="1"/>
    </xf>
    <xf numFmtId="0" fontId="33" fillId="0" borderId="0" xfId="17" applyFont="1" applyAlignment="1">
      <alignment vertical="center" wrapText="1"/>
    </xf>
    <xf numFmtId="0" fontId="33" fillId="0" borderId="49" xfId="17" applyFont="1" applyBorder="1" applyAlignment="1">
      <alignment vertical="center" wrapText="1"/>
    </xf>
    <xf numFmtId="0" fontId="33" fillId="0" borderId="50" xfId="17" applyFont="1" applyBorder="1" applyAlignment="1">
      <alignment vertical="center" wrapText="1"/>
    </xf>
    <xf numFmtId="0" fontId="33" fillId="0" borderId="51" xfId="17" applyFont="1" applyBorder="1" applyAlignment="1">
      <alignment vertical="center" wrapText="1"/>
    </xf>
    <xf numFmtId="0" fontId="33" fillId="0" borderId="50" xfId="17" applyFont="1" applyBorder="1" applyAlignment="1">
      <alignment wrapText="1"/>
    </xf>
    <xf numFmtId="0" fontId="33" fillId="0" borderId="51" xfId="17" applyFont="1" applyBorder="1" applyAlignment="1">
      <alignment wrapText="1"/>
    </xf>
    <xf numFmtId="0" fontId="33" fillId="0" borderId="76" xfId="17" applyFont="1" applyBorder="1"/>
    <xf numFmtId="0" fontId="33" fillId="0" borderId="52" xfId="17" applyFont="1" applyBorder="1"/>
    <xf numFmtId="0" fontId="33" fillId="0" borderId="53" xfId="17" applyFont="1" applyBorder="1"/>
    <xf numFmtId="0" fontId="33" fillId="0" borderId="54" xfId="17" applyFont="1" applyBorder="1"/>
    <xf numFmtId="0" fontId="37" fillId="0" borderId="77" xfId="17" applyFont="1" applyBorder="1"/>
    <xf numFmtId="0" fontId="33" fillId="0" borderId="82" xfId="17" applyFont="1" applyBorder="1" applyAlignment="1">
      <alignment horizontal="center" vertical="center" wrapText="1"/>
    </xf>
    <xf numFmtId="0" fontId="33" fillId="0" borderId="77" xfId="17" applyFont="1" applyBorder="1" applyAlignment="1">
      <alignment horizontal="center" vertical="center"/>
    </xf>
    <xf numFmtId="0" fontId="33" fillId="0" borderId="85" xfId="17" applyFont="1" applyBorder="1" applyAlignment="1">
      <alignment horizontal="center" vertical="center"/>
    </xf>
    <xf numFmtId="0" fontId="33" fillId="0" borderId="85" xfId="17" applyFont="1" applyBorder="1" applyAlignment="1">
      <alignment horizontal="center"/>
    </xf>
    <xf numFmtId="0" fontId="33" fillId="0" borderId="86" xfId="17" applyFont="1" applyBorder="1" applyAlignment="1">
      <alignment horizontal="center" wrapText="1"/>
    </xf>
    <xf numFmtId="167" fontId="33" fillId="0" borderId="75" xfId="17" quotePrefix="1" applyNumberFormat="1" applyFont="1" applyBorder="1"/>
    <xf numFmtId="167" fontId="33" fillId="0" borderId="13" xfId="17" quotePrefix="1" applyNumberFormat="1" applyFont="1" applyBorder="1"/>
    <xf numFmtId="0" fontId="33" fillId="0" borderId="14" xfId="17" applyFont="1" applyBorder="1"/>
    <xf numFmtId="0" fontId="33" fillId="0" borderId="13" xfId="17" quotePrefix="1" applyFont="1" applyBorder="1"/>
    <xf numFmtId="41" fontId="33" fillId="0" borderId="75" xfId="18" applyNumberFormat="1" applyFont="1" applyBorder="1"/>
    <xf numFmtId="0" fontId="33" fillId="0" borderId="13" xfId="17" applyFont="1" applyBorder="1"/>
    <xf numFmtId="0" fontId="33" fillId="0" borderId="15" xfId="17" applyFont="1" applyBorder="1"/>
    <xf numFmtId="41" fontId="33" fillId="0" borderId="15" xfId="18" applyNumberFormat="1" applyFont="1" applyBorder="1"/>
    <xf numFmtId="41" fontId="33" fillId="0" borderId="48" xfId="18" applyNumberFormat="1" applyFont="1" applyBorder="1"/>
    <xf numFmtId="167" fontId="33" fillId="0" borderId="13" xfId="17" applyNumberFormat="1" applyFont="1" applyBorder="1"/>
    <xf numFmtId="0" fontId="33" fillId="0" borderId="75" xfId="17" applyFont="1" applyBorder="1"/>
    <xf numFmtId="41" fontId="33" fillId="0" borderId="13" xfId="18" applyNumberFormat="1" applyFont="1" applyBorder="1"/>
    <xf numFmtId="41" fontId="33" fillId="0" borderId="14" xfId="18" applyNumberFormat="1" applyFont="1" applyBorder="1"/>
    <xf numFmtId="41" fontId="33" fillId="0" borderId="48" xfId="17" applyNumberFormat="1" applyFont="1" applyBorder="1"/>
    <xf numFmtId="43" fontId="33" fillId="0" borderId="15" xfId="18" applyNumberFormat="1" applyFont="1" applyBorder="1"/>
    <xf numFmtId="167" fontId="33" fillId="0" borderId="75" xfId="17" applyNumberFormat="1" applyFont="1" applyBorder="1"/>
    <xf numFmtId="167" fontId="32" fillId="0" borderId="83" xfId="17" applyNumberFormat="1" applyFont="1" applyBorder="1"/>
    <xf numFmtId="167" fontId="32" fillId="0" borderId="22" xfId="17" applyNumberFormat="1" applyFont="1" applyBorder="1"/>
    <xf numFmtId="0" fontId="32" fillId="0" borderId="50" xfId="17" applyFont="1" applyBorder="1"/>
    <xf numFmtId="0" fontId="32" fillId="0" borderId="23" xfId="17" applyFont="1" applyBorder="1"/>
    <xf numFmtId="0" fontId="32" fillId="0" borderId="22" xfId="17" applyFont="1" applyBorder="1"/>
    <xf numFmtId="0" fontId="32" fillId="0" borderId="51" xfId="17" applyFont="1" applyBorder="1"/>
    <xf numFmtId="0" fontId="32" fillId="0" borderId="83" xfId="17" applyFont="1" applyBorder="1"/>
    <xf numFmtId="0" fontId="32" fillId="0" borderId="24" xfId="17" applyFont="1" applyBorder="1"/>
    <xf numFmtId="0" fontId="33" fillId="7" borderId="66" xfId="0" quotePrefix="1" applyFont="1" applyFill="1" applyBorder="1" applyAlignment="1">
      <alignment horizontal="center" vertical="center"/>
    </xf>
    <xf numFmtId="0" fontId="8" fillId="3" borderId="68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43" fontId="8" fillId="5" borderId="18" xfId="1" applyFont="1" applyFill="1" applyBorder="1" applyAlignment="1" applyProtection="1">
      <alignment horizontal="center" vertical="center" wrapText="1"/>
    </xf>
    <xf numFmtId="43" fontId="8" fillId="5" borderId="18" xfId="1" applyFont="1" applyFill="1" applyBorder="1" applyAlignment="1">
      <alignment horizontal="center" vertical="center" wrapText="1"/>
    </xf>
    <xf numFmtId="43" fontId="8" fillId="5" borderId="87" xfId="1" applyFont="1" applyFill="1" applyBorder="1" applyAlignment="1" applyProtection="1">
      <alignment horizontal="center" vertical="center" wrapText="1"/>
    </xf>
    <xf numFmtId="0" fontId="8" fillId="5" borderId="18" xfId="0" applyFont="1" applyFill="1" applyBorder="1" applyAlignment="1">
      <alignment horizontal="left" vertical="center" wrapText="1"/>
    </xf>
    <xf numFmtId="0" fontId="61" fillId="0" borderId="2" xfId="0" applyFont="1" applyBorder="1" applyAlignment="1">
      <alignment horizontal="left" vertical="center"/>
    </xf>
    <xf numFmtId="43" fontId="9" fillId="0" borderId="2" xfId="1" quotePrefix="1" applyFont="1" applyFill="1" applyBorder="1" applyAlignment="1">
      <alignment horizontal="right"/>
    </xf>
    <xf numFmtId="43" fontId="9" fillId="5" borderId="2" xfId="1" quotePrefix="1" applyFont="1" applyFill="1" applyBorder="1" applyAlignment="1">
      <alignment horizontal="right"/>
    </xf>
    <xf numFmtId="43" fontId="9" fillId="8" borderId="2" xfId="1" applyFont="1" applyFill="1" applyBorder="1" applyAlignment="1"/>
    <xf numFmtId="0" fontId="33" fillId="0" borderId="2" xfId="0" applyFont="1" applyBorder="1" applyAlignment="1">
      <alignment vertical="center"/>
    </xf>
    <xf numFmtId="0" fontId="33" fillId="5" borderId="2" xfId="11" applyFont="1" applyFill="1" applyBorder="1" applyAlignment="1">
      <alignment horizontal="left" vertical="center"/>
    </xf>
    <xf numFmtId="43" fontId="8" fillId="5" borderId="2" xfId="1" applyFont="1" applyFill="1" applyBorder="1" applyAlignment="1" applyProtection="1">
      <alignment horizontal="center" vertical="center" wrapText="1"/>
    </xf>
    <xf numFmtId="43" fontId="64" fillId="0" borderId="62" xfId="1" applyFont="1" applyFill="1" applyBorder="1" applyAlignment="1" applyProtection="1">
      <alignment wrapText="1"/>
    </xf>
    <xf numFmtId="0" fontId="66" fillId="5" borderId="2" xfId="0" applyFont="1" applyFill="1" applyBorder="1"/>
    <xf numFmtId="0" fontId="9" fillId="0" borderId="2" xfId="0" applyFont="1" applyBorder="1" applyAlignment="1">
      <alignment horizontal="center" vertical="center"/>
    </xf>
    <xf numFmtId="0" fontId="65" fillId="3" borderId="66" xfId="0" quotePrefix="1" applyFont="1" applyFill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6" fillId="6" borderId="2" xfId="0" quotePrefix="1" applyFont="1" applyFill="1" applyBorder="1" applyAlignment="1">
      <alignment horizontal="center"/>
    </xf>
    <xf numFmtId="43" fontId="66" fillId="6" borderId="2" xfId="1" applyFont="1" applyFill="1" applyBorder="1" applyAlignment="1"/>
    <xf numFmtId="0" fontId="65" fillId="0" borderId="0" xfId="0" applyFont="1" applyAlignment="1">
      <alignment vertical="center"/>
    </xf>
    <xf numFmtId="0" fontId="9" fillId="3" borderId="66" xfId="0" applyFont="1" applyFill="1" applyBorder="1" applyAlignment="1">
      <alignment horizontal="center" vertical="center"/>
    </xf>
    <xf numFmtId="0" fontId="40" fillId="0" borderId="0" xfId="7" applyFont="1" applyAlignment="1"/>
    <xf numFmtId="43" fontId="67" fillId="0" borderId="2" xfId="1" applyFont="1" applyFill="1" applyBorder="1"/>
    <xf numFmtId="43" fontId="63" fillId="0" borderId="62" xfId="1" applyFont="1" applyFill="1" applyBorder="1" applyAlignment="1" applyProtection="1">
      <alignment wrapText="1"/>
    </xf>
    <xf numFmtId="0" fontId="62" fillId="0" borderId="0" xfId="0" applyFont="1" applyAlignment="1">
      <alignment horizontal="center" vertical="center" wrapText="1"/>
    </xf>
    <xf numFmtId="0" fontId="62" fillId="3" borderId="0" xfId="0" applyFont="1" applyFill="1" applyAlignment="1">
      <alignment horizontal="center" vertical="center" wrapText="1"/>
    </xf>
    <xf numFmtId="0" fontId="33" fillId="0" borderId="15" xfId="17" applyFont="1" applyBorder="1" applyAlignment="1">
      <alignment horizontal="center" vertical="center" wrapText="1"/>
    </xf>
    <xf numFmtId="0" fontId="37" fillId="0" borderId="47" xfId="2" applyFont="1" applyBorder="1" applyAlignment="1">
      <alignment horizontal="center" vertical="top" wrapText="1"/>
    </xf>
    <xf numFmtId="0" fontId="37" fillId="0" borderId="0" xfId="2" applyFont="1" applyAlignment="1">
      <alignment horizontal="center" vertical="top" wrapText="1"/>
    </xf>
    <xf numFmtId="0" fontId="37" fillId="0" borderId="48" xfId="2" applyFont="1" applyBorder="1" applyAlignment="1">
      <alignment horizontal="center" vertical="top" wrapText="1"/>
    </xf>
    <xf numFmtId="0" fontId="33" fillId="0" borderId="49" xfId="2" applyFont="1" applyBorder="1" applyAlignment="1">
      <alignment horizontal="left" vertical="top" wrapText="1"/>
    </xf>
    <xf numFmtId="0" fontId="33" fillId="0" borderId="50" xfId="2" applyFont="1" applyBorder="1" applyAlignment="1">
      <alignment horizontal="left" vertical="top" wrapText="1"/>
    </xf>
    <xf numFmtId="0" fontId="33" fillId="0" borderId="51" xfId="2" applyFont="1" applyBorder="1" applyAlignment="1">
      <alignment horizontal="left" vertical="top" wrapText="1"/>
    </xf>
    <xf numFmtId="0" fontId="49" fillId="0" borderId="55" xfId="2" applyFont="1" applyBorder="1" applyAlignment="1">
      <alignment horizontal="center" vertical="center" wrapText="1"/>
    </xf>
    <xf numFmtId="0" fontId="49" fillId="0" borderId="53" xfId="2" applyFont="1" applyBorder="1" applyAlignment="1">
      <alignment horizontal="center" vertical="center" wrapText="1"/>
    </xf>
    <xf numFmtId="0" fontId="49" fillId="0" borderId="69" xfId="2" applyFont="1" applyBorder="1" applyAlignment="1">
      <alignment horizontal="center" vertical="center" wrapText="1"/>
    </xf>
    <xf numFmtId="0" fontId="49" fillId="0" borderId="70" xfId="2" applyFont="1" applyBorder="1" applyAlignment="1">
      <alignment horizontal="center" vertical="center" wrapText="1"/>
    </xf>
    <xf numFmtId="0" fontId="49" fillId="0" borderId="1" xfId="2" applyFont="1" applyBorder="1" applyAlignment="1">
      <alignment horizontal="center" vertical="center" wrapText="1"/>
    </xf>
    <xf numFmtId="0" fontId="49" fillId="0" borderId="17" xfId="2" applyFont="1" applyBorder="1" applyAlignment="1">
      <alignment horizontal="center" vertical="center" wrapText="1"/>
    </xf>
    <xf numFmtId="0" fontId="48" fillId="0" borderId="52" xfId="6" applyFont="1" applyBorder="1" applyAlignment="1" applyProtection="1">
      <alignment wrapText="1"/>
    </xf>
    <xf numFmtId="0" fontId="48" fillId="0" borderId="53" xfId="2" applyFont="1" applyBorder="1" applyAlignment="1">
      <alignment wrapText="1"/>
    </xf>
    <xf numFmtId="0" fontId="48" fillId="0" borderId="54" xfId="2" applyFont="1" applyBorder="1" applyAlignment="1">
      <alignment wrapText="1"/>
    </xf>
    <xf numFmtId="0" fontId="48" fillId="0" borderId="16" xfId="2" applyFont="1" applyBorder="1" applyAlignment="1">
      <alignment wrapText="1"/>
    </xf>
    <xf numFmtId="0" fontId="48" fillId="0" borderId="1" xfId="2" applyFont="1" applyBorder="1" applyAlignment="1">
      <alignment wrapText="1"/>
    </xf>
    <xf numFmtId="0" fontId="48" fillId="0" borderId="71" xfId="2" applyFont="1" applyBorder="1" applyAlignment="1">
      <alignment wrapText="1"/>
    </xf>
    <xf numFmtId="0" fontId="49" fillId="0" borderId="56" xfId="2" applyFont="1" applyBorder="1" applyAlignment="1">
      <alignment horizontal="center" vertical="center" wrapText="1"/>
    </xf>
    <xf numFmtId="0" fontId="49" fillId="0" borderId="57" xfId="2" applyFont="1" applyBorder="1" applyAlignment="1">
      <alignment horizontal="center" vertical="center" wrapText="1"/>
    </xf>
    <xf numFmtId="0" fontId="49" fillId="0" borderId="72" xfId="2" applyFont="1" applyBorder="1" applyAlignment="1">
      <alignment horizontal="center" vertical="center" wrapText="1"/>
    </xf>
    <xf numFmtId="0" fontId="50" fillId="0" borderId="73" xfId="2" applyFont="1" applyBorder="1" applyAlignment="1">
      <alignment vertical="center" wrapText="1"/>
    </xf>
    <xf numFmtId="0" fontId="50" fillId="0" borderId="57" xfId="2" applyFont="1" applyBorder="1" applyAlignment="1">
      <alignment vertical="center" wrapText="1"/>
    </xf>
    <xf numFmtId="0" fontId="50" fillId="0" borderId="58" xfId="2" applyFont="1" applyBorder="1" applyAlignment="1">
      <alignment vertical="center" wrapText="1"/>
    </xf>
    <xf numFmtId="0" fontId="50" fillId="0" borderId="16" xfId="2" applyFont="1" applyBorder="1" applyAlignment="1">
      <alignment vertical="center" wrapText="1"/>
    </xf>
    <xf numFmtId="0" fontId="50" fillId="0" borderId="1" xfId="2" applyFont="1" applyBorder="1" applyAlignment="1">
      <alignment vertical="center" wrapText="1"/>
    </xf>
    <xf numFmtId="0" fontId="50" fillId="0" borderId="71" xfId="2" applyFont="1" applyBorder="1" applyAlignment="1">
      <alignment vertical="center" wrapText="1"/>
    </xf>
    <xf numFmtId="0" fontId="36" fillId="0" borderId="0" xfId="2" applyFont="1" applyAlignment="1">
      <alignment horizontal="right" vertical="center"/>
    </xf>
    <xf numFmtId="0" fontId="37" fillId="0" borderId="50" xfId="2" applyFont="1" applyBorder="1" applyAlignment="1">
      <alignment horizontal="center"/>
    </xf>
    <xf numFmtId="0" fontId="45" fillId="0" borderId="55" xfId="2" applyFont="1" applyBorder="1" applyAlignment="1">
      <alignment horizontal="center" vertical="center" wrapText="1"/>
    </xf>
    <xf numFmtId="0" fontId="45" fillId="0" borderId="53" xfId="2" applyFont="1" applyBorder="1" applyAlignment="1">
      <alignment horizontal="center" vertical="center" wrapText="1"/>
    </xf>
    <xf numFmtId="0" fontId="45" fillId="0" borderId="54" xfId="2" applyFont="1" applyBorder="1" applyAlignment="1">
      <alignment horizontal="center" vertical="center" wrapText="1"/>
    </xf>
    <xf numFmtId="0" fontId="33" fillId="0" borderId="55" xfId="2" applyFont="1" applyBorder="1" applyAlignment="1">
      <alignment horizontal="left" wrapText="1"/>
    </xf>
    <xf numFmtId="0" fontId="33" fillId="0" borderId="53" xfId="2" applyFont="1" applyBorder="1" applyAlignment="1">
      <alignment horizontal="left" wrapText="1"/>
    </xf>
    <xf numFmtId="0" fontId="33" fillId="0" borderId="54" xfId="2" applyFont="1" applyBorder="1" applyAlignment="1">
      <alignment horizontal="left" wrapText="1"/>
    </xf>
    <xf numFmtId="0" fontId="46" fillId="0" borderId="47" xfId="6" applyFont="1" applyBorder="1" applyAlignment="1" applyProtection="1">
      <alignment horizontal="center" wrapText="1"/>
    </xf>
    <xf numFmtId="0" fontId="47" fillId="0" borderId="0" xfId="2" applyFont="1" applyAlignment="1">
      <alignment horizontal="center" wrapText="1"/>
    </xf>
    <xf numFmtId="0" fontId="47" fillId="0" borderId="48" xfId="2" applyFont="1" applyBorder="1" applyAlignment="1">
      <alignment horizontal="center" wrapText="1"/>
    </xf>
    <xf numFmtId="0" fontId="33" fillId="0" borderId="47" xfId="2" applyFont="1" applyBorder="1" applyAlignment="1">
      <alignment horizontal="left" vertical="center" wrapText="1"/>
    </xf>
    <xf numFmtId="0" fontId="33" fillId="0" borderId="0" xfId="2" applyFont="1" applyAlignment="1">
      <alignment horizontal="left" vertical="center" wrapText="1"/>
    </xf>
    <xf numFmtId="0" fontId="33" fillId="0" borderId="48" xfId="2" applyFont="1" applyBorder="1" applyAlignment="1">
      <alignment horizontal="left" vertical="center" wrapText="1"/>
    </xf>
    <xf numFmtId="0" fontId="33" fillId="0" borderId="47" xfId="2" applyFont="1" applyBorder="1" applyAlignment="1">
      <alignment horizontal="center"/>
    </xf>
    <xf numFmtId="0" fontId="33" fillId="0" borderId="0" xfId="2" applyFont="1" applyAlignment="1">
      <alignment horizontal="center"/>
    </xf>
    <xf numFmtId="0" fontId="33" fillId="0" borderId="14" xfId="2" applyFont="1" applyBorder="1" applyAlignment="1">
      <alignment horizontal="center"/>
    </xf>
    <xf numFmtId="0" fontId="52" fillId="0" borderId="52" xfId="6" applyFont="1" applyBorder="1" applyAlignment="1" applyProtection="1">
      <alignment horizontal="left" vertical="center" wrapText="1"/>
    </xf>
    <xf numFmtId="0" fontId="52" fillId="0" borderId="53" xfId="6" applyFont="1" applyBorder="1" applyAlignment="1" applyProtection="1">
      <alignment horizontal="left" vertical="center" wrapText="1"/>
    </xf>
    <xf numFmtId="0" fontId="52" fillId="0" borderId="69" xfId="6" applyFont="1" applyBorder="1" applyAlignment="1" applyProtection="1">
      <alignment horizontal="left" vertical="center" wrapText="1"/>
    </xf>
    <xf numFmtId="0" fontId="52" fillId="0" borderId="13" xfId="6" applyFont="1" applyBorder="1" applyAlignment="1" applyProtection="1">
      <alignment horizontal="left" vertical="center" wrapText="1"/>
    </xf>
    <xf numFmtId="0" fontId="52" fillId="0" borderId="0" xfId="6" applyFont="1" applyBorder="1" applyAlignment="1" applyProtection="1">
      <alignment horizontal="left" vertical="center" wrapText="1"/>
    </xf>
    <xf numFmtId="0" fontId="52" fillId="0" borderId="14" xfId="6" applyFont="1" applyBorder="1" applyAlignment="1" applyProtection="1">
      <alignment horizontal="left" vertical="center" wrapText="1"/>
    </xf>
    <xf numFmtId="0" fontId="33" fillId="0" borderId="52" xfId="2" quotePrefix="1" applyFont="1" applyBorder="1" applyAlignment="1">
      <alignment horizontal="center" vertical="center" wrapText="1"/>
    </xf>
    <xf numFmtId="0" fontId="33" fillId="0" borderId="69" xfId="2" applyFont="1" applyBorder="1" applyAlignment="1">
      <alignment horizontal="center" vertical="center" wrapText="1"/>
    </xf>
    <xf numFmtId="43" fontId="53" fillId="0" borderId="52" xfId="2" applyNumberFormat="1" applyFont="1" applyBorder="1" applyAlignment="1">
      <alignment horizontal="center" vertical="center"/>
    </xf>
    <xf numFmtId="43" fontId="53" fillId="0" borderId="54" xfId="2" applyNumberFormat="1" applyFont="1" applyBorder="1" applyAlignment="1">
      <alignment horizontal="center" vertical="center"/>
    </xf>
    <xf numFmtId="43" fontId="53" fillId="0" borderId="13" xfId="2" applyNumberFormat="1" applyFont="1" applyBorder="1" applyAlignment="1">
      <alignment horizontal="center" vertical="center"/>
    </xf>
    <xf numFmtId="43" fontId="53" fillId="0" borderId="48" xfId="2" applyNumberFormat="1" applyFont="1" applyBorder="1" applyAlignment="1">
      <alignment horizontal="center" vertical="center"/>
    </xf>
    <xf numFmtId="0" fontId="33" fillId="0" borderId="13" xfId="2" applyFont="1" applyBorder="1" applyAlignment="1">
      <alignment horizontal="center"/>
    </xf>
    <xf numFmtId="0" fontId="33" fillId="0" borderId="13" xfId="2" quotePrefix="1" applyFont="1" applyBorder="1" applyAlignment="1">
      <alignment horizontal="center"/>
    </xf>
    <xf numFmtId="0" fontId="33" fillId="0" borderId="14" xfId="2" quotePrefix="1" applyFont="1" applyBorder="1" applyAlignment="1">
      <alignment horizontal="center"/>
    </xf>
    <xf numFmtId="0" fontId="49" fillId="0" borderId="49" xfId="2" applyFont="1" applyBorder="1" applyAlignment="1">
      <alignment horizontal="center" vertical="center" wrapText="1"/>
    </xf>
    <xf numFmtId="0" fontId="49" fillId="0" borderId="50" xfId="2" applyFont="1" applyBorder="1" applyAlignment="1">
      <alignment horizontal="center" vertical="center" wrapText="1"/>
    </xf>
    <xf numFmtId="0" fontId="49" fillId="0" borderId="23" xfId="2" applyFont="1" applyBorder="1" applyAlignment="1">
      <alignment horizontal="center" vertical="center" wrapText="1"/>
    </xf>
    <xf numFmtId="0" fontId="50" fillId="0" borderId="22" xfId="2" applyFont="1" applyBorder="1" applyAlignment="1">
      <alignment vertical="center" wrapText="1"/>
    </xf>
    <xf numFmtId="0" fontId="50" fillId="0" borderId="50" xfId="2" applyFont="1" applyBorder="1" applyAlignment="1">
      <alignment vertical="center" wrapText="1"/>
    </xf>
    <xf numFmtId="0" fontId="50" fillId="0" borderId="51" xfId="2" applyFont="1" applyBorder="1" applyAlignment="1">
      <alignment vertical="center" wrapText="1"/>
    </xf>
    <xf numFmtId="0" fontId="49" fillId="0" borderId="52" xfId="2" applyFont="1" applyBorder="1" applyAlignment="1">
      <alignment horizontal="center" vertical="center" wrapText="1"/>
    </xf>
    <xf numFmtId="0" fontId="49" fillId="0" borderId="53" xfId="2" applyFont="1" applyBorder="1" applyAlignment="1">
      <alignment wrapText="1"/>
    </xf>
    <xf numFmtId="0" fontId="49" fillId="0" borderId="69" xfId="2" applyFont="1" applyBorder="1" applyAlignment="1">
      <alignment wrapText="1"/>
    </xf>
    <xf numFmtId="0" fontId="49" fillId="0" borderId="22" xfId="2" applyFont="1" applyBorder="1" applyAlignment="1">
      <alignment wrapText="1"/>
    </xf>
    <xf numFmtId="0" fontId="49" fillId="0" borderId="50" xfId="2" applyFont="1" applyBorder="1" applyAlignment="1">
      <alignment wrapText="1"/>
    </xf>
    <xf numFmtId="0" fontId="49" fillId="0" borderId="23" xfId="2" applyFont="1" applyBorder="1" applyAlignment="1">
      <alignment wrapText="1"/>
    </xf>
    <xf numFmtId="0" fontId="51" fillId="0" borderId="52" xfId="2" applyFont="1" applyBorder="1" applyAlignment="1">
      <alignment horizontal="center" vertical="center" wrapText="1"/>
    </xf>
    <xf numFmtId="0" fontId="51" fillId="0" borderId="69" xfId="2" applyFont="1" applyBorder="1" applyAlignment="1">
      <alignment horizontal="center" vertical="center" wrapText="1"/>
    </xf>
    <xf numFmtId="0" fontId="51" fillId="0" borderId="22" xfId="2" applyFont="1" applyBorder="1" applyAlignment="1">
      <alignment horizontal="center" vertical="center" wrapText="1"/>
    </xf>
    <xf numFmtId="0" fontId="51" fillId="0" borderId="23" xfId="2" applyFont="1" applyBorder="1" applyAlignment="1">
      <alignment horizontal="center" vertical="center" wrapText="1"/>
    </xf>
    <xf numFmtId="0" fontId="51" fillId="0" borderId="74" xfId="2" applyFont="1" applyBorder="1" applyAlignment="1">
      <alignment horizontal="center" vertical="center" wrapText="1"/>
    </xf>
    <xf numFmtId="0" fontId="51" fillId="0" borderId="24" xfId="2" applyFont="1" applyBorder="1" applyAlignment="1">
      <alignment wrapText="1"/>
    </xf>
    <xf numFmtId="0" fontId="49" fillId="0" borderId="54" xfId="2" applyFont="1" applyBorder="1" applyAlignment="1">
      <alignment horizontal="center" vertical="center" wrapText="1"/>
    </xf>
    <xf numFmtId="0" fontId="49" fillId="0" borderId="22" xfId="2" applyFont="1" applyBorder="1" applyAlignment="1">
      <alignment horizontal="center" vertical="center" wrapText="1"/>
    </xf>
    <xf numFmtId="0" fontId="49" fillId="0" borderId="51" xfId="2" applyFont="1" applyBorder="1" applyAlignment="1">
      <alignment horizontal="center" vertical="center" wrapText="1"/>
    </xf>
    <xf numFmtId="0" fontId="28" fillId="0" borderId="13" xfId="2" applyFont="1" applyBorder="1" applyAlignment="1">
      <alignment horizontal="center"/>
    </xf>
    <xf numFmtId="0" fontId="28" fillId="0" borderId="48" xfId="2" applyFont="1" applyBorder="1" applyAlignment="1">
      <alignment horizontal="center"/>
    </xf>
    <xf numFmtId="0" fontId="27" fillId="0" borderId="13" xfId="2" applyFont="1" applyBorder="1" applyAlignment="1">
      <alignment horizontal="center"/>
    </xf>
    <xf numFmtId="0" fontId="27" fillId="0" borderId="48" xfId="2" applyFont="1" applyBorder="1" applyAlignment="1">
      <alignment horizontal="center"/>
    </xf>
    <xf numFmtId="0" fontId="33" fillId="0" borderId="49" xfId="2" applyFont="1" applyBorder="1" applyAlignment="1">
      <alignment horizontal="center"/>
    </xf>
    <xf numFmtId="0" fontId="33" fillId="0" borderId="50" xfId="2" applyFont="1" applyBorder="1" applyAlignment="1">
      <alignment horizontal="center"/>
    </xf>
    <xf numFmtId="0" fontId="33" fillId="0" borderId="23" xfId="2" applyFont="1" applyBorder="1" applyAlignment="1">
      <alignment horizontal="center"/>
    </xf>
    <xf numFmtId="0" fontId="33" fillId="0" borderId="22" xfId="2" applyFont="1" applyBorder="1" applyAlignment="1">
      <alignment horizontal="right" wrapText="1"/>
    </xf>
    <xf numFmtId="0" fontId="33" fillId="0" borderId="50" xfId="2" applyFont="1" applyBorder="1" applyAlignment="1">
      <alignment horizontal="right" wrapText="1"/>
    </xf>
    <xf numFmtId="0" fontId="33" fillId="0" borderId="23" xfId="2" applyFont="1" applyBorder="1" applyAlignment="1">
      <alignment horizontal="right" wrapText="1"/>
    </xf>
    <xf numFmtId="0" fontId="33" fillId="0" borderId="22" xfId="2" quotePrefix="1" applyFont="1" applyBorder="1" applyAlignment="1">
      <alignment horizontal="center"/>
    </xf>
    <xf numFmtId="0" fontId="33" fillId="0" borderId="23" xfId="2" quotePrefix="1" applyFont="1" applyBorder="1" applyAlignment="1">
      <alignment horizontal="center"/>
    </xf>
    <xf numFmtId="43" fontId="53" fillId="0" borderId="22" xfId="8" applyFont="1" applyBorder="1" applyAlignment="1">
      <alignment horizontal="center"/>
    </xf>
    <xf numFmtId="43" fontId="53" fillId="0" borderId="51" xfId="8" applyFont="1" applyBorder="1" applyAlignment="1">
      <alignment horizontal="center"/>
    </xf>
    <xf numFmtId="0" fontId="37" fillId="0" borderId="75" xfId="2" applyFont="1" applyBorder="1" applyAlignment="1">
      <alignment vertical="center" wrapText="1"/>
    </xf>
    <xf numFmtId="0" fontId="33" fillId="0" borderId="68" xfId="2" applyFont="1" applyBorder="1" applyAlignment="1">
      <alignment vertical="center" wrapText="1"/>
    </xf>
    <xf numFmtId="0" fontId="33" fillId="0" borderId="0" xfId="2" applyFont="1" applyAlignment="1">
      <alignment horizontal="left" wrapText="1"/>
    </xf>
    <xf numFmtId="0" fontId="37" fillId="0" borderId="0" xfId="2" applyFont="1" applyAlignment="1">
      <alignment horizontal="left" wrapText="1"/>
    </xf>
    <xf numFmtId="0" fontId="37" fillId="0" borderId="48" xfId="2" applyFont="1" applyBorder="1" applyAlignment="1">
      <alignment horizontal="left" wrapText="1"/>
    </xf>
    <xf numFmtId="0" fontId="37" fillId="0" borderId="47" xfId="2" applyFont="1" applyBorder="1" applyAlignment="1">
      <alignment horizontal="left" vertical="center" wrapText="1"/>
    </xf>
    <xf numFmtId="0" fontId="37" fillId="0" borderId="13" xfId="2" applyFont="1" applyBorder="1" applyAlignment="1">
      <alignment horizontal="center"/>
    </xf>
    <xf numFmtId="0" fontId="37" fillId="0" borderId="0" xfId="2" applyFont="1" applyAlignment="1">
      <alignment horizontal="center"/>
    </xf>
    <xf numFmtId="0" fontId="33" fillId="0" borderId="47" xfId="2" applyFont="1" applyBorder="1" applyAlignment="1">
      <alignment horizontal="center" vertical="center" wrapText="1"/>
    </xf>
    <xf numFmtId="0" fontId="33" fillId="0" borderId="0" xfId="2" applyFont="1" applyAlignment="1">
      <alignment horizontal="center" vertical="center" wrapText="1"/>
    </xf>
    <xf numFmtId="0" fontId="39" fillId="0" borderId="1" xfId="2" applyFont="1" applyBorder="1" applyAlignment="1">
      <alignment horizontal="left" vertical="center" wrapText="1"/>
    </xf>
    <xf numFmtId="0" fontId="39" fillId="0" borderId="71" xfId="2" applyFont="1" applyBorder="1" applyAlignment="1">
      <alignment horizontal="left" vertical="center" wrapText="1"/>
    </xf>
    <xf numFmtId="0" fontId="39" fillId="0" borderId="1" xfId="2" applyFont="1" applyBorder="1" applyAlignment="1">
      <alignment horizontal="center"/>
    </xf>
    <xf numFmtId="0" fontId="39" fillId="0" borderId="71" xfId="2" applyFont="1" applyBorder="1" applyAlignment="1">
      <alignment horizontal="center"/>
    </xf>
    <xf numFmtId="0" fontId="33" fillId="0" borderId="48" xfId="2" applyFont="1" applyBorder="1" applyAlignment="1">
      <alignment horizontal="center" vertical="center" wrapText="1"/>
    </xf>
    <xf numFmtId="0" fontId="33" fillId="0" borderId="0" xfId="2" applyFont="1" applyAlignment="1">
      <alignment horizontal="center" wrapText="1"/>
    </xf>
    <xf numFmtId="0" fontId="33" fillId="0" borderId="48" xfId="2" applyFont="1" applyBorder="1" applyAlignment="1">
      <alignment horizontal="center" wrapText="1"/>
    </xf>
    <xf numFmtId="0" fontId="33" fillId="0" borderId="48" xfId="2" applyFont="1" applyBorder="1" applyAlignment="1">
      <alignment horizontal="left" wrapText="1"/>
    </xf>
    <xf numFmtId="0" fontId="33" fillId="0" borderId="0" xfId="2" applyFont="1" applyAlignment="1">
      <alignment horizontal="left"/>
    </xf>
    <xf numFmtId="0" fontId="33" fillId="0" borderId="48" xfId="2" applyFont="1" applyBorder="1" applyAlignment="1">
      <alignment horizontal="left"/>
    </xf>
    <xf numFmtId="0" fontId="33" fillId="0" borderId="47" xfId="2" applyFont="1" applyBorder="1" applyAlignment="1">
      <alignment wrapText="1"/>
    </xf>
    <xf numFmtId="0" fontId="43" fillId="0" borderId="1" xfId="2" applyFont="1" applyBorder="1" applyAlignment="1">
      <alignment horizontal="left" vertical="top" wrapText="1"/>
    </xf>
    <xf numFmtId="0" fontId="43" fillId="0" borderId="71" xfId="2" applyFont="1" applyBorder="1" applyAlignment="1">
      <alignment horizontal="left" vertical="top" wrapText="1"/>
    </xf>
    <xf numFmtId="0" fontId="33" fillId="0" borderId="47" xfId="2" applyFont="1" applyBorder="1" applyAlignment="1">
      <alignment horizontal="left" wrapText="1"/>
    </xf>
    <xf numFmtId="0" fontId="44" fillId="0" borderId="1" xfId="2" applyFont="1" applyBorder="1" applyAlignment="1">
      <alignment horizontal="center"/>
    </xf>
    <xf numFmtId="0" fontId="44" fillId="0" borderId="71" xfId="2" applyFont="1" applyBorder="1" applyAlignment="1">
      <alignment horizontal="center"/>
    </xf>
    <xf numFmtId="0" fontId="33" fillId="0" borderId="78" xfId="2" applyFont="1" applyBorder="1" applyAlignment="1">
      <alignment horizontal="center" vertical="center"/>
    </xf>
    <xf numFmtId="0" fontId="33" fillId="0" borderId="84" xfId="2" applyFont="1" applyBorder="1" applyAlignment="1">
      <alignment horizontal="center" vertical="center"/>
    </xf>
    <xf numFmtId="0" fontId="37" fillId="0" borderId="78" xfId="2" applyFont="1" applyBorder="1" applyAlignment="1">
      <alignment horizontal="center"/>
    </xf>
    <xf numFmtId="0" fontId="37" fillId="0" borderId="79" xfId="2" applyFont="1" applyBorder="1" applyAlignment="1">
      <alignment horizontal="center"/>
    </xf>
    <xf numFmtId="0" fontId="37" fillId="0" borderId="80" xfId="2" applyFont="1" applyBorder="1" applyAlignment="1">
      <alignment horizontal="center"/>
    </xf>
    <xf numFmtId="0" fontId="37" fillId="0" borderId="81" xfId="2" applyFont="1" applyBorder="1" applyAlignment="1">
      <alignment horizontal="center"/>
    </xf>
    <xf numFmtId="0" fontId="33" fillId="0" borderId="75" xfId="2" applyFont="1" applyBorder="1" applyAlignment="1">
      <alignment horizontal="center" vertical="center"/>
    </xf>
    <xf numFmtId="0" fontId="33" fillId="0" borderId="83" xfId="2" applyFont="1" applyBorder="1" applyAlignment="1">
      <alignment horizontal="center" vertical="center"/>
    </xf>
    <xf numFmtId="167" fontId="33" fillId="0" borderId="13" xfId="2" applyNumberFormat="1" applyFont="1" applyBorder="1" applyAlignment="1">
      <alignment horizontal="center" vertical="center"/>
    </xf>
    <xf numFmtId="167" fontId="33" fillId="0" borderId="0" xfId="2" applyNumberFormat="1" applyFont="1" applyAlignment="1">
      <alignment horizontal="center" vertical="center"/>
    </xf>
    <xf numFmtId="167" fontId="33" fillId="0" borderId="22" xfId="2" applyNumberFormat="1" applyFont="1" applyBorder="1" applyAlignment="1">
      <alignment horizontal="center" vertical="center"/>
    </xf>
    <xf numFmtId="167" fontId="33" fillId="0" borderId="50" xfId="2" applyNumberFormat="1" applyFont="1" applyBorder="1" applyAlignment="1">
      <alignment horizontal="center" vertical="center"/>
    </xf>
    <xf numFmtId="0" fontId="33" fillId="0" borderId="13" xfId="2" applyFont="1" applyBorder="1" applyAlignment="1">
      <alignment horizontal="center" vertical="center" wrapText="1"/>
    </xf>
    <xf numFmtId="0" fontId="33" fillId="0" borderId="22" xfId="2" applyFont="1" applyBorder="1" applyAlignment="1">
      <alignment horizontal="center" vertical="center" wrapText="1"/>
    </xf>
    <xf numFmtId="0" fontId="33" fillId="0" borderId="50" xfId="2" applyFont="1" applyBorder="1" applyAlignment="1">
      <alignment horizontal="center" vertical="center" wrapText="1"/>
    </xf>
    <xf numFmtId="0" fontId="33" fillId="0" borderId="51" xfId="2" applyFont="1" applyBorder="1" applyAlignment="1">
      <alignment horizontal="center" vertical="center" wrapText="1"/>
    </xf>
    <xf numFmtId="0" fontId="33" fillId="0" borderId="13" xfId="2" applyFont="1" applyBorder="1" applyAlignment="1">
      <alignment horizontal="center" vertical="center"/>
    </xf>
    <xf numFmtId="0" fontId="33" fillId="0" borderId="14" xfId="2" applyFont="1" applyBorder="1" applyAlignment="1">
      <alignment horizontal="center" vertical="center"/>
    </xf>
    <xf numFmtId="0" fontId="33" fillId="0" borderId="15" xfId="2" applyFont="1" applyBorder="1" applyAlignment="1">
      <alignment horizontal="center" vertical="center"/>
    </xf>
    <xf numFmtId="0" fontId="33" fillId="0" borderId="16" xfId="2" applyFont="1" applyBorder="1" applyAlignment="1">
      <alignment horizontal="center"/>
    </xf>
    <xf numFmtId="0" fontId="33" fillId="0" borderId="71" xfId="2" applyFont="1" applyBorder="1" applyAlignment="1">
      <alignment horizontal="center"/>
    </xf>
    <xf numFmtId="0" fontId="33" fillId="0" borderId="70" xfId="2" applyFont="1" applyBorder="1" applyAlignment="1">
      <alignment horizontal="left" vertical="center" wrapText="1"/>
    </xf>
    <xf numFmtId="0" fontId="33" fillId="0" borderId="1" xfId="2" applyFont="1" applyBorder="1" applyAlignment="1">
      <alignment horizontal="left" vertical="center" wrapText="1"/>
    </xf>
    <xf numFmtId="0" fontId="33" fillId="0" borderId="71" xfId="2" applyFont="1" applyBorder="1" applyAlignment="1">
      <alignment horizontal="left" vertical="center" wrapText="1"/>
    </xf>
    <xf numFmtId="0" fontId="32" fillId="0" borderId="13" xfId="2" applyFont="1" applyBorder="1" applyAlignment="1">
      <alignment horizontal="center"/>
    </xf>
    <xf numFmtId="0" fontId="32" fillId="0" borderId="0" xfId="2" applyFont="1" applyAlignment="1">
      <alignment horizontal="center"/>
    </xf>
    <xf numFmtId="0" fontId="32" fillId="0" borderId="14" xfId="2" applyFont="1" applyBorder="1" applyAlignment="1">
      <alignment horizontal="center"/>
    </xf>
    <xf numFmtId="0" fontId="33" fillId="0" borderId="13" xfId="2" quotePrefix="1" applyFont="1" applyBorder="1" applyAlignment="1">
      <alignment horizontal="left" wrapText="1"/>
    </xf>
    <xf numFmtId="0" fontId="33" fillId="0" borderId="0" xfId="2" quotePrefix="1" applyFont="1" applyAlignment="1">
      <alignment horizontal="left" wrapText="1"/>
    </xf>
    <xf numFmtId="0" fontId="33" fillId="0" borderId="48" xfId="2" quotePrefix="1" applyFont="1" applyBorder="1" applyAlignment="1">
      <alignment horizontal="left" wrapText="1"/>
    </xf>
    <xf numFmtId="0" fontId="37" fillId="0" borderId="47" xfId="17" applyFont="1" applyBorder="1" applyAlignment="1">
      <alignment horizontal="center" vertical="top" wrapText="1"/>
    </xf>
    <xf numFmtId="0" fontId="37" fillId="0" borderId="0" xfId="17" applyFont="1" applyAlignment="1">
      <alignment horizontal="center" vertical="top" wrapText="1"/>
    </xf>
    <xf numFmtId="0" fontId="37" fillId="0" borderId="48" xfId="17" applyFont="1" applyBorder="1" applyAlignment="1">
      <alignment horizontal="center" vertical="top" wrapText="1"/>
    </xf>
    <xf numFmtId="0" fontId="33" fillId="0" borderId="49" xfId="17" applyFont="1" applyBorder="1" applyAlignment="1">
      <alignment horizontal="left" vertical="top" wrapText="1"/>
    </xf>
    <xf numFmtId="0" fontId="33" fillId="0" borderId="50" xfId="17" applyFont="1" applyBorder="1" applyAlignment="1">
      <alignment horizontal="left" vertical="top" wrapText="1"/>
    </xf>
    <xf numFmtId="0" fontId="33" fillId="0" borderId="51" xfId="17" applyFont="1" applyBorder="1" applyAlignment="1">
      <alignment horizontal="left" vertical="top" wrapText="1"/>
    </xf>
    <xf numFmtId="0" fontId="49" fillId="0" borderId="55" xfId="17" applyFont="1" applyBorder="1" applyAlignment="1">
      <alignment horizontal="center" vertical="center" wrapText="1"/>
    </xf>
    <xf numFmtId="0" fontId="49" fillId="0" borderId="53" xfId="17" applyFont="1" applyBorder="1" applyAlignment="1">
      <alignment horizontal="center" vertical="center" wrapText="1"/>
    </xf>
    <xf numFmtId="0" fontId="49" fillId="0" borderId="69" xfId="17" applyFont="1" applyBorder="1" applyAlignment="1">
      <alignment horizontal="center" vertical="center" wrapText="1"/>
    </xf>
    <xf numFmtId="0" fontId="49" fillId="0" borderId="70" xfId="17" applyFont="1" applyBorder="1" applyAlignment="1">
      <alignment horizontal="center" vertical="center" wrapText="1"/>
    </xf>
    <xf numFmtId="0" fontId="49" fillId="0" borderId="1" xfId="17" applyFont="1" applyBorder="1" applyAlignment="1">
      <alignment horizontal="center" vertical="center" wrapText="1"/>
    </xf>
    <xf numFmtId="0" fontId="49" fillId="0" borderId="17" xfId="17" applyFont="1" applyBorder="1" applyAlignment="1">
      <alignment horizontal="center" vertical="center" wrapText="1"/>
    </xf>
    <xf numFmtId="0" fontId="48" fillId="0" borderId="53" xfId="17" applyFont="1" applyBorder="1" applyAlignment="1">
      <alignment wrapText="1"/>
    </xf>
    <xf numFmtId="0" fontId="48" fillId="0" borderId="54" xfId="17" applyFont="1" applyBorder="1" applyAlignment="1">
      <alignment wrapText="1"/>
    </xf>
    <xf numFmtId="0" fontId="48" fillId="0" borderId="16" xfId="17" applyFont="1" applyBorder="1" applyAlignment="1">
      <alignment wrapText="1"/>
    </xf>
    <xf numFmtId="0" fontId="48" fillId="0" borderId="1" xfId="17" applyFont="1" applyBorder="1" applyAlignment="1">
      <alignment wrapText="1"/>
    </xf>
    <xf numFmtId="0" fontId="48" fillId="0" borderId="71" xfId="17" applyFont="1" applyBorder="1" applyAlignment="1">
      <alignment wrapText="1"/>
    </xf>
    <xf numFmtId="0" fontId="49" fillId="0" borderId="56" xfId="17" applyFont="1" applyBorder="1" applyAlignment="1">
      <alignment horizontal="center" vertical="center" wrapText="1"/>
    </xf>
    <xf numFmtId="0" fontId="49" fillId="0" borderId="57" xfId="17" applyFont="1" applyBorder="1" applyAlignment="1">
      <alignment horizontal="center" vertical="center" wrapText="1"/>
    </xf>
    <xf numFmtId="0" fontId="49" fillId="0" borderId="72" xfId="17" applyFont="1" applyBorder="1" applyAlignment="1">
      <alignment horizontal="center" vertical="center" wrapText="1"/>
    </xf>
    <xf numFmtId="0" fontId="50" fillId="0" borderId="73" xfId="17" applyFont="1" applyBorder="1" applyAlignment="1">
      <alignment vertical="center" wrapText="1"/>
    </xf>
    <xf numFmtId="0" fontId="50" fillId="0" borderId="57" xfId="17" applyFont="1" applyBorder="1" applyAlignment="1">
      <alignment vertical="center" wrapText="1"/>
    </xf>
    <xf numFmtId="0" fontId="50" fillId="0" borderId="58" xfId="17" applyFont="1" applyBorder="1" applyAlignment="1">
      <alignment vertical="center" wrapText="1"/>
    </xf>
    <xf numFmtId="0" fontId="50" fillId="0" borderId="16" xfId="17" applyFont="1" applyBorder="1" applyAlignment="1">
      <alignment vertical="center" wrapText="1"/>
    </xf>
    <xf numFmtId="0" fontId="50" fillId="0" borderId="1" xfId="17" applyFont="1" applyBorder="1" applyAlignment="1">
      <alignment vertical="center" wrapText="1"/>
    </xf>
    <xf numFmtId="0" fontId="50" fillId="0" borderId="71" xfId="17" applyFont="1" applyBorder="1" applyAlignment="1">
      <alignment vertical="center" wrapText="1"/>
    </xf>
    <xf numFmtId="0" fontId="36" fillId="0" borderId="0" xfId="17" applyFont="1" applyAlignment="1">
      <alignment horizontal="right" vertical="center"/>
    </xf>
    <xf numFmtId="0" fontId="37" fillId="0" borderId="50" xfId="17" applyFont="1" applyBorder="1" applyAlignment="1">
      <alignment horizontal="center"/>
    </xf>
    <xf numFmtId="0" fontId="45" fillId="0" borderId="55" xfId="17" applyFont="1" applyBorder="1" applyAlignment="1">
      <alignment horizontal="center" vertical="center" wrapText="1"/>
    </xf>
    <xf numFmtId="0" fontId="45" fillId="0" borderId="53" xfId="17" applyFont="1" applyBorder="1" applyAlignment="1">
      <alignment horizontal="center" vertical="center" wrapText="1"/>
    </xf>
    <xf numFmtId="0" fontId="45" fillId="0" borderId="54" xfId="17" applyFont="1" applyBorder="1" applyAlignment="1">
      <alignment horizontal="center" vertical="center" wrapText="1"/>
    </xf>
    <xf numFmtId="0" fontId="33" fillId="0" borderId="55" xfId="17" applyFont="1" applyBorder="1" applyAlignment="1">
      <alignment horizontal="left" wrapText="1"/>
    </xf>
    <xf numFmtId="0" fontId="33" fillId="0" borderId="53" xfId="17" applyFont="1" applyBorder="1" applyAlignment="1">
      <alignment horizontal="left" wrapText="1"/>
    </xf>
    <xf numFmtId="0" fontId="33" fillId="0" borderId="54" xfId="17" applyFont="1" applyBorder="1" applyAlignment="1">
      <alignment horizontal="left" wrapText="1"/>
    </xf>
    <xf numFmtId="0" fontId="47" fillId="0" borderId="0" xfId="17" applyFont="1" applyAlignment="1">
      <alignment horizontal="center" wrapText="1"/>
    </xf>
    <xf numFmtId="0" fontId="47" fillId="0" borderId="48" xfId="17" applyFont="1" applyBorder="1" applyAlignment="1">
      <alignment horizontal="center" wrapText="1"/>
    </xf>
    <xf numFmtId="0" fontId="33" fillId="0" borderId="47" xfId="17" applyFont="1" applyBorder="1" applyAlignment="1">
      <alignment horizontal="left" vertical="center" wrapText="1"/>
    </xf>
    <xf numFmtId="0" fontId="33" fillId="0" borderId="0" xfId="17" applyFont="1" applyAlignment="1">
      <alignment horizontal="left" vertical="center" wrapText="1"/>
    </xf>
    <xf numFmtId="0" fontId="33" fillId="0" borderId="48" xfId="17" applyFont="1" applyBorder="1" applyAlignment="1">
      <alignment horizontal="left" vertical="center" wrapText="1"/>
    </xf>
    <xf numFmtId="0" fontId="33" fillId="0" borderId="47" xfId="17" applyFont="1" applyBorder="1" applyAlignment="1">
      <alignment horizontal="center"/>
    </xf>
    <xf numFmtId="0" fontId="33" fillId="0" borderId="0" xfId="17" applyFont="1" applyAlignment="1">
      <alignment horizontal="center"/>
    </xf>
    <xf numFmtId="0" fontId="33" fillId="0" borderId="14" xfId="17" applyFont="1" applyBorder="1" applyAlignment="1">
      <alignment horizontal="center"/>
    </xf>
    <xf numFmtId="0" fontId="33" fillId="0" borderId="52" xfId="17" quotePrefix="1" applyFont="1" applyBorder="1" applyAlignment="1">
      <alignment horizontal="center" vertical="center" wrapText="1"/>
    </xf>
    <xf numFmtId="0" fontId="33" fillId="0" borderId="69" xfId="17" applyFont="1" applyBorder="1" applyAlignment="1">
      <alignment horizontal="center" vertical="center" wrapText="1"/>
    </xf>
    <xf numFmtId="43" fontId="53" fillId="0" borderId="52" xfId="17" applyNumberFormat="1" applyFont="1" applyBorder="1" applyAlignment="1">
      <alignment horizontal="center" vertical="center"/>
    </xf>
    <xf numFmtId="43" fontId="53" fillId="0" borderId="54" xfId="17" applyNumberFormat="1" applyFont="1" applyBorder="1" applyAlignment="1">
      <alignment horizontal="center" vertical="center"/>
    </xf>
    <xf numFmtId="43" fontId="53" fillId="0" borderId="13" xfId="17" applyNumberFormat="1" applyFont="1" applyBorder="1" applyAlignment="1">
      <alignment horizontal="center" vertical="center"/>
    </xf>
    <xf numFmtId="43" fontId="53" fillId="0" borderId="48" xfId="17" applyNumberFormat="1" applyFont="1" applyBorder="1" applyAlignment="1">
      <alignment horizontal="center" vertical="center"/>
    </xf>
    <xf numFmtId="0" fontId="33" fillId="0" borderId="13" xfId="17" quotePrefix="1" applyFont="1" applyBorder="1" applyAlignment="1">
      <alignment horizontal="center"/>
    </xf>
    <xf numFmtId="0" fontId="33" fillId="0" borderId="14" xfId="17" quotePrefix="1" applyFont="1" applyBorder="1" applyAlignment="1">
      <alignment horizontal="center"/>
    </xf>
    <xf numFmtId="0" fontId="49" fillId="0" borderId="49" xfId="17" applyFont="1" applyBorder="1" applyAlignment="1">
      <alignment horizontal="center" vertical="center" wrapText="1"/>
    </xf>
    <xf numFmtId="0" fontId="49" fillId="0" borderId="50" xfId="17" applyFont="1" applyBorder="1" applyAlignment="1">
      <alignment horizontal="center" vertical="center" wrapText="1"/>
    </xf>
    <xf numFmtId="0" fontId="49" fillId="0" borderId="23" xfId="17" applyFont="1" applyBorder="1" applyAlignment="1">
      <alignment horizontal="center" vertical="center" wrapText="1"/>
    </xf>
    <xf numFmtId="0" fontId="50" fillId="0" borderId="22" xfId="17" applyFont="1" applyBorder="1" applyAlignment="1">
      <alignment vertical="center" wrapText="1"/>
    </xf>
    <xf numFmtId="0" fontId="50" fillId="0" borderId="50" xfId="17" applyFont="1" applyBorder="1" applyAlignment="1">
      <alignment vertical="center" wrapText="1"/>
    </xf>
    <xf numFmtId="0" fontId="50" fillId="0" borderId="51" xfId="17" applyFont="1" applyBorder="1" applyAlignment="1">
      <alignment vertical="center" wrapText="1"/>
    </xf>
    <xf numFmtId="0" fontId="49" fillId="0" borderId="52" xfId="17" applyFont="1" applyBorder="1" applyAlignment="1">
      <alignment horizontal="center" vertical="center" wrapText="1"/>
    </xf>
    <xf numFmtId="0" fontId="49" fillId="0" borderId="53" xfId="17" applyFont="1" applyBorder="1" applyAlignment="1">
      <alignment wrapText="1"/>
    </xf>
    <xf numFmtId="0" fontId="49" fillId="0" borderId="69" xfId="17" applyFont="1" applyBorder="1" applyAlignment="1">
      <alignment wrapText="1"/>
    </xf>
    <xf numFmtId="0" fontId="49" fillId="0" borderId="22" xfId="17" applyFont="1" applyBorder="1" applyAlignment="1">
      <alignment wrapText="1"/>
    </xf>
    <xf numFmtId="0" fontId="49" fillId="0" borderId="50" xfId="17" applyFont="1" applyBorder="1" applyAlignment="1">
      <alignment wrapText="1"/>
    </xf>
    <xf numFmtId="0" fontId="49" fillId="0" borderId="23" xfId="17" applyFont="1" applyBorder="1" applyAlignment="1">
      <alignment wrapText="1"/>
    </xf>
    <xf numFmtId="0" fontId="51" fillId="0" borderId="52" xfId="17" applyFont="1" applyBorder="1" applyAlignment="1">
      <alignment horizontal="center" vertical="center" wrapText="1"/>
    </xf>
    <xf numFmtId="0" fontId="51" fillId="0" borderId="69" xfId="17" applyFont="1" applyBorder="1" applyAlignment="1">
      <alignment horizontal="center" vertical="center" wrapText="1"/>
    </xf>
    <xf numFmtId="0" fontId="51" fillId="0" borderId="22" xfId="17" applyFont="1" applyBorder="1" applyAlignment="1">
      <alignment horizontal="center" vertical="center" wrapText="1"/>
    </xf>
    <xf numFmtId="0" fontId="51" fillId="0" borderId="23" xfId="17" applyFont="1" applyBorder="1" applyAlignment="1">
      <alignment horizontal="center" vertical="center" wrapText="1"/>
    </xf>
    <xf numFmtId="0" fontId="51" fillId="0" borderId="74" xfId="17" applyFont="1" applyBorder="1" applyAlignment="1">
      <alignment horizontal="center" vertical="center" wrapText="1"/>
    </xf>
    <xf numFmtId="0" fontId="51" fillId="0" borderId="24" xfId="17" applyFont="1" applyBorder="1" applyAlignment="1">
      <alignment wrapText="1"/>
    </xf>
    <xf numFmtId="0" fontId="49" fillId="0" borderId="54" xfId="17" applyFont="1" applyBorder="1" applyAlignment="1">
      <alignment horizontal="center" vertical="center" wrapText="1"/>
    </xf>
    <xf numFmtId="0" fontId="49" fillId="0" borderId="22" xfId="17" applyFont="1" applyBorder="1" applyAlignment="1">
      <alignment horizontal="center" vertical="center" wrapText="1"/>
    </xf>
    <xf numFmtId="0" fontId="49" fillId="0" borderId="51" xfId="17" applyFont="1" applyBorder="1" applyAlignment="1">
      <alignment horizontal="center" vertical="center" wrapText="1"/>
    </xf>
    <xf numFmtId="0" fontId="33" fillId="0" borderId="13" xfId="17" applyFont="1" applyBorder="1" applyAlignment="1">
      <alignment horizontal="center"/>
    </xf>
    <xf numFmtId="0" fontId="28" fillId="0" borderId="13" xfId="17" applyFont="1" applyBorder="1" applyAlignment="1">
      <alignment horizontal="center"/>
    </xf>
    <xf numFmtId="0" fontId="28" fillId="0" borderId="48" xfId="17" applyFont="1" applyBorder="1" applyAlignment="1">
      <alignment horizontal="center"/>
    </xf>
    <xf numFmtId="0" fontId="27" fillId="0" borderId="13" xfId="17" applyFont="1" applyBorder="1" applyAlignment="1">
      <alignment horizontal="center"/>
    </xf>
    <xf numFmtId="0" fontId="27" fillId="0" borderId="48" xfId="17" applyFont="1" applyBorder="1" applyAlignment="1">
      <alignment horizontal="center"/>
    </xf>
    <xf numFmtId="0" fontId="33" fillId="0" borderId="49" xfId="17" applyFont="1" applyBorder="1" applyAlignment="1">
      <alignment horizontal="center"/>
    </xf>
    <xf numFmtId="0" fontId="33" fillId="0" borderId="50" xfId="17" applyFont="1" applyBorder="1" applyAlignment="1">
      <alignment horizontal="center"/>
    </xf>
    <xf numFmtId="0" fontId="33" fillId="0" borderId="23" xfId="17" applyFont="1" applyBorder="1" applyAlignment="1">
      <alignment horizontal="center"/>
    </xf>
    <xf numFmtId="0" fontId="33" fillId="0" borderId="22" xfId="17" applyFont="1" applyBorder="1" applyAlignment="1">
      <alignment horizontal="right" wrapText="1"/>
    </xf>
    <xf numFmtId="0" fontId="33" fillId="0" borderId="50" xfId="17" applyFont="1" applyBorder="1" applyAlignment="1">
      <alignment horizontal="right" wrapText="1"/>
    </xf>
    <xf numFmtId="0" fontId="33" fillId="0" borderId="23" xfId="17" applyFont="1" applyBorder="1" applyAlignment="1">
      <alignment horizontal="right" wrapText="1"/>
    </xf>
    <xf numFmtId="0" fontId="33" fillId="0" borderId="22" xfId="17" quotePrefix="1" applyFont="1" applyBorder="1" applyAlignment="1">
      <alignment horizontal="center"/>
    </xf>
    <xf numFmtId="0" fontId="33" fillId="0" borderId="23" xfId="17" quotePrefix="1" applyFont="1" applyBorder="1" applyAlignment="1">
      <alignment horizontal="center"/>
    </xf>
    <xf numFmtId="0" fontId="37" fillId="0" borderId="75" xfId="17" applyFont="1" applyBorder="1" applyAlignment="1">
      <alignment vertical="center" wrapText="1"/>
    </xf>
    <xf numFmtId="0" fontId="33" fillId="0" borderId="68" xfId="17" applyFont="1" applyBorder="1" applyAlignment="1">
      <alignment vertical="center" wrapText="1"/>
    </xf>
    <xf numFmtId="0" fontId="33" fillId="0" borderId="0" xfId="17" applyFont="1" applyAlignment="1">
      <alignment horizontal="left" wrapText="1"/>
    </xf>
    <xf numFmtId="0" fontId="37" fillId="0" borderId="0" xfId="17" applyFont="1" applyAlignment="1">
      <alignment horizontal="left" wrapText="1"/>
    </xf>
    <xf numFmtId="0" fontId="37" fillId="0" borderId="48" xfId="17" applyFont="1" applyBorder="1" applyAlignment="1">
      <alignment horizontal="left" wrapText="1"/>
    </xf>
    <xf numFmtId="0" fontId="37" fillId="0" borderId="47" xfId="17" applyFont="1" applyBorder="1" applyAlignment="1">
      <alignment horizontal="left" vertical="center" wrapText="1"/>
    </xf>
    <xf numFmtId="0" fontId="37" fillId="0" borderId="13" xfId="17" applyFont="1" applyBorder="1" applyAlignment="1">
      <alignment horizontal="center"/>
    </xf>
    <xf numFmtId="0" fontId="37" fillId="0" borderId="0" xfId="17" applyFont="1" applyAlignment="1">
      <alignment horizontal="center"/>
    </xf>
    <xf numFmtId="0" fontId="33" fillId="0" borderId="47" xfId="17" applyFont="1" applyBorder="1" applyAlignment="1">
      <alignment horizontal="center" vertical="center" wrapText="1"/>
    </xf>
    <xf numFmtId="0" fontId="33" fillId="0" borderId="0" xfId="17" applyFont="1" applyAlignment="1">
      <alignment horizontal="center" vertical="center" wrapText="1"/>
    </xf>
    <xf numFmtId="0" fontId="39" fillId="0" borderId="1" xfId="17" applyFont="1" applyBorder="1" applyAlignment="1">
      <alignment horizontal="left" vertical="center" wrapText="1"/>
    </xf>
    <xf numFmtId="0" fontId="39" fillId="0" borderId="71" xfId="17" applyFont="1" applyBorder="1" applyAlignment="1">
      <alignment horizontal="left" vertical="center" wrapText="1"/>
    </xf>
    <xf numFmtId="0" fontId="39" fillId="0" borderId="1" xfId="17" applyFont="1" applyBorder="1" applyAlignment="1">
      <alignment horizontal="center"/>
    </xf>
    <xf numFmtId="0" fontId="39" fillId="0" borderId="71" xfId="17" applyFont="1" applyBorder="1" applyAlignment="1">
      <alignment horizontal="center"/>
    </xf>
    <xf numFmtId="0" fontId="33" fillId="0" borderId="48" xfId="17" applyFont="1" applyBorder="1" applyAlignment="1">
      <alignment horizontal="center" vertical="center" wrapText="1"/>
    </xf>
    <xf numFmtId="0" fontId="33" fillId="0" borderId="0" xfId="17" applyFont="1" applyAlignment="1">
      <alignment horizontal="center" wrapText="1"/>
    </xf>
    <xf numFmtId="0" fontId="33" fillId="0" borderId="48" xfId="17" applyFont="1" applyBorder="1" applyAlignment="1">
      <alignment horizontal="center" wrapText="1"/>
    </xf>
    <xf numFmtId="0" fontId="33" fillId="0" borderId="48" xfId="17" applyFont="1" applyBorder="1" applyAlignment="1">
      <alignment horizontal="left" wrapText="1"/>
    </xf>
    <xf numFmtId="0" fontId="33" fillId="0" borderId="0" xfId="17" applyFont="1" applyAlignment="1">
      <alignment horizontal="left"/>
    </xf>
    <xf numFmtId="0" fontId="33" fillId="0" borderId="48" xfId="17" applyFont="1" applyBorder="1" applyAlignment="1">
      <alignment horizontal="left"/>
    </xf>
    <xf numFmtId="0" fontId="33" fillId="0" borderId="47" xfId="17" applyFont="1" applyBorder="1" applyAlignment="1">
      <alignment wrapText="1"/>
    </xf>
    <xf numFmtId="0" fontId="43" fillId="0" borderId="1" xfId="17" applyFont="1" applyBorder="1" applyAlignment="1">
      <alignment horizontal="left" vertical="top" wrapText="1"/>
    </xf>
    <xf numFmtId="0" fontId="43" fillId="0" borderId="71" xfId="17" applyFont="1" applyBorder="1" applyAlignment="1">
      <alignment horizontal="left" vertical="top" wrapText="1"/>
    </xf>
    <xf numFmtId="0" fontId="33" fillId="0" borderId="47" xfId="17" applyFont="1" applyBorder="1" applyAlignment="1">
      <alignment horizontal="left" wrapText="1"/>
    </xf>
    <xf numFmtId="0" fontId="44" fillId="0" borderId="1" xfId="17" applyFont="1" applyBorder="1" applyAlignment="1">
      <alignment horizontal="center"/>
    </xf>
    <xf numFmtId="0" fontId="44" fillId="0" borderId="71" xfId="17" applyFont="1" applyBorder="1" applyAlignment="1">
      <alignment horizontal="center"/>
    </xf>
    <xf numFmtId="0" fontId="33" fillId="0" borderId="78" xfId="17" applyFont="1" applyBorder="1" applyAlignment="1">
      <alignment horizontal="center" vertical="center"/>
    </xf>
    <xf numFmtId="0" fontId="33" fillId="0" borderId="84" xfId="17" applyFont="1" applyBorder="1" applyAlignment="1">
      <alignment horizontal="center" vertical="center"/>
    </xf>
    <xf numFmtId="0" fontId="33" fillId="0" borderId="13" xfId="17" quotePrefix="1" applyFont="1" applyBorder="1" applyAlignment="1">
      <alignment horizontal="left" wrapText="1"/>
    </xf>
    <xf numFmtId="0" fontId="33" fillId="0" borderId="0" xfId="17" quotePrefix="1" applyFont="1" applyAlignment="1">
      <alignment horizontal="left" wrapText="1"/>
    </xf>
    <xf numFmtId="0" fontId="33" fillId="0" borderId="48" xfId="17" quotePrefix="1" applyFont="1" applyBorder="1" applyAlignment="1">
      <alignment horizontal="left" wrapText="1"/>
    </xf>
    <xf numFmtId="0" fontId="37" fillId="0" borderId="78" xfId="17" applyFont="1" applyBorder="1" applyAlignment="1">
      <alignment horizontal="center"/>
    </xf>
    <xf numFmtId="0" fontId="37" fillId="0" borderId="79" xfId="17" applyFont="1" applyBorder="1" applyAlignment="1">
      <alignment horizontal="center"/>
    </xf>
    <xf numFmtId="0" fontId="37" fillId="0" borderId="80" xfId="17" applyFont="1" applyBorder="1" applyAlignment="1">
      <alignment horizontal="center"/>
    </xf>
    <xf numFmtId="0" fontId="37" fillId="0" borderId="81" xfId="17" applyFont="1" applyBorder="1" applyAlignment="1">
      <alignment horizontal="center"/>
    </xf>
    <xf numFmtId="0" fontId="33" fillId="0" borderId="75" xfId="17" applyFont="1" applyBorder="1" applyAlignment="1">
      <alignment horizontal="center" vertical="center"/>
    </xf>
    <xf numFmtId="0" fontId="33" fillId="0" borderId="83" xfId="17" applyFont="1" applyBorder="1" applyAlignment="1">
      <alignment horizontal="center" vertical="center"/>
    </xf>
    <xf numFmtId="167" fontId="33" fillId="0" borderId="13" xfId="17" applyNumberFormat="1" applyFont="1" applyBorder="1" applyAlignment="1">
      <alignment horizontal="center" vertical="center"/>
    </xf>
    <xf numFmtId="167" fontId="33" fillId="0" borderId="0" xfId="17" applyNumberFormat="1" applyFont="1" applyAlignment="1">
      <alignment horizontal="center" vertical="center"/>
    </xf>
    <xf numFmtId="167" fontId="33" fillId="0" borderId="22" xfId="17" applyNumberFormat="1" applyFont="1" applyBorder="1" applyAlignment="1">
      <alignment horizontal="center" vertical="center"/>
    </xf>
    <xf numFmtId="167" fontId="33" fillId="0" borderId="50" xfId="17" applyNumberFormat="1" applyFont="1" applyBorder="1" applyAlignment="1">
      <alignment horizontal="center" vertical="center"/>
    </xf>
    <xf numFmtId="0" fontId="33" fillId="0" borderId="13" xfId="17" applyFont="1" applyBorder="1" applyAlignment="1">
      <alignment horizontal="center" vertical="center" wrapText="1"/>
    </xf>
    <xf numFmtId="0" fontId="33" fillId="0" borderId="22" xfId="17" applyFont="1" applyBorder="1" applyAlignment="1">
      <alignment horizontal="center" vertical="center" wrapText="1"/>
    </xf>
    <xf numFmtId="0" fontId="33" fillId="0" borderId="50" xfId="17" applyFont="1" applyBorder="1" applyAlignment="1">
      <alignment horizontal="center" vertical="center" wrapText="1"/>
    </xf>
    <xf numFmtId="0" fontId="33" fillId="0" borderId="51" xfId="17" applyFont="1" applyBorder="1" applyAlignment="1">
      <alignment horizontal="center" vertical="center" wrapText="1"/>
    </xf>
    <xf numFmtId="0" fontId="68" fillId="0" borderId="75" xfId="17" applyFont="1" applyBorder="1" applyAlignment="1">
      <alignment horizontal="center" vertical="center" wrapText="1"/>
    </xf>
    <xf numFmtId="0" fontId="33" fillId="0" borderId="13" xfId="17" applyFont="1" applyBorder="1" applyAlignment="1">
      <alignment horizontal="center" vertical="center"/>
    </xf>
    <xf numFmtId="0" fontId="33" fillId="0" borderId="14" xfId="17" applyFont="1" applyBorder="1" applyAlignment="1">
      <alignment horizontal="center" vertical="center"/>
    </xf>
    <xf numFmtId="0" fontId="33" fillId="0" borderId="15" xfId="17" applyFont="1" applyBorder="1" applyAlignment="1">
      <alignment horizontal="center" vertical="center"/>
    </xf>
    <xf numFmtId="0" fontId="33" fillId="0" borderId="16" xfId="17" applyFont="1" applyBorder="1" applyAlignment="1">
      <alignment horizontal="center"/>
    </xf>
    <xf numFmtId="0" fontId="33" fillId="0" borderId="71" xfId="17" applyFont="1" applyBorder="1" applyAlignment="1">
      <alignment horizontal="center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14" fontId="9" fillId="0" borderId="47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48" xfId="0" applyNumberFormat="1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35" fillId="0" borderId="0" xfId="0" applyFont="1" applyAlignment="1">
      <alignment horizontal="left"/>
    </xf>
    <xf numFmtId="0" fontId="5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17" fontId="58" fillId="0" borderId="0" xfId="0" quotePrefix="1" applyNumberFormat="1" applyFont="1" applyAlignment="1">
      <alignment horizontal="center"/>
    </xf>
    <xf numFmtId="164" fontId="16" fillId="2" borderId="19" xfId="2" applyNumberFormat="1" applyFont="1" applyFill="1" applyBorder="1" applyAlignment="1">
      <alignment horizontal="center" vertical="center" textRotation="90"/>
    </xf>
    <xf numFmtId="164" fontId="16" fillId="2" borderId="24" xfId="2" applyNumberFormat="1" applyFont="1" applyFill="1" applyBorder="1" applyAlignment="1">
      <alignment horizontal="center" vertical="center" textRotation="90"/>
    </xf>
    <xf numFmtId="164" fontId="16" fillId="2" borderId="19" xfId="2" applyNumberFormat="1" applyFont="1" applyFill="1" applyBorder="1" applyAlignment="1">
      <alignment horizontal="center" vertical="center" textRotation="90" wrapText="1"/>
    </xf>
    <xf numFmtId="164" fontId="16" fillId="2" borderId="24" xfId="2" applyNumberFormat="1" applyFont="1" applyFill="1" applyBorder="1" applyAlignment="1">
      <alignment horizontal="center" vertical="center" textRotation="90" wrapText="1"/>
    </xf>
    <xf numFmtId="164" fontId="17" fillId="2" borderId="19" xfId="2" applyNumberFormat="1" applyFont="1" applyFill="1" applyBorder="1" applyAlignment="1">
      <alignment horizontal="center" vertical="center" wrapText="1"/>
    </xf>
    <xf numFmtId="164" fontId="17" fillId="2" borderId="24" xfId="2" applyNumberFormat="1" applyFont="1" applyFill="1" applyBorder="1" applyAlignment="1">
      <alignment horizontal="center" vertical="center" wrapText="1"/>
    </xf>
    <xf numFmtId="4" fontId="13" fillId="0" borderId="0" xfId="2" applyNumberFormat="1" applyFont="1" applyAlignment="1">
      <alignment horizontal="center" vertical="center"/>
    </xf>
    <xf numFmtId="0" fontId="15" fillId="2" borderId="3" xfId="2" applyFont="1" applyFill="1" applyBorder="1" applyAlignment="1">
      <alignment horizontal="center" vertical="center" wrapText="1"/>
    </xf>
    <xf numFmtId="0" fontId="15" fillId="2" borderId="12" xfId="2" applyFont="1" applyFill="1" applyBorder="1" applyAlignment="1">
      <alignment horizontal="center" vertical="center" wrapText="1"/>
    </xf>
    <xf numFmtId="0" fontId="15" fillId="2" borderId="21" xfId="2" applyFont="1" applyFill="1" applyBorder="1" applyAlignment="1">
      <alignment horizontal="center" vertical="center" wrapText="1"/>
    </xf>
    <xf numFmtId="0" fontId="15" fillId="2" borderId="4" xfId="2" applyFont="1" applyFill="1" applyBorder="1" applyAlignment="1">
      <alignment horizontal="center" vertical="center" wrapText="1"/>
    </xf>
    <xf numFmtId="0" fontId="15" fillId="2" borderId="5" xfId="2" applyFont="1" applyFill="1" applyBorder="1" applyAlignment="1">
      <alignment horizontal="center" vertical="center" wrapText="1"/>
    </xf>
    <xf numFmtId="0" fontId="15" fillId="2" borderId="13" xfId="2" applyFont="1" applyFill="1" applyBorder="1" applyAlignment="1">
      <alignment horizontal="center" vertical="center" wrapText="1"/>
    </xf>
    <xf numFmtId="0" fontId="15" fillId="2" borderId="14" xfId="2" applyFont="1" applyFill="1" applyBorder="1" applyAlignment="1">
      <alignment horizontal="center" vertical="center" wrapText="1"/>
    </xf>
    <xf numFmtId="0" fontId="15" fillId="2" borderId="22" xfId="2" applyFont="1" applyFill="1" applyBorder="1" applyAlignment="1">
      <alignment horizontal="center" vertical="center" wrapText="1"/>
    </xf>
    <xf numFmtId="0" fontId="15" fillId="2" borderId="23" xfId="2" applyFont="1" applyFill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center" vertical="center" textRotation="90" wrapText="1"/>
    </xf>
    <xf numFmtId="0" fontId="15" fillId="2" borderId="15" xfId="2" applyFont="1" applyFill="1" applyBorder="1" applyAlignment="1">
      <alignment horizontal="center" vertical="center" textRotation="90" wrapText="1"/>
    </xf>
    <xf numFmtId="0" fontId="15" fillId="2" borderId="24" xfId="2" applyFont="1" applyFill="1" applyBorder="1" applyAlignment="1">
      <alignment horizontal="center" vertical="center" textRotation="90" wrapText="1"/>
    </xf>
    <xf numFmtId="164" fontId="15" fillId="2" borderId="4" xfId="2" applyNumberFormat="1" applyFont="1" applyFill="1" applyBorder="1" applyAlignment="1">
      <alignment horizontal="center" vertical="center" wrapText="1"/>
    </xf>
    <xf numFmtId="164" fontId="15" fillId="2" borderId="7" xfId="2" applyNumberFormat="1" applyFont="1" applyFill="1" applyBorder="1" applyAlignment="1">
      <alignment horizontal="center" vertical="center" wrapText="1"/>
    </xf>
    <xf numFmtId="164" fontId="15" fillId="2" borderId="5" xfId="2" applyNumberFormat="1" applyFont="1" applyFill="1" applyBorder="1" applyAlignment="1">
      <alignment horizontal="center" vertical="center" wrapText="1"/>
    </xf>
    <xf numFmtId="164" fontId="15" fillId="2" borderId="16" xfId="2" applyNumberFormat="1" applyFont="1" applyFill="1" applyBorder="1" applyAlignment="1">
      <alignment horizontal="center" vertical="center" wrapText="1"/>
    </xf>
    <xf numFmtId="164" fontId="15" fillId="2" borderId="1" xfId="2" applyNumberFormat="1" applyFont="1" applyFill="1" applyBorder="1" applyAlignment="1">
      <alignment horizontal="center" vertical="center" wrapText="1"/>
    </xf>
    <xf numFmtId="164" fontId="15" fillId="2" borderId="14" xfId="2" applyNumberFormat="1" applyFont="1" applyFill="1" applyBorder="1" applyAlignment="1">
      <alignment horizontal="center" vertical="center" wrapText="1"/>
    </xf>
    <xf numFmtId="164" fontId="15" fillId="2" borderId="4" xfId="2" applyNumberFormat="1" applyFont="1" applyFill="1" applyBorder="1" applyAlignment="1">
      <alignment horizontal="center" vertical="center"/>
    </xf>
    <xf numFmtId="164" fontId="15" fillId="2" borderId="7" xfId="2" applyNumberFormat="1" applyFont="1" applyFill="1" applyBorder="1" applyAlignment="1">
      <alignment horizontal="center" vertical="center"/>
    </xf>
    <xf numFmtId="164" fontId="15" fillId="2" borderId="5" xfId="2" applyNumberFormat="1" applyFont="1" applyFill="1" applyBorder="1" applyAlignment="1">
      <alignment horizontal="center" vertical="center"/>
    </xf>
    <xf numFmtId="164" fontId="15" fillId="2" borderId="16" xfId="2" applyNumberFormat="1" applyFont="1" applyFill="1" applyBorder="1" applyAlignment="1">
      <alignment horizontal="center" vertical="center"/>
    </xf>
    <xf numFmtId="164" fontId="15" fillId="2" borderId="1" xfId="2" applyNumberFormat="1" applyFont="1" applyFill="1" applyBorder="1" applyAlignment="1">
      <alignment horizontal="center" vertical="center"/>
    </xf>
    <xf numFmtId="164" fontId="15" fillId="2" borderId="17" xfId="2" applyNumberFormat="1" applyFont="1" applyFill="1" applyBorder="1" applyAlignment="1">
      <alignment horizontal="center" vertical="center"/>
    </xf>
    <xf numFmtId="164" fontId="15" fillId="2" borderId="6" xfId="2" applyNumberFormat="1" applyFont="1" applyFill="1" applyBorder="1" applyAlignment="1">
      <alignment horizontal="center" vertical="center" wrapText="1"/>
    </xf>
    <xf numFmtId="164" fontId="15" fillId="2" borderId="18" xfId="2" applyNumberFormat="1" applyFont="1" applyFill="1" applyBorder="1" applyAlignment="1">
      <alignment horizontal="center" vertical="center" wrapText="1"/>
    </xf>
    <xf numFmtId="164" fontId="15" fillId="2" borderId="15" xfId="2" applyNumberFormat="1" applyFont="1" applyFill="1" applyBorder="1" applyAlignment="1">
      <alignment horizontal="center" vertical="center" wrapText="1"/>
    </xf>
    <xf numFmtId="164" fontId="15" fillId="2" borderId="24" xfId="2" applyNumberFormat="1" applyFont="1" applyFill="1" applyBorder="1" applyAlignment="1">
      <alignment horizontal="center" vertical="center" wrapText="1"/>
    </xf>
    <xf numFmtId="164" fontId="15" fillId="2" borderId="8" xfId="2" applyNumberFormat="1" applyFont="1" applyFill="1" applyBorder="1" applyAlignment="1">
      <alignment horizontal="center" vertical="center"/>
    </xf>
    <xf numFmtId="164" fontId="15" fillId="2" borderId="9" xfId="2" applyNumberFormat="1" applyFont="1" applyFill="1" applyBorder="1" applyAlignment="1">
      <alignment horizontal="center" vertical="center"/>
    </xf>
    <xf numFmtId="164" fontId="15" fillId="2" borderId="10" xfId="2" applyNumberFormat="1" applyFont="1" applyFill="1" applyBorder="1" applyAlignment="1">
      <alignment horizontal="center" vertical="center"/>
    </xf>
    <xf numFmtId="165" fontId="15" fillId="2" borderId="6" xfId="5" applyFont="1" applyFill="1" applyBorder="1" applyAlignment="1">
      <alignment horizontal="center" vertical="center" wrapText="1"/>
    </xf>
    <xf numFmtId="165" fontId="15" fillId="2" borderId="15" xfId="5" applyFont="1" applyFill="1" applyBorder="1" applyAlignment="1">
      <alignment horizontal="center" vertical="center" wrapText="1"/>
    </xf>
    <xf numFmtId="165" fontId="15" fillId="2" borderId="24" xfId="5" applyFont="1" applyFill="1" applyBorder="1" applyAlignment="1">
      <alignment horizontal="center" vertical="center" wrapText="1"/>
    </xf>
    <xf numFmtId="165" fontId="15" fillId="2" borderId="11" xfId="5" applyFont="1" applyFill="1" applyBorder="1" applyAlignment="1">
      <alignment horizontal="center" vertical="center" wrapText="1"/>
    </xf>
    <xf numFmtId="165" fontId="15" fillId="2" borderId="20" xfId="5" applyFont="1" applyFill="1" applyBorder="1" applyAlignment="1">
      <alignment horizontal="center" vertical="center" wrapText="1"/>
    </xf>
    <xf numFmtId="165" fontId="15" fillId="2" borderId="28" xfId="5" applyFont="1" applyFill="1" applyBorder="1" applyAlignment="1">
      <alignment horizontal="center" vertical="center" wrapText="1"/>
    </xf>
    <xf numFmtId="0" fontId="65" fillId="7" borderId="66" xfId="0" applyFont="1" applyFill="1" applyBorder="1" applyAlignment="1">
      <alignment horizontal="center"/>
    </xf>
    <xf numFmtId="0" fontId="65" fillId="7" borderId="2" xfId="0" applyFont="1" applyFill="1" applyBorder="1" applyAlignment="1">
      <alignment horizontal="center"/>
    </xf>
    <xf numFmtId="0" fontId="66" fillId="7" borderId="2" xfId="0" applyFont="1" applyFill="1" applyBorder="1"/>
    <xf numFmtId="0" fontId="66" fillId="7" borderId="2" xfId="0" quotePrefix="1" applyFont="1" applyFill="1" applyBorder="1" applyAlignment="1">
      <alignment horizontal="center"/>
    </xf>
    <xf numFmtId="43" fontId="66" fillId="7" borderId="2" xfId="1" applyFont="1" applyFill="1" applyBorder="1" applyAlignment="1"/>
    <xf numFmtId="0" fontId="65" fillId="7" borderId="0" xfId="0" applyFont="1" applyFill="1"/>
    <xf numFmtId="0" fontId="9" fillId="7" borderId="66" xfId="0" quotePrefix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8" fillId="7" borderId="2" xfId="0" applyFont="1" applyFill="1" applyBorder="1"/>
    <xf numFmtId="0" fontId="8" fillId="7" borderId="2" xfId="0" quotePrefix="1" applyFont="1" applyFill="1" applyBorder="1" applyAlignment="1">
      <alignment horizontal="center"/>
    </xf>
    <xf numFmtId="43" fontId="8" fillId="7" borderId="2" xfId="1" applyFont="1" applyFill="1" applyBorder="1" applyAlignment="1"/>
    <xf numFmtId="0" fontId="9" fillId="7" borderId="0" xfId="0" applyFont="1" applyFill="1" applyAlignment="1">
      <alignment vertical="center"/>
    </xf>
    <xf numFmtId="0" fontId="65" fillId="7" borderId="66" xfId="0" quotePrefix="1" applyFont="1" applyFill="1" applyBorder="1" applyAlignment="1">
      <alignment horizontal="center" vertical="center"/>
    </xf>
    <xf numFmtId="0" fontId="65" fillId="7" borderId="2" xfId="0" applyFont="1" applyFill="1" applyBorder="1" applyAlignment="1">
      <alignment horizontal="center" vertical="center"/>
    </xf>
    <xf numFmtId="0" fontId="65" fillId="7" borderId="0" xfId="0" applyFont="1" applyFill="1" applyAlignment="1">
      <alignment vertical="center"/>
    </xf>
    <xf numFmtId="43" fontId="64" fillId="0" borderId="2" xfId="1" applyFont="1" applyFill="1" applyBorder="1" applyAlignment="1" applyProtection="1">
      <alignment wrapText="1"/>
    </xf>
    <xf numFmtId="43" fontId="64" fillId="0" borderId="2" xfId="1" applyFont="1" applyFill="1" applyBorder="1" applyAlignment="1" applyProtection="1">
      <alignment horizontal="left" wrapText="1"/>
    </xf>
    <xf numFmtId="0" fontId="73" fillId="0" borderId="2" xfId="0" applyFont="1" applyBorder="1" applyAlignment="1">
      <alignment wrapText="1"/>
    </xf>
    <xf numFmtId="43" fontId="64" fillId="7" borderId="2" xfId="1" applyFont="1" applyFill="1" applyBorder="1" applyAlignment="1"/>
    <xf numFmtId="43" fontId="66" fillId="7" borderId="2" xfId="1" applyFont="1" applyFill="1" applyBorder="1" applyAlignment="1">
      <alignment horizontal="center"/>
    </xf>
    <xf numFmtId="43" fontId="63" fillId="5" borderId="62" xfId="1" applyFont="1" applyFill="1" applyBorder="1" applyAlignment="1" applyProtection="1">
      <alignment wrapText="1"/>
    </xf>
    <xf numFmtId="0" fontId="33" fillId="7" borderId="2" xfId="0" applyFont="1" applyFill="1" applyBorder="1" applyAlignment="1">
      <alignment horizontal="center" vertical="center"/>
    </xf>
    <xf numFmtId="0" fontId="69" fillId="7" borderId="2" xfId="0" applyFont="1" applyFill="1" applyBorder="1" applyAlignment="1">
      <alignment horizontal="right" vertical="center"/>
    </xf>
    <xf numFmtId="0" fontId="9" fillId="7" borderId="2" xfId="0" applyFont="1" applyFill="1" applyBorder="1" applyAlignment="1">
      <alignment horizontal="center"/>
    </xf>
    <xf numFmtId="0" fontId="33" fillId="7" borderId="0" xfId="0" applyFont="1" applyFill="1" applyAlignment="1">
      <alignment vertical="center"/>
    </xf>
    <xf numFmtId="0" fontId="37" fillId="7" borderId="2" xfId="0" applyFont="1" applyFill="1" applyBorder="1" applyAlignment="1">
      <alignment horizontal="right" vertical="center"/>
    </xf>
  </cellXfs>
  <cellStyles count="27">
    <cellStyle name="Comma" xfId="1" builtinId="3"/>
    <cellStyle name="Comma 2" xfId="5"/>
    <cellStyle name="Comma 2 2" xfId="16"/>
    <cellStyle name="Comma 2 3" xfId="18"/>
    <cellStyle name="Comma 2 4" xfId="20"/>
    <cellStyle name="Comma 3" xfId="8"/>
    <cellStyle name="Comma 4" xfId="3"/>
    <cellStyle name="Comma 5" xfId="10"/>
    <cellStyle name="Hyperlink" xfId="6" builtinId="8"/>
    <cellStyle name="Hyperlink 2" xfId="14"/>
    <cellStyle name="Hyperlink 2 2" xfId="26"/>
    <cellStyle name="Hyperlink 3" xfId="12"/>
    <cellStyle name="Hyperlink 4" xfId="22"/>
    <cellStyle name="Normal" xfId="0" builtinId="0"/>
    <cellStyle name="Normal 2" xfId="2"/>
    <cellStyle name="Normal 2 2" xfId="13"/>
    <cellStyle name="Normal 2 3" xfId="15"/>
    <cellStyle name="Normal 2 4" xfId="17"/>
    <cellStyle name="Normal 2 5" xfId="19"/>
    <cellStyle name="Normal 2 6" xfId="25"/>
    <cellStyle name="Normal 3" xfId="7"/>
    <cellStyle name="Normal 3 2" xfId="11"/>
    <cellStyle name="Normal 3 3" xfId="24"/>
    <cellStyle name="Normal 4" xfId="9"/>
    <cellStyle name="Normal 5" xfId="23"/>
    <cellStyle name="Normal 6" xfId="21"/>
    <cellStyle name="Percent 2" xfId="4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37</xdr:row>
      <xdr:rowOff>0</xdr:rowOff>
    </xdr:from>
    <xdr:to>
      <xdr:col>8</xdr:col>
      <xdr:colOff>561975</xdr:colOff>
      <xdr:row>39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429250" y="7543800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552450</xdr:colOff>
      <xdr:row>39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4867275" y="79248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45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85875" y="906780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39</xdr:row>
      <xdr:rowOff>0</xdr:rowOff>
    </xdr:from>
    <xdr:to>
      <xdr:col>8</xdr:col>
      <xdr:colOff>561975</xdr:colOff>
      <xdr:row>41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4943475" y="797242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552450</xdr:colOff>
      <xdr:row>41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381500" y="83534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47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285875" y="9496425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37</xdr:row>
      <xdr:rowOff>0</xdr:rowOff>
    </xdr:from>
    <xdr:to>
      <xdr:col>8</xdr:col>
      <xdr:colOff>561975</xdr:colOff>
      <xdr:row>39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7E902A6-62CC-481F-80C6-F68BC4BFFD54}"/>
            </a:ext>
          </a:extLst>
        </xdr:cNvPr>
        <xdr:cNvSpPr>
          <a:spLocks noChangeShapeType="1"/>
        </xdr:cNvSpPr>
      </xdr:nvSpPr>
      <xdr:spPr bwMode="auto">
        <a:xfrm>
          <a:off x="5429250" y="7543800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552450</xdr:colOff>
      <xdr:row>39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5BAAFE2-FC69-4F6A-BD15-30C541C09A25}"/>
            </a:ext>
          </a:extLst>
        </xdr:cNvPr>
        <xdr:cNvSpPr>
          <a:spLocks noChangeShapeType="1"/>
        </xdr:cNvSpPr>
      </xdr:nvSpPr>
      <xdr:spPr bwMode="auto">
        <a:xfrm>
          <a:off x="4867275" y="79248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45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68623C-DB43-4E82-BB6C-924634B7201F}"/>
            </a:ext>
          </a:extLst>
        </xdr:cNvPr>
        <xdr:cNvSpPr txBox="1"/>
      </xdr:nvSpPr>
      <xdr:spPr>
        <a:xfrm>
          <a:off x="1285875" y="906780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11206</xdr:rowOff>
    </xdr:from>
    <xdr:to>
      <xdr:col>1</xdr:col>
      <xdr:colOff>0</xdr:colOff>
      <xdr:row>80</xdr:row>
      <xdr:rowOff>56030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9D54118-1E39-4B23-9A4A-19E929EE7F81}"/>
            </a:ext>
          </a:extLst>
        </xdr:cNvPr>
        <xdr:cNvSpPr/>
      </xdr:nvSpPr>
      <xdr:spPr>
        <a:xfrm>
          <a:off x="0" y="50112706"/>
          <a:ext cx="371475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86</xdr:row>
      <xdr:rowOff>22411</xdr:rowOff>
    </xdr:from>
    <xdr:to>
      <xdr:col>2</xdr:col>
      <xdr:colOff>11206</xdr:colOff>
      <xdr:row>87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1AD028D-0E71-46F5-BBB3-D55837025B8C}"/>
            </a:ext>
          </a:extLst>
        </xdr:cNvPr>
        <xdr:cNvSpPr/>
      </xdr:nvSpPr>
      <xdr:spPr>
        <a:xfrm>
          <a:off x="11206" y="51619336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79</xdr:row>
      <xdr:rowOff>11205</xdr:rowOff>
    </xdr:from>
    <xdr:to>
      <xdr:col>9</xdr:col>
      <xdr:colOff>381000</xdr:colOff>
      <xdr:row>80</xdr:row>
      <xdr:rowOff>56029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B9431B-0039-459B-9A9B-0CA5E37464AE}"/>
            </a:ext>
          </a:extLst>
        </xdr:cNvPr>
        <xdr:cNvSpPr/>
      </xdr:nvSpPr>
      <xdr:spPr>
        <a:xfrm>
          <a:off x="5183281" y="50112705"/>
          <a:ext cx="369794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12208</xdr:colOff>
      <xdr:row>86</xdr:row>
      <xdr:rowOff>14607</xdr:rowOff>
    </xdr:from>
    <xdr:to>
      <xdr:col>9</xdr:col>
      <xdr:colOff>382002</xdr:colOff>
      <xdr:row>87</xdr:row>
      <xdr:rowOff>59430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CE3364A-8BF6-475D-8D1F-2C3E878EB80F}"/>
            </a:ext>
          </a:extLst>
        </xdr:cNvPr>
        <xdr:cNvSpPr/>
      </xdr:nvSpPr>
      <xdr:spPr>
        <a:xfrm>
          <a:off x="5184283" y="51611532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11206</xdr:rowOff>
    </xdr:from>
    <xdr:to>
      <xdr:col>1</xdr:col>
      <xdr:colOff>0</xdr:colOff>
      <xdr:row>30</xdr:row>
      <xdr:rowOff>56030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FED8F5-EDCC-42F4-B5E8-4D7904261E14}"/>
            </a:ext>
          </a:extLst>
        </xdr:cNvPr>
        <xdr:cNvSpPr/>
      </xdr:nvSpPr>
      <xdr:spPr>
        <a:xfrm>
          <a:off x="0" y="9298081"/>
          <a:ext cx="371475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36</xdr:row>
      <xdr:rowOff>22411</xdr:rowOff>
    </xdr:from>
    <xdr:to>
      <xdr:col>2</xdr:col>
      <xdr:colOff>11206</xdr:colOff>
      <xdr:row>37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8261BBE-9035-4E03-89D0-3862ABF85106}"/>
            </a:ext>
          </a:extLst>
        </xdr:cNvPr>
        <xdr:cNvSpPr/>
      </xdr:nvSpPr>
      <xdr:spPr>
        <a:xfrm>
          <a:off x="11206" y="10842811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29</xdr:row>
      <xdr:rowOff>11205</xdr:rowOff>
    </xdr:from>
    <xdr:to>
      <xdr:col>9</xdr:col>
      <xdr:colOff>381000</xdr:colOff>
      <xdr:row>30</xdr:row>
      <xdr:rowOff>56029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DE985DC-7AE3-45C8-8783-B86EEB0CD85D}"/>
            </a:ext>
          </a:extLst>
        </xdr:cNvPr>
        <xdr:cNvSpPr/>
      </xdr:nvSpPr>
      <xdr:spPr>
        <a:xfrm>
          <a:off x="5678581" y="9298080"/>
          <a:ext cx="369794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36</xdr:row>
      <xdr:rowOff>11205</xdr:rowOff>
    </xdr:from>
    <xdr:to>
      <xdr:col>9</xdr:col>
      <xdr:colOff>392207</xdr:colOff>
      <xdr:row>37</xdr:row>
      <xdr:rowOff>56028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7A367C-95D5-40ED-82BA-C2734EC971BC}"/>
            </a:ext>
          </a:extLst>
        </xdr:cNvPr>
        <xdr:cNvSpPr/>
      </xdr:nvSpPr>
      <xdr:spPr>
        <a:xfrm>
          <a:off x="5689788" y="10831605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11206</xdr:rowOff>
    </xdr:from>
    <xdr:to>
      <xdr:col>1</xdr:col>
      <xdr:colOff>0</xdr:colOff>
      <xdr:row>25</xdr:row>
      <xdr:rowOff>56030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D279BC-AF64-4452-A6B7-1D03DD0E7A66}"/>
            </a:ext>
          </a:extLst>
        </xdr:cNvPr>
        <xdr:cNvSpPr/>
      </xdr:nvSpPr>
      <xdr:spPr>
        <a:xfrm>
          <a:off x="0" y="6050056"/>
          <a:ext cx="371475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31</xdr:row>
      <xdr:rowOff>22411</xdr:rowOff>
    </xdr:from>
    <xdr:to>
      <xdr:col>2</xdr:col>
      <xdr:colOff>11206</xdr:colOff>
      <xdr:row>32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BC3BEF8-E15F-4F87-9413-4BAEC4F3D381}"/>
            </a:ext>
          </a:extLst>
        </xdr:cNvPr>
        <xdr:cNvSpPr/>
      </xdr:nvSpPr>
      <xdr:spPr>
        <a:xfrm>
          <a:off x="11206" y="7556686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24</xdr:row>
      <xdr:rowOff>11205</xdr:rowOff>
    </xdr:from>
    <xdr:to>
      <xdr:col>9</xdr:col>
      <xdr:colOff>381000</xdr:colOff>
      <xdr:row>25</xdr:row>
      <xdr:rowOff>56029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C266B60-FC1B-4F75-8A56-FD1EBA817645}"/>
            </a:ext>
          </a:extLst>
        </xdr:cNvPr>
        <xdr:cNvSpPr/>
      </xdr:nvSpPr>
      <xdr:spPr>
        <a:xfrm>
          <a:off x="5278531" y="6050055"/>
          <a:ext cx="369794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31</xdr:row>
      <xdr:rowOff>11205</xdr:rowOff>
    </xdr:from>
    <xdr:to>
      <xdr:col>9</xdr:col>
      <xdr:colOff>392207</xdr:colOff>
      <xdr:row>32</xdr:row>
      <xdr:rowOff>56028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C5915EB-E76E-4F6A-8BF2-87ABD74F8422}"/>
            </a:ext>
          </a:extLst>
        </xdr:cNvPr>
        <xdr:cNvSpPr/>
      </xdr:nvSpPr>
      <xdr:spPr>
        <a:xfrm>
          <a:off x="5289738" y="7545480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AYROLL%20ILOCOS%20NORTE%202022\Users\eLviN\ndpdropoff\HRH\TARLAC%20CITY\CITY-Masterlist-of-HR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AYROLL%20ILOCOS%20NORTE%202022\Users\Personnel\Google%20Drive\BENIFITS\HP2019\Users\veriton\Desktop\FILES%20FR.%20DESKTOP\Benifits%202016\Hazard%20Pay\Jan.-July%202016%20Dif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Jun2017"/>
      <sheetName val="ETD"/>
    </sheetNames>
    <sheetDataSet>
      <sheetData sheetId="0" refreshError="1"/>
      <sheetData sheetId="1" refreshError="1">
        <row r="200">
          <cell r="E200" t="str">
            <v>Angelito</v>
          </cell>
          <cell r="F200" t="str">
            <v>Punsalan</v>
          </cell>
          <cell r="G200" t="str">
            <v>Jan. 2015</v>
          </cell>
        </row>
        <row r="201">
          <cell r="E201" t="str">
            <v>Hazen</v>
          </cell>
          <cell r="F201" t="str">
            <v>Salmos</v>
          </cell>
          <cell r="G201" t="str">
            <v>Jan. 2015</v>
          </cell>
        </row>
        <row r="202">
          <cell r="E202" t="str">
            <v>Sarah Jane</v>
          </cell>
          <cell r="F202" t="str">
            <v>Magat</v>
          </cell>
          <cell r="G202" t="str">
            <v>Jan. 2015</v>
          </cell>
        </row>
        <row r="203">
          <cell r="E203" t="str">
            <v>Maryan Gay</v>
          </cell>
          <cell r="F203" t="str">
            <v>Balaba</v>
          </cell>
          <cell r="G203" t="str">
            <v>Jan. 2015</v>
          </cell>
        </row>
        <row r="204">
          <cell r="E204" t="str">
            <v>Jennifer</v>
          </cell>
          <cell r="F204" t="str">
            <v>Borlongan</v>
          </cell>
          <cell r="G204" t="str">
            <v>oct.2015</v>
          </cell>
        </row>
        <row r="205">
          <cell r="E205" t="str">
            <v>Sir Bernar Louie</v>
          </cell>
          <cell r="F205" t="str">
            <v>Narciso</v>
          </cell>
          <cell r="G205" t="str">
            <v>Jan. 2015</v>
          </cell>
        </row>
        <row r="206">
          <cell r="E206" t="str">
            <v>Johanna Ray</v>
          </cell>
          <cell r="F206" t="str">
            <v>Lopez</v>
          </cell>
          <cell r="G206" t="str">
            <v>oct.2015</v>
          </cell>
        </row>
        <row r="207">
          <cell r="E207" t="str">
            <v>Melody</v>
          </cell>
          <cell r="F207" t="str">
            <v>Cunanan</v>
          </cell>
          <cell r="G207" t="str">
            <v>Jan. 2015</v>
          </cell>
        </row>
        <row r="208">
          <cell r="E208" t="str">
            <v>Manuel Jr.</v>
          </cell>
          <cell r="F208" t="str">
            <v>Pangan</v>
          </cell>
          <cell r="G208">
            <v>42248</v>
          </cell>
        </row>
        <row r="209">
          <cell r="E209" t="str">
            <v>Monica Kay</v>
          </cell>
          <cell r="F209" t="str">
            <v>Tolentino</v>
          </cell>
          <cell r="G209" t="str">
            <v>Jan. 2015</v>
          </cell>
        </row>
        <row r="210">
          <cell r="E210" t="str">
            <v>Jeffrey</v>
          </cell>
          <cell r="F210" t="str">
            <v>Vargas</v>
          </cell>
          <cell r="G210" t="str">
            <v>Jul. 2015</v>
          </cell>
        </row>
        <row r="211">
          <cell r="E211" t="str">
            <v>Cherry</v>
          </cell>
          <cell r="F211" t="str">
            <v>Nisco</v>
          </cell>
          <cell r="G211" t="str">
            <v>Jan. 2015</v>
          </cell>
        </row>
        <row r="212">
          <cell r="E212" t="str">
            <v>Angelica</v>
          </cell>
          <cell r="F212" t="str">
            <v>Tacadino</v>
          </cell>
          <cell r="G212" t="str">
            <v>Jan. 2015</v>
          </cell>
        </row>
        <row r="213">
          <cell r="E213" t="str">
            <v>Jennifer</v>
          </cell>
          <cell r="F213" t="str">
            <v>Samaniego</v>
          </cell>
          <cell r="G213" t="str">
            <v>Jan. 2015</v>
          </cell>
        </row>
        <row r="214">
          <cell r="E214" t="str">
            <v>Pamela Jane</v>
          </cell>
          <cell r="F214" t="str">
            <v>Zamora</v>
          </cell>
          <cell r="G214" t="str">
            <v>Jan. 2015</v>
          </cell>
        </row>
        <row r="215">
          <cell r="E215" t="str">
            <v>Reeza</v>
          </cell>
          <cell r="F215" t="str">
            <v>Sarmiento</v>
          </cell>
          <cell r="G215" t="str">
            <v>Jan. 2015</v>
          </cell>
        </row>
        <row r="216">
          <cell r="E216" t="str">
            <v>Elvin Ryan</v>
          </cell>
          <cell r="F216" t="str">
            <v>Batacan</v>
          </cell>
          <cell r="G216" t="str">
            <v>Jan. 2015</v>
          </cell>
        </row>
        <row r="217">
          <cell r="E217" t="str">
            <v>Jenny</v>
          </cell>
          <cell r="F217" t="str">
            <v>Susa</v>
          </cell>
          <cell r="G217" t="str">
            <v>Jan. 2015</v>
          </cell>
        </row>
        <row r="218">
          <cell r="E218" t="str">
            <v>Raisa</v>
          </cell>
          <cell r="F218" t="str">
            <v>Syreeta</v>
          </cell>
          <cell r="G218" t="str">
            <v>Jan. 2015</v>
          </cell>
        </row>
        <row r="219">
          <cell r="E219" t="str">
            <v>Rochelle Maelan</v>
          </cell>
          <cell r="F219" t="str">
            <v>Rivera</v>
          </cell>
          <cell r="G219">
            <v>42576</v>
          </cell>
        </row>
        <row r="220">
          <cell r="E220" t="str">
            <v>Gemma</v>
          </cell>
          <cell r="F220" t="str">
            <v>Bernabe</v>
          </cell>
          <cell r="G220">
            <v>42576</v>
          </cell>
        </row>
        <row r="221">
          <cell r="E221" t="str">
            <v>Raymund</v>
          </cell>
          <cell r="F221" t="str">
            <v>Capinding</v>
          </cell>
          <cell r="G221">
            <v>42576</v>
          </cell>
        </row>
        <row r="222">
          <cell r="E222" t="str">
            <v>Andrea Thea</v>
          </cell>
          <cell r="F222" t="str">
            <v>Orilla</v>
          </cell>
          <cell r="G222">
            <v>42576</v>
          </cell>
        </row>
        <row r="223">
          <cell r="E223" t="str">
            <v>Charles Kevin</v>
          </cell>
          <cell r="F223" t="str">
            <v>Comia</v>
          </cell>
          <cell r="G223">
            <v>42591</v>
          </cell>
        </row>
        <row r="224">
          <cell r="E224" t="str">
            <v>Joanna Zilpah</v>
          </cell>
          <cell r="F224" t="str">
            <v>Nicasio</v>
          </cell>
          <cell r="G224">
            <v>42576</v>
          </cell>
        </row>
        <row r="225">
          <cell r="E225" t="str">
            <v>Geralden</v>
          </cell>
          <cell r="F225" t="str">
            <v>Vinluan</v>
          </cell>
          <cell r="G225">
            <v>42576</v>
          </cell>
        </row>
        <row r="226">
          <cell r="E226" t="str">
            <v>Nicollete</v>
          </cell>
          <cell r="F226" t="str">
            <v>Santos</v>
          </cell>
          <cell r="G226">
            <v>42576</v>
          </cell>
        </row>
        <row r="227">
          <cell r="E227" t="str">
            <v>Aiza</v>
          </cell>
          <cell r="F227" t="str">
            <v>Sebastian</v>
          </cell>
          <cell r="G227">
            <v>42628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(2)"/>
      <sheetName val="ORS (3)"/>
      <sheetName val="ORS (2)"/>
      <sheetName val="ORS"/>
      <sheetName val="ALL"/>
    </sheetNames>
    <sheetDataSet>
      <sheetData sheetId="0" refreshError="1"/>
      <sheetData sheetId="1" refreshError="1"/>
      <sheetData sheetId="2" refreshError="1">
        <row r="14">
          <cell r="L14">
            <v>67643.95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3"/>
  <sheetViews>
    <sheetView topLeftCell="A46" workbookViewId="0">
      <selection activeCell="A58" sqref="A58:XFD59"/>
    </sheetView>
  </sheetViews>
  <sheetFormatPr defaultRowHeight="12.75" x14ac:dyDescent="0.2"/>
  <cols>
    <col min="3" max="3" width="6.28515625" customWidth="1"/>
    <col min="8" max="8" width="7" customWidth="1"/>
    <col min="11" max="11" width="17.85546875" customWidth="1"/>
    <col min="12" max="12" width="9.7109375" customWidth="1"/>
    <col min="13" max="13" width="13" customWidth="1"/>
    <col min="16" max="16" width="12.85546875" customWidth="1"/>
  </cols>
  <sheetData>
    <row r="1" spans="1:16" s="130" customFormat="1" ht="15.75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367" t="s">
        <v>134</v>
      </c>
      <c r="M1" s="367"/>
    </row>
    <row r="2" spans="1:16" s="130" customFormat="1" ht="11.25" customHeight="1" thickBo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368"/>
      <c r="M2" s="368"/>
    </row>
    <row r="3" spans="1:16" s="130" customFormat="1" ht="18.75" customHeight="1" x14ac:dyDescent="0.25">
      <c r="A3" s="369" t="s">
        <v>135</v>
      </c>
      <c r="B3" s="370"/>
      <c r="C3" s="370"/>
      <c r="D3" s="370"/>
      <c r="E3" s="370"/>
      <c r="F3" s="370"/>
      <c r="G3" s="370"/>
      <c r="H3" s="370"/>
      <c r="I3" s="370"/>
      <c r="J3" s="371"/>
      <c r="K3" s="372" t="s">
        <v>136</v>
      </c>
      <c r="L3" s="373"/>
      <c r="M3" s="374"/>
    </row>
    <row r="4" spans="1:16" s="130" customFormat="1" ht="16.5" x14ac:dyDescent="0.25">
      <c r="A4" s="375" t="s">
        <v>106</v>
      </c>
      <c r="B4" s="376"/>
      <c r="C4" s="376"/>
      <c r="D4" s="376"/>
      <c r="E4" s="376"/>
      <c r="F4" s="376"/>
      <c r="G4" s="376"/>
      <c r="H4" s="376"/>
      <c r="I4" s="376"/>
      <c r="J4" s="377"/>
      <c r="K4" s="378" t="s">
        <v>137</v>
      </c>
      <c r="L4" s="379"/>
      <c r="M4" s="380"/>
    </row>
    <row r="5" spans="1:16" s="130" customFormat="1" ht="15.75" thickBot="1" x14ac:dyDescent="0.25">
      <c r="A5" s="340" t="s">
        <v>138</v>
      </c>
      <c r="B5" s="341"/>
      <c r="C5" s="341"/>
      <c r="D5" s="341"/>
      <c r="E5" s="341"/>
      <c r="F5" s="341"/>
      <c r="G5" s="341"/>
      <c r="H5" s="341"/>
      <c r="I5" s="341"/>
      <c r="J5" s="342"/>
      <c r="K5" s="343" t="s">
        <v>139</v>
      </c>
      <c r="L5" s="344"/>
      <c r="M5" s="345"/>
    </row>
    <row r="6" spans="1:16" s="130" customFormat="1" x14ac:dyDescent="0.2">
      <c r="A6" s="346" t="s">
        <v>140</v>
      </c>
      <c r="B6" s="347"/>
      <c r="C6" s="348"/>
      <c r="D6" s="352" t="s">
        <v>353</v>
      </c>
      <c r="E6" s="353"/>
      <c r="F6" s="353"/>
      <c r="G6" s="353"/>
      <c r="H6" s="353"/>
      <c r="I6" s="353"/>
      <c r="J6" s="353"/>
      <c r="K6" s="353"/>
      <c r="L6" s="353"/>
      <c r="M6" s="354"/>
    </row>
    <row r="7" spans="1:16" s="130" customFormat="1" x14ac:dyDescent="0.2">
      <c r="A7" s="349"/>
      <c r="B7" s="350"/>
      <c r="C7" s="351"/>
      <c r="D7" s="355"/>
      <c r="E7" s="356"/>
      <c r="F7" s="356"/>
      <c r="G7" s="356"/>
      <c r="H7" s="356"/>
      <c r="I7" s="356"/>
      <c r="J7" s="356"/>
      <c r="K7" s="356"/>
      <c r="L7" s="356"/>
      <c r="M7" s="357"/>
    </row>
    <row r="8" spans="1:16" s="130" customFormat="1" x14ac:dyDescent="0.2">
      <c r="A8" s="358" t="s">
        <v>141</v>
      </c>
      <c r="B8" s="359"/>
      <c r="C8" s="360"/>
      <c r="D8" s="361" t="s">
        <v>142</v>
      </c>
      <c r="E8" s="362"/>
      <c r="F8" s="362"/>
      <c r="G8" s="362"/>
      <c r="H8" s="362"/>
      <c r="I8" s="362"/>
      <c r="J8" s="362"/>
      <c r="K8" s="362"/>
      <c r="L8" s="362"/>
      <c r="M8" s="363"/>
    </row>
    <row r="9" spans="1:16" s="130" customFormat="1" x14ac:dyDescent="0.2">
      <c r="A9" s="349"/>
      <c r="B9" s="350"/>
      <c r="C9" s="351"/>
      <c r="D9" s="364"/>
      <c r="E9" s="365"/>
      <c r="F9" s="365"/>
      <c r="G9" s="365"/>
      <c r="H9" s="365"/>
      <c r="I9" s="365"/>
      <c r="J9" s="365"/>
      <c r="K9" s="365"/>
      <c r="L9" s="365"/>
      <c r="M9" s="366"/>
    </row>
    <row r="10" spans="1:16" s="130" customFormat="1" x14ac:dyDescent="0.2">
      <c r="A10" s="358" t="s">
        <v>143</v>
      </c>
      <c r="B10" s="359"/>
      <c r="C10" s="360"/>
      <c r="D10" s="361" t="s">
        <v>211</v>
      </c>
      <c r="E10" s="362"/>
      <c r="F10" s="362"/>
      <c r="G10" s="362"/>
      <c r="H10" s="362"/>
      <c r="I10" s="362"/>
      <c r="J10" s="362"/>
      <c r="K10" s="362"/>
      <c r="L10" s="362"/>
      <c r="M10" s="363"/>
    </row>
    <row r="11" spans="1:16" s="130" customFormat="1" ht="13.5" thickBot="1" x14ac:dyDescent="0.25">
      <c r="A11" s="399"/>
      <c r="B11" s="400"/>
      <c r="C11" s="401"/>
      <c r="D11" s="402"/>
      <c r="E11" s="403"/>
      <c r="F11" s="403"/>
      <c r="G11" s="403"/>
      <c r="H11" s="403"/>
      <c r="I11" s="403"/>
      <c r="J11" s="403"/>
      <c r="K11" s="403"/>
      <c r="L11" s="403"/>
      <c r="M11" s="404"/>
    </row>
    <row r="12" spans="1:16" s="130" customFormat="1" x14ac:dyDescent="0.2">
      <c r="A12" s="346" t="s">
        <v>144</v>
      </c>
      <c r="B12" s="347"/>
      <c r="C12" s="348"/>
      <c r="D12" s="405" t="s">
        <v>145</v>
      </c>
      <c r="E12" s="406"/>
      <c r="F12" s="406"/>
      <c r="G12" s="406"/>
      <c r="H12" s="407"/>
      <c r="I12" s="411" t="s">
        <v>146</v>
      </c>
      <c r="J12" s="412"/>
      <c r="K12" s="415" t="s">
        <v>147</v>
      </c>
      <c r="L12" s="405" t="s">
        <v>148</v>
      </c>
      <c r="M12" s="417"/>
    </row>
    <row r="13" spans="1:16" s="130" customFormat="1" ht="27" customHeight="1" thickBot="1" x14ac:dyDescent="0.25">
      <c r="A13" s="399"/>
      <c r="B13" s="400"/>
      <c r="C13" s="401"/>
      <c r="D13" s="408"/>
      <c r="E13" s="409"/>
      <c r="F13" s="409"/>
      <c r="G13" s="409"/>
      <c r="H13" s="410"/>
      <c r="I13" s="413"/>
      <c r="J13" s="414"/>
      <c r="K13" s="416"/>
      <c r="L13" s="418"/>
      <c r="M13" s="419"/>
      <c r="P13" s="131" t="s">
        <v>149</v>
      </c>
    </row>
    <row r="14" spans="1:16" s="130" customFormat="1" ht="16.5" customHeight="1" x14ac:dyDescent="0.25">
      <c r="A14" s="381"/>
      <c r="B14" s="382"/>
      <c r="C14" s="383"/>
      <c r="D14" s="384" t="s">
        <v>352</v>
      </c>
      <c r="E14" s="385"/>
      <c r="F14" s="385"/>
      <c r="G14" s="385"/>
      <c r="H14" s="386"/>
      <c r="I14" s="390"/>
      <c r="J14" s="391"/>
      <c r="K14" s="132"/>
      <c r="L14" s="392">
        <v>3433700</v>
      </c>
      <c r="M14" s="393"/>
      <c r="O14" s="396" t="s">
        <v>150</v>
      </c>
      <c r="P14" s="383"/>
    </row>
    <row r="15" spans="1:16" s="130" customFormat="1" ht="16.5" customHeight="1" x14ac:dyDescent="0.3">
      <c r="A15" s="381"/>
      <c r="B15" s="382"/>
      <c r="C15" s="383"/>
      <c r="D15" s="387"/>
      <c r="E15" s="388"/>
      <c r="F15" s="388"/>
      <c r="G15" s="388"/>
      <c r="H15" s="389"/>
      <c r="I15" s="397"/>
      <c r="J15" s="398"/>
      <c r="K15" s="133"/>
      <c r="L15" s="394"/>
      <c r="M15" s="395"/>
    </row>
    <row r="16" spans="1:16" s="130" customFormat="1" ht="16.5" customHeight="1" x14ac:dyDescent="0.3">
      <c r="A16" s="214"/>
      <c r="B16" s="215"/>
      <c r="C16" s="216"/>
      <c r="D16" s="387"/>
      <c r="E16" s="388"/>
      <c r="F16" s="388"/>
      <c r="G16" s="388"/>
      <c r="H16" s="389"/>
      <c r="I16" s="217"/>
      <c r="J16" s="218"/>
      <c r="K16" s="134"/>
      <c r="L16" s="394"/>
      <c r="M16" s="395"/>
    </row>
    <row r="17" spans="1:16" s="130" customFormat="1" ht="16.5" customHeight="1" x14ac:dyDescent="0.3">
      <c r="A17" s="214"/>
      <c r="B17" s="215"/>
      <c r="C17" s="216"/>
      <c r="D17" s="387"/>
      <c r="E17" s="388"/>
      <c r="F17" s="388"/>
      <c r="G17" s="388"/>
      <c r="H17" s="389"/>
      <c r="I17" s="217"/>
      <c r="J17" s="218"/>
      <c r="K17" s="134"/>
      <c r="L17" s="394"/>
      <c r="M17" s="395"/>
    </row>
    <row r="18" spans="1:16" s="130" customFormat="1" ht="16.5" customHeight="1" x14ac:dyDescent="0.3">
      <c r="A18" s="214"/>
      <c r="B18" s="215"/>
      <c r="C18" s="216"/>
      <c r="D18" s="387"/>
      <c r="E18" s="388"/>
      <c r="F18" s="388"/>
      <c r="G18" s="388"/>
      <c r="H18" s="389"/>
      <c r="I18" s="217"/>
      <c r="J18" s="218"/>
      <c r="K18" s="134"/>
      <c r="L18" s="394"/>
      <c r="M18" s="395"/>
    </row>
    <row r="19" spans="1:16" s="130" customFormat="1" ht="16.5" x14ac:dyDescent="0.3">
      <c r="A19" s="381"/>
      <c r="B19" s="382"/>
      <c r="C19" s="383"/>
      <c r="D19" s="396"/>
      <c r="E19" s="382"/>
      <c r="F19" s="382"/>
      <c r="G19" s="382"/>
      <c r="H19" s="383"/>
      <c r="I19" s="397"/>
      <c r="J19" s="398"/>
      <c r="K19" s="134"/>
      <c r="L19" s="420"/>
      <c r="M19" s="421"/>
      <c r="P19" s="135">
        <f>SUM(L14)</f>
        <v>3433700</v>
      </c>
    </row>
    <row r="20" spans="1:16" s="130" customFormat="1" ht="16.5" x14ac:dyDescent="0.3">
      <c r="A20" s="381"/>
      <c r="B20" s="382"/>
      <c r="C20" s="383"/>
      <c r="D20" s="396" t="s">
        <v>305</v>
      </c>
      <c r="E20" s="382"/>
      <c r="F20" s="382"/>
      <c r="G20" s="382"/>
      <c r="H20" s="383"/>
      <c r="I20" s="397"/>
      <c r="J20" s="398"/>
      <c r="K20" s="134"/>
      <c r="L20" s="422"/>
      <c r="M20" s="423"/>
      <c r="P20" s="135" t="e">
        <f>SUM('[2]ORS (2)'!L14:M14)</f>
        <v>#REF!</v>
      </c>
    </row>
    <row r="21" spans="1:16" s="130" customFormat="1" ht="16.5" x14ac:dyDescent="0.3">
      <c r="A21" s="381"/>
      <c r="B21" s="382"/>
      <c r="C21" s="383"/>
      <c r="D21" s="396"/>
      <c r="E21" s="382"/>
      <c r="F21" s="382"/>
      <c r="G21" s="382"/>
      <c r="H21" s="383"/>
      <c r="I21" s="397"/>
      <c r="J21" s="398"/>
      <c r="K21" s="134"/>
      <c r="L21" s="420"/>
      <c r="M21" s="421"/>
      <c r="P21" s="135" t="e">
        <f>SUM(#REF!)</f>
        <v>#REF!</v>
      </c>
    </row>
    <row r="22" spans="1:16" s="130" customFormat="1" ht="16.5" x14ac:dyDescent="0.3">
      <c r="A22" s="381"/>
      <c r="B22" s="382"/>
      <c r="C22" s="383"/>
      <c r="D22" s="396"/>
      <c r="E22" s="382"/>
      <c r="F22" s="382"/>
      <c r="G22" s="382"/>
      <c r="H22" s="383"/>
      <c r="I22" s="397"/>
      <c r="J22" s="398"/>
      <c r="K22" s="134"/>
      <c r="L22" s="420"/>
      <c r="M22" s="421"/>
      <c r="P22" s="136" t="e">
        <f>SUM(P19:P21)</f>
        <v>#REF!</v>
      </c>
    </row>
    <row r="23" spans="1:16" s="130" customFormat="1" ht="16.5" x14ac:dyDescent="0.3">
      <c r="A23" s="381"/>
      <c r="B23" s="382"/>
      <c r="C23" s="383"/>
      <c r="D23" s="396"/>
      <c r="E23" s="382"/>
      <c r="F23" s="382"/>
      <c r="G23" s="382"/>
      <c r="H23" s="383"/>
      <c r="I23" s="397"/>
      <c r="J23" s="398"/>
      <c r="K23" s="134"/>
      <c r="L23" s="420"/>
      <c r="M23" s="421"/>
    </row>
    <row r="24" spans="1:16" s="130" customFormat="1" ht="16.5" x14ac:dyDescent="0.3">
      <c r="A24" s="381"/>
      <c r="B24" s="382"/>
      <c r="C24" s="383"/>
      <c r="D24" s="396"/>
      <c r="E24" s="382"/>
      <c r="F24" s="382"/>
      <c r="G24" s="382"/>
      <c r="H24" s="383"/>
      <c r="I24" s="397"/>
      <c r="J24" s="398"/>
      <c r="K24" s="134"/>
      <c r="L24" s="420"/>
      <c r="M24" s="421"/>
    </row>
    <row r="25" spans="1:16" s="130" customFormat="1" ht="16.5" x14ac:dyDescent="0.3">
      <c r="A25" s="381"/>
      <c r="B25" s="382"/>
      <c r="C25" s="383"/>
      <c r="D25" s="396"/>
      <c r="E25" s="382"/>
      <c r="F25" s="382"/>
      <c r="G25" s="382"/>
      <c r="H25" s="383"/>
      <c r="I25" s="397"/>
      <c r="J25" s="398"/>
      <c r="K25" s="134"/>
      <c r="L25" s="420"/>
      <c r="M25" s="421"/>
    </row>
    <row r="26" spans="1:16" s="130" customFormat="1" ht="16.5" x14ac:dyDescent="0.3">
      <c r="A26" s="381"/>
      <c r="B26" s="382"/>
      <c r="C26" s="383"/>
      <c r="D26" s="396"/>
      <c r="E26" s="382"/>
      <c r="F26" s="382"/>
      <c r="G26" s="382"/>
      <c r="H26" s="383"/>
      <c r="I26" s="397"/>
      <c r="J26" s="398"/>
      <c r="K26" s="134"/>
      <c r="L26" s="420"/>
      <c r="M26" s="421"/>
    </row>
    <row r="27" spans="1:16" s="130" customFormat="1" ht="16.5" x14ac:dyDescent="0.3">
      <c r="A27" s="381"/>
      <c r="B27" s="382"/>
      <c r="C27" s="383"/>
      <c r="D27" s="396"/>
      <c r="E27" s="382"/>
      <c r="F27" s="382"/>
      <c r="G27" s="382"/>
      <c r="H27" s="383"/>
      <c r="I27" s="397"/>
      <c r="J27" s="398"/>
      <c r="K27" s="134"/>
      <c r="L27" s="420"/>
      <c r="M27" s="421"/>
    </row>
    <row r="28" spans="1:16" s="130" customFormat="1" ht="16.5" x14ac:dyDescent="0.3">
      <c r="A28" s="381"/>
      <c r="B28" s="382"/>
      <c r="C28" s="383"/>
      <c r="D28" s="396"/>
      <c r="E28" s="382"/>
      <c r="F28" s="382"/>
      <c r="G28" s="382"/>
      <c r="H28" s="383"/>
      <c r="I28" s="397"/>
      <c r="J28" s="398"/>
      <c r="K28" s="134"/>
      <c r="L28" s="420"/>
      <c r="M28" s="421"/>
    </row>
    <row r="29" spans="1:16" s="130" customFormat="1" ht="16.5" x14ac:dyDescent="0.3">
      <c r="A29" s="381"/>
      <c r="B29" s="382"/>
      <c r="C29" s="383"/>
      <c r="D29" s="396"/>
      <c r="E29" s="382"/>
      <c r="F29" s="382"/>
      <c r="G29" s="382"/>
      <c r="H29" s="383"/>
      <c r="I29" s="397"/>
      <c r="J29" s="398"/>
      <c r="K29" s="134"/>
      <c r="L29" s="420"/>
      <c r="M29" s="421"/>
    </row>
    <row r="30" spans="1:16" s="130" customFormat="1" ht="16.5" x14ac:dyDescent="0.3">
      <c r="A30" s="381"/>
      <c r="B30" s="382"/>
      <c r="C30" s="383"/>
      <c r="D30" s="396"/>
      <c r="E30" s="382"/>
      <c r="F30" s="382"/>
      <c r="G30" s="382"/>
      <c r="H30" s="383"/>
      <c r="I30" s="397"/>
      <c r="J30" s="398"/>
      <c r="K30" s="134"/>
      <c r="L30" s="420"/>
      <c r="M30" s="421"/>
    </row>
    <row r="31" spans="1:16" s="130" customFormat="1" ht="16.5" x14ac:dyDescent="0.3">
      <c r="A31" s="381"/>
      <c r="B31" s="382"/>
      <c r="C31" s="383"/>
      <c r="D31" s="396"/>
      <c r="E31" s="382"/>
      <c r="F31" s="382"/>
      <c r="G31" s="382"/>
      <c r="H31" s="383"/>
      <c r="I31" s="397"/>
      <c r="J31" s="398"/>
      <c r="K31" s="133"/>
      <c r="L31" s="420"/>
      <c r="M31" s="421"/>
    </row>
    <row r="32" spans="1:16" s="130" customFormat="1" ht="16.5" x14ac:dyDescent="0.3">
      <c r="A32" s="381"/>
      <c r="B32" s="382"/>
      <c r="C32" s="383"/>
      <c r="D32" s="396"/>
      <c r="E32" s="382"/>
      <c r="F32" s="382"/>
      <c r="G32" s="382"/>
      <c r="H32" s="383"/>
      <c r="I32" s="397"/>
      <c r="J32" s="398"/>
      <c r="K32" s="133"/>
      <c r="L32" s="420"/>
      <c r="M32" s="421"/>
    </row>
    <row r="33" spans="1:13" s="130" customFormat="1" ht="16.5" x14ac:dyDescent="0.3">
      <c r="A33" s="381"/>
      <c r="B33" s="382"/>
      <c r="C33" s="383"/>
      <c r="D33" s="396"/>
      <c r="E33" s="382"/>
      <c r="F33" s="382"/>
      <c r="G33" s="382"/>
      <c r="H33" s="383"/>
      <c r="I33" s="397"/>
      <c r="J33" s="398"/>
      <c r="K33" s="133"/>
      <c r="L33" s="420"/>
      <c r="M33" s="421"/>
    </row>
    <row r="34" spans="1:13" s="130" customFormat="1" ht="16.5" x14ac:dyDescent="0.3">
      <c r="A34" s="381"/>
      <c r="B34" s="382"/>
      <c r="C34" s="383"/>
      <c r="D34" s="396"/>
      <c r="E34" s="382"/>
      <c r="F34" s="382"/>
      <c r="G34" s="382"/>
      <c r="H34" s="383"/>
      <c r="I34" s="397"/>
      <c r="J34" s="398"/>
      <c r="K34" s="133"/>
      <c r="L34" s="420"/>
      <c r="M34" s="421"/>
    </row>
    <row r="35" spans="1:13" s="130" customFormat="1" ht="16.5" x14ac:dyDescent="0.3">
      <c r="A35" s="381"/>
      <c r="B35" s="382"/>
      <c r="C35" s="383"/>
      <c r="D35" s="396"/>
      <c r="E35" s="382"/>
      <c r="F35" s="382"/>
      <c r="G35" s="382"/>
      <c r="H35" s="383"/>
      <c r="I35" s="397"/>
      <c r="J35" s="398"/>
      <c r="K35" s="133"/>
      <c r="L35" s="420"/>
      <c r="M35" s="421"/>
    </row>
    <row r="36" spans="1:13" s="130" customFormat="1" ht="16.5" x14ac:dyDescent="0.3">
      <c r="A36" s="381"/>
      <c r="B36" s="382"/>
      <c r="C36" s="383"/>
      <c r="D36" s="396"/>
      <c r="E36" s="382"/>
      <c r="F36" s="382"/>
      <c r="G36" s="382"/>
      <c r="H36" s="383"/>
      <c r="I36" s="397"/>
      <c r="J36" s="398"/>
      <c r="K36" s="133"/>
      <c r="L36" s="420"/>
      <c r="M36" s="421"/>
    </row>
    <row r="37" spans="1:13" s="130" customFormat="1" ht="19.5" thickBot="1" x14ac:dyDescent="0.35">
      <c r="A37" s="424"/>
      <c r="B37" s="425"/>
      <c r="C37" s="426"/>
      <c r="D37" s="427" t="s">
        <v>151</v>
      </c>
      <c r="E37" s="428"/>
      <c r="F37" s="428"/>
      <c r="G37" s="428"/>
      <c r="H37" s="429"/>
      <c r="I37" s="430"/>
      <c r="J37" s="431"/>
      <c r="K37" s="137"/>
      <c r="L37" s="432">
        <f>L14</f>
        <v>3433700</v>
      </c>
      <c r="M37" s="433"/>
    </row>
    <row r="38" spans="1:13" s="130" customFormat="1" ht="15" x14ac:dyDescent="0.25">
      <c r="A38" s="434" t="s">
        <v>152</v>
      </c>
      <c r="B38" s="138"/>
      <c r="C38" s="129"/>
      <c r="D38" s="436" t="s">
        <v>153</v>
      </c>
      <c r="E38" s="437"/>
      <c r="F38" s="437"/>
      <c r="G38" s="437"/>
      <c r="H38" s="438"/>
      <c r="I38" s="439" t="s">
        <v>154</v>
      </c>
      <c r="J38" s="139"/>
      <c r="K38" s="129"/>
      <c r="L38" s="129"/>
      <c r="M38" s="140"/>
    </row>
    <row r="39" spans="1:13" s="130" customFormat="1" ht="15" x14ac:dyDescent="0.25">
      <c r="A39" s="435"/>
      <c r="B39" s="440" t="s">
        <v>155</v>
      </c>
      <c r="C39" s="441"/>
      <c r="D39" s="437"/>
      <c r="E39" s="437"/>
      <c r="F39" s="437"/>
      <c r="G39" s="437"/>
      <c r="H39" s="438"/>
      <c r="I39" s="439"/>
      <c r="J39" s="141" t="s">
        <v>156</v>
      </c>
      <c r="K39" s="129"/>
      <c r="L39" s="129"/>
      <c r="M39" s="140"/>
    </row>
    <row r="40" spans="1:13" s="130" customFormat="1" ht="15" x14ac:dyDescent="0.25">
      <c r="A40" s="142"/>
      <c r="B40" s="452" t="s">
        <v>157</v>
      </c>
      <c r="C40" s="452"/>
      <c r="D40" s="452"/>
      <c r="E40" s="452"/>
      <c r="F40" s="452"/>
      <c r="G40" s="452"/>
      <c r="H40" s="453"/>
      <c r="I40" s="143"/>
      <c r="J40" s="129" t="s">
        <v>158</v>
      </c>
      <c r="K40" s="129"/>
      <c r="L40" s="129"/>
      <c r="M40" s="140"/>
    </row>
    <row r="41" spans="1:13" s="130" customFormat="1" ht="15" x14ac:dyDescent="0.25">
      <c r="A41" s="454"/>
      <c r="B41" s="129" t="s">
        <v>159</v>
      </c>
      <c r="C41" s="129"/>
      <c r="D41" s="129"/>
      <c r="E41" s="129"/>
      <c r="F41" s="129"/>
      <c r="G41" s="129"/>
      <c r="H41" s="140"/>
      <c r="I41" s="129"/>
      <c r="J41" s="129" t="s">
        <v>160</v>
      </c>
      <c r="K41" s="129"/>
      <c r="L41" s="129"/>
      <c r="M41" s="140"/>
    </row>
    <row r="42" spans="1:13" s="130" customFormat="1" ht="15" x14ac:dyDescent="0.25">
      <c r="A42" s="454"/>
      <c r="B42" s="129"/>
      <c r="C42" s="129"/>
      <c r="D42" s="129"/>
      <c r="E42" s="129"/>
      <c r="F42" s="129"/>
      <c r="G42" s="129"/>
      <c r="H42" s="140"/>
      <c r="I42" s="129"/>
      <c r="J42" s="129"/>
      <c r="K42" s="129"/>
      <c r="L42" s="129"/>
      <c r="M42" s="140"/>
    </row>
    <row r="43" spans="1:13" s="130" customFormat="1" ht="15" x14ac:dyDescent="0.25">
      <c r="A43" s="213"/>
      <c r="B43" s="144"/>
      <c r="C43" s="144"/>
      <c r="D43" s="144"/>
      <c r="E43" s="144"/>
      <c r="F43" s="144"/>
      <c r="G43" s="129"/>
      <c r="H43" s="140"/>
      <c r="I43" s="129"/>
      <c r="J43" s="129"/>
      <c r="K43" s="129"/>
      <c r="L43" s="129"/>
      <c r="M43" s="140"/>
    </row>
    <row r="44" spans="1:13" s="130" customFormat="1" ht="15" x14ac:dyDescent="0.25">
      <c r="A44" s="213"/>
      <c r="B44" s="129"/>
      <c r="C44" s="129"/>
      <c r="D44" s="129"/>
      <c r="E44" s="129"/>
      <c r="F44" s="129"/>
      <c r="G44" s="129"/>
      <c r="H44" s="140"/>
      <c r="I44" s="129"/>
      <c r="J44" s="129"/>
      <c r="K44" s="129"/>
      <c r="L44" s="129"/>
      <c r="M44" s="140"/>
    </row>
    <row r="45" spans="1:13" s="130" customFormat="1" ht="15" x14ac:dyDescent="0.25">
      <c r="A45" s="442" t="s">
        <v>161</v>
      </c>
      <c r="B45" s="443"/>
      <c r="C45" s="455" t="s">
        <v>162</v>
      </c>
      <c r="D45" s="455"/>
      <c r="E45" s="455"/>
      <c r="F45" s="455"/>
      <c r="G45" s="455"/>
      <c r="H45" s="456"/>
      <c r="I45" s="129" t="s">
        <v>163</v>
      </c>
      <c r="J45" s="129"/>
      <c r="K45" s="145"/>
      <c r="L45" s="146"/>
      <c r="M45" s="147"/>
    </row>
    <row r="46" spans="1:13" s="130" customFormat="1" ht="19.5" customHeight="1" x14ac:dyDescent="0.25">
      <c r="A46" s="457" t="s">
        <v>164</v>
      </c>
      <c r="B46" s="436"/>
      <c r="C46" s="436"/>
      <c r="D46" s="436"/>
      <c r="E46" s="436"/>
      <c r="F46" s="436"/>
      <c r="G46" s="436"/>
      <c r="H46" s="451"/>
      <c r="I46" s="129" t="s">
        <v>165</v>
      </c>
      <c r="J46" s="129"/>
      <c r="K46" s="458" t="s">
        <v>166</v>
      </c>
      <c r="L46" s="458"/>
      <c r="M46" s="459"/>
    </row>
    <row r="47" spans="1:13" s="130" customFormat="1" ht="15" x14ac:dyDescent="0.25">
      <c r="A47" s="442" t="s">
        <v>167</v>
      </c>
      <c r="B47" s="443"/>
      <c r="C47" s="444" t="s">
        <v>212</v>
      </c>
      <c r="D47" s="444"/>
      <c r="E47" s="444"/>
      <c r="F47" s="444"/>
      <c r="G47" s="444"/>
      <c r="H47" s="445"/>
      <c r="I47" s="129" t="s">
        <v>167</v>
      </c>
      <c r="J47" s="129"/>
      <c r="K47" s="446" t="s">
        <v>130</v>
      </c>
      <c r="L47" s="446"/>
      <c r="M47" s="447"/>
    </row>
    <row r="48" spans="1:13" s="130" customFormat="1" ht="15" x14ac:dyDescent="0.25">
      <c r="A48" s="148"/>
      <c r="B48" s="149"/>
      <c r="C48" s="443" t="s">
        <v>168</v>
      </c>
      <c r="D48" s="443"/>
      <c r="E48" s="443"/>
      <c r="F48" s="443"/>
      <c r="G48" s="443"/>
      <c r="H48" s="448"/>
      <c r="I48" s="129"/>
      <c r="J48" s="129"/>
      <c r="K48" s="449" t="s">
        <v>169</v>
      </c>
      <c r="L48" s="449"/>
      <c r="M48" s="450"/>
    </row>
    <row r="49" spans="1:13" s="130" customFormat="1" ht="15" x14ac:dyDescent="0.25">
      <c r="A49" s="378" t="s">
        <v>170</v>
      </c>
      <c r="B49" s="379"/>
      <c r="C49" s="436" t="s">
        <v>162</v>
      </c>
      <c r="D49" s="436"/>
      <c r="E49" s="436"/>
      <c r="F49" s="436"/>
      <c r="G49" s="436"/>
      <c r="H49" s="451"/>
      <c r="I49" s="129" t="s">
        <v>171</v>
      </c>
      <c r="J49" s="129"/>
      <c r="K49" s="129" t="s">
        <v>172</v>
      </c>
      <c r="L49" s="129"/>
      <c r="M49" s="140"/>
    </row>
    <row r="50" spans="1:13" s="130" customFormat="1" ht="15.75" thickBot="1" x14ac:dyDescent="0.3">
      <c r="A50" s="150"/>
      <c r="B50" s="151"/>
      <c r="C50" s="151"/>
      <c r="D50" s="151"/>
      <c r="E50" s="151"/>
      <c r="F50" s="151"/>
      <c r="G50" s="151"/>
      <c r="H50" s="152"/>
      <c r="I50" s="153"/>
      <c r="J50" s="153"/>
      <c r="K50" s="153"/>
      <c r="L50" s="153"/>
      <c r="M50" s="154"/>
    </row>
    <row r="51" spans="1:13" s="130" customFormat="1" ht="15.75" thickBot="1" x14ac:dyDescent="0.3">
      <c r="A51" s="155"/>
      <c r="B51" s="156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8"/>
    </row>
    <row r="52" spans="1:13" s="130" customFormat="1" ht="15" thickBot="1" x14ac:dyDescent="0.25">
      <c r="A52" s="159" t="s">
        <v>173</v>
      </c>
      <c r="B52" s="462" t="s">
        <v>174</v>
      </c>
      <c r="C52" s="463"/>
      <c r="D52" s="463"/>
      <c r="E52" s="463"/>
      <c r="F52" s="463"/>
      <c r="G52" s="463"/>
      <c r="H52" s="463"/>
      <c r="I52" s="463"/>
      <c r="J52" s="463"/>
      <c r="K52" s="463"/>
      <c r="L52" s="463"/>
      <c r="M52" s="464"/>
    </row>
    <row r="53" spans="1:13" s="130" customFormat="1" ht="15" thickBot="1" x14ac:dyDescent="0.25">
      <c r="A53" s="465" t="s">
        <v>175</v>
      </c>
      <c r="B53" s="463"/>
      <c r="C53" s="463"/>
      <c r="D53" s="463"/>
      <c r="E53" s="463"/>
      <c r="F53" s="463"/>
      <c r="G53" s="464"/>
      <c r="H53" s="465" t="s">
        <v>148</v>
      </c>
      <c r="I53" s="463"/>
      <c r="J53" s="463"/>
      <c r="K53" s="463"/>
      <c r="L53" s="463"/>
      <c r="M53" s="464"/>
    </row>
    <row r="54" spans="1:13" s="130" customFormat="1" ht="15" x14ac:dyDescent="0.25">
      <c r="A54" s="466" t="s">
        <v>129</v>
      </c>
      <c r="B54" s="468" t="s">
        <v>145</v>
      </c>
      <c r="C54" s="469"/>
      <c r="D54" s="469"/>
      <c r="E54" s="472" t="s">
        <v>176</v>
      </c>
      <c r="F54" s="443"/>
      <c r="G54" s="448"/>
      <c r="H54" s="466" t="s">
        <v>177</v>
      </c>
      <c r="I54" s="476" t="s">
        <v>178</v>
      </c>
      <c r="J54" s="477"/>
      <c r="K54" s="478" t="s">
        <v>179</v>
      </c>
      <c r="L54" s="479" t="s">
        <v>180</v>
      </c>
      <c r="M54" s="480"/>
    </row>
    <row r="55" spans="1:13" s="130" customFormat="1" ht="30.75" thickBot="1" x14ac:dyDescent="0.25">
      <c r="A55" s="466"/>
      <c r="B55" s="468"/>
      <c r="C55" s="469"/>
      <c r="D55" s="469"/>
      <c r="E55" s="472"/>
      <c r="F55" s="443"/>
      <c r="G55" s="448"/>
      <c r="H55" s="466"/>
      <c r="I55" s="476"/>
      <c r="J55" s="477"/>
      <c r="K55" s="478"/>
      <c r="L55" s="212" t="s">
        <v>181</v>
      </c>
      <c r="M55" s="160" t="s">
        <v>182</v>
      </c>
    </row>
    <row r="56" spans="1:13" s="130" customFormat="1" ht="15.75" thickBot="1" x14ac:dyDescent="0.3">
      <c r="A56" s="467"/>
      <c r="B56" s="470"/>
      <c r="C56" s="471"/>
      <c r="D56" s="471"/>
      <c r="E56" s="473"/>
      <c r="F56" s="474"/>
      <c r="G56" s="475"/>
      <c r="H56" s="161" t="s">
        <v>183</v>
      </c>
      <c r="I56" s="460" t="s">
        <v>184</v>
      </c>
      <c r="J56" s="461"/>
      <c r="K56" s="162" t="s">
        <v>185</v>
      </c>
      <c r="L56" s="163" t="s">
        <v>186</v>
      </c>
      <c r="M56" s="164" t="s">
        <v>187</v>
      </c>
    </row>
    <row r="57" spans="1:13" s="130" customFormat="1" ht="15" x14ac:dyDescent="0.25">
      <c r="A57" s="165"/>
      <c r="B57" s="166"/>
      <c r="C57" s="129"/>
      <c r="D57" s="167"/>
      <c r="E57" s="168"/>
      <c r="F57" s="129"/>
      <c r="G57" s="140"/>
      <c r="H57" s="169"/>
      <c r="I57" s="170"/>
      <c r="J57" s="167"/>
      <c r="K57" s="171"/>
      <c r="L57" s="172"/>
      <c r="M57" s="173"/>
    </row>
    <row r="58" spans="1:13" s="130" customFormat="1" ht="15" x14ac:dyDescent="0.25">
      <c r="A58" s="165"/>
      <c r="B58" s="166"/>
      <c r="C58" s="129"/>
      <c r="D58" s="167"/>
      <c r="E58" s="168"/>
      <c r="F58" s="129"/>
      <c r="G58" s="140"/>
      <c r="H58" s="169"/>
      <c r="I58" s="170"/>
      <c r="J58" s="167"/>
      <c r="K58" s="171"/>
      <c r="L58" s="172"/>
      <c r="M58" s="173"/>
    </row>
    <row r="59" spans="1:13" s="130" customFormat="1" ht="15" x14ac:dyDescent="0.25">
      <c r="A59" s="165"/>
      <c r="B59" s="166"/>
      <c r="C59" s="129"/>
      <c r="D59" s="167"/>
      <c r="E59" s="168"/>
      <c r="F59" s="129"/>
      <c r="G59" s="140"/>
      <c r="H59" s="169"/>
      <c r="I59" s="170"/>
      <c r="J59" s="167"/>
      <c r="K59" s="171"/>
      <c r="L59" s="172"/>
      <c r="M59" s="173"/>
    </row>
    <row r="60" spans="1:13" s="130" customFormat="1" ht="15" x14ac:dyDescent="0.25">
      <c r="A60" s="165"/>
      <c r="B60" s="174"/>
      <c r="C60" s="129"/>
      <c r="D60" s="167"/>
      <c r="E60" s="168"/>
      <c r="F60" s="129"/>
      <c r="G60" s="140"/>
      <c r="H60" s="175"/>
      <c r="I60" s="176"/>
      <c r="J60" s="177"/>
      <c r="K60" s="172"/>
      <c r="L60" s="172"/>
      <c r="M60" s="178"/>
    </row>
    <row r="61" spans="1:13" s="130" customFormat="1" ht="15" x14ac:dyDescent="0.25">
      <c r="A61" s="180"/>
      <c r="B61" s="174"/>
      <c r="C61" s="129"/>
      <c r="D61" s="167"/>
      <c r="E61" s="170"/>
      <c r="F61" s="129"/>
      <c r="G61" s="140"/>
      <c r="H61" s="175"/>
      <c r="I61" s="170"/>
      <c r="J61" s="167"/>
      <c r="K61" s="171"/>
      <c r="L61" s="171"/>
      <c r="M61" s="140"/>
    </row>
    <row r="62" spans="1:13" s="130" customFormat="1" ht="15" x14ac:dyDescent="0.25">
      <c r="A62" s="180"/>
      <c r="B62" s="174"/>
      <c r="C62" s="129"/>
      <c r="D62" s="167"/>
      <c r="E62" s="170"/>
      <c r="F62" s="129"/>
      <c r="G62" s="140"/>
      <c r="H62" s="175"/>
      <c r="I62" s="170"/>
      <c r="J62" s="167"/>
      <c r="K62" s="171"/>
      <c r="L62" s="171"/>
      <c r="M62" s="140"/>
    </row>
    <row r="63" spans="1:13" s="130" customFormat="1" ht="13.5" thickBot="1" x14ac:dyDescent="0.25">
      <c r="A63" s="181"/>
      <c r="B63" s="182"/>
      <c r="C63" s="183"/>
      <c r="D63" s="184"/>
      <c r="E63" s="185"/>
      <c r="F63" s="183"/>
      <c r="G63" s="186"/>
      <c r="H63" s="187"/>
      <c r="I63" s="185"/>
      <c r="J63" s="184"/>
      <c r="K63" s="188"/>
      <c r="L63" s="188"/>
      <c r="M63" s="186"/>
    </row>
  </sheetData>
  <mergeCells count="130">
    <mergeCell ref="I56:J56"/>
    <mergeCell ref="B52:M52"/>
    <mergeCell ref="A53:G53"/>
    <mergeCell ref="H53:M53"/>
    <mergeCell ref="A54:A56"/>
    <mergeCell ref="B54:D56"/>
    <mergeCell ref="E54:G56"/>
    <mergeCell ref="H54:H55"/>
    <mergeCell ref="I54:J55"/>
    <mergeCell ref="K54:K55"/>
    <mergeCell ref="L54:M54"/>
    <mergeCell ref="A47:B47"/>
    <mergeCell ref="C47:H47"/>
    <mergeCell ref="K47:M47"/>
    <mergeCell ref="C48:H48"/>
    <mergeCell ref="K48:M48"/>
    <mergeCell ref="A49:B49"/>
    <mergeCell ref="C49:H49"/>
    <mergeCell ref="B40:H40"/>
    <mergeCell ref="A41:A42"/>
    <mergeCell ref="A45:B45"/>
    <mergeCell ref="C45:H45"/>
    <mergeCell ref="A46:H46"/>
    <mergeCell ref="K46:M46"/>
    <mergeCell ref="A37:C37"/>
    <mergeCell ref="D37:H37"/>
    <mergeCell ref="I37:J37"/>
    <mergeCell ref="L37:M37"/>
    <mergeCell ref="A38:A39"/>
    <mergeCell ref="D38:H39"/>
    <mergeCell ref="I38:I39"/>
    <mergeCell ref="B39:C39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23622047244094499" right="0" top="0.5" bottom="0.196850393700787" header="0.31496062992126" footer="0.196850393700787"/>
  <pageSetup paperSize="9" scale="80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4"/>
  <sheetViews>
    <sheetView topLeftCell="A25" workbookViewId="0">
      <selection activeCell="L14" sqref="L14:M18"/>
    </sheetView>
  </sheetViews>
  <sheetFormatPr defaultRowHeight="12.75" x14ac:dyDescent="0.2"/>
  <cols>
    <col min="3" max="3" width="4.5703125" customWidth="1"/>
    <col min="8" max="8" width="6.28515625" customWidth="1"/>
    <col min="10" max="10" width="7.7109375" customWidth="1"/>
    <col min="11" max="11" width="13.5703125" customWidth="1"/>
    <col min="12" max="12" width="9.7109375" customWidth="1"/>
    <col min="13" max="13" width="14.7109375" customWidth="1"/>
  </cols>
  <sheetData>
    <row r="1" spans="1:16" s="130" customFormat="1" ht="15.75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367" t="s">
        <v>134</v>
      </c>
      <c r="M1" s="367"/>
    </row>
    <row r="2" spans="1:16" s="130" customFormat="1" ht="11.25" customHeight="1" thickBo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368"/>
      <c r="M2" s="368"/>
    </row>
    <row r="3" spans="1:16" s="130" customFormat="1" ht="18.75" customHeight="1" x14ac:dyDescent="0.25">
      <c r="A3" s="369" t="s">
        <v>135</v>
      </c>
      <c r="B3" s="370"/>
      <c r="C3" s="370"/>
      <c r="D3" s="370"/>
      <c r="E3" s="370"/>
      <c r="F3" s="370"/>
      <c r="G3" s="370"/>
      <c r="H3" s="370"/>
      <c r="I3" s="370"/>
      <c r="J3" s="371"/>
      <c r="K3" s="372" t="s">
        <v>136</v>
      </c>
      <c r="L3" s="373"/>
      <c r="M3" s="374"/>
    </row>
    <row r="4" spans="1:16" s="130" customFormat="1" ht="26.25" customHeight="1" x14ac:dyDescent="0.25">
      <c r="A4" s="375" t="s">
        <v>106</v>
      </c>
      <c r="B4" s="376"/>
      <c r="C4" s="376"/>
      <c r="D4" s="376"/>
      <c r="E4" s="376"/>
      <c r="F4" s="376"/>
      <c r="G4" s="376"/>
      <c r="H4" s="376"/>
      <c r="I4" s="376"/>
      <c r="J4" s="377"/>
      <c r="K4" s="481" t="s">
        <v>137</v>
      </c>
      <c r="L4" s="482"/>
      <c r="M4" s="483"/>
    </row>
    <row r="5" spans="1:16" s="130" customFormat="1" ht="15.75" thickBot="1" x14ac:dyDescent="0.25">
      <c r="A5" s="340" t="s">
        <v>138</v>
      </c>
      <c r="B5" s="341"/>
      <c r="C5" s="341"/>
      <c r="D5" s="341"/>
      <c r="E5" s="341"/>
      <c r="F5" s="341"/>
      <c r="G5" s="341"/>
      <c r="H5" s="341"/>
      <c r="I5" s="341"/>
      <c r="J5" s="342"/>
      <c r="K5" s="343" t="s">
        <v>139</v>
      </c>
      <c r="L5" s="344"/>
      <c r="M5" s="345"/>
    </row>
    <row r="6" spans="1:16" s="130" customFormat="1" x14ac:dyDescent="0.2">
      <c r="A6" s="346" t="s">
        <v>140</v>
      </c>
      <c r="B6" s="347"/>
      <c r="C6" s="348"/>
      <c r="D6" s="352" t="s">
        <v>347</v>
      </c>
      <c r="E6" s="353"/>
      <c r="F6" s="353"/>
      <c r="G6" s="353"/>
      <c r="H6" s="353"/>
      <c r="I6" s="353"/>
      <c r="J6" s="353"/>
      <c r="K6" s="353"/>
      <c r="L6" s="353"/>
      <c r="M6" s="354"/>
    </row>
    <row r="7" spans="1:16" s="130" customFormat="1" x14ac:dyDescent="0.2">
      <c r="A7" s="349"/>
      <c r="B7" s="350"/>
      <c r="C7" s="351"/>
      <c r="D7" s="355"/>
      <c r="E7" s="356"/>
      <c r="F7" s="356"/>
      <c r="G7" s="356"/>
      <c r="H7" s="356"/>
      <c r="I7" s="356"/>
      <c r="J7" s="356"/>
      <c r="K7" s="356"/>
      <c r="L7" s="356"/>
      <c r="M7" s="357"/>
    </row>
    <row r="8" spans="1:16" s="130" customFormat="1" x14ac:dyDescent="0.2">
      <c r="A8" s="358" t="s">
        <v>141</v>
      </c>
      <c r="B8" s="359"/>
      <c r="C8" s="360"/>
      <c r="D8" s="361" t="s">
        <v>142</v>
      </c>
      <c r="E8" s="362"/>
      <c r="F8" s="362"/>
      <c r="G8" s="362"/>
      <c r="H8" s="362"/>
      <c r="I8" s="362"/>
      <c r="J8" s="362"/>
      <c r="K8" s="362"/>
      <c r="L8" s="362"/>
      <c r="M8" s="363"/>
    </row>
    <row r="9" spans="1:16" s="130" customFormat="1" x14ac:dyDescent="0.2">
      <c r="A9" s="349"/>
      <c r="B9" s="350"/>
      <c r="C9" s="351"/>
      <c r="D9" s="364"/>
      <c r="E9" s="365"/>
      <c r="F9" s="365"/>
      <c r="G9" s="365"/>
      <c r="H9" s="365"/>
      <c r="I9" s="365"/>
      <c r="J9" s="365"/>
      <c r="K9" s="365"/>
      <c r="L9" s="365"/>
      <c r="M9" s="366"/>
    </row>
    <row r="10" spans="1:16" s="130" customFormat="1" x14ac:dyDescent="0.2">
      <c r="A10" s="358" t="s">
        <v>143</v>
      </c>
      <c r="B10" s="359"/>
      <c r="C10" s="360"/>
      <c r="D10" s="361" t="s">
        <v>211</v>
      </c>
      <c r="E10" s="362"/>
      <c r="F10" s="362"/>
      <c r="G10" s="362"/>
      <c r="H10" s="362"/>
      <c r="I10" s="362"/>
      <c r="J10" s="362"/>
      <c r="K10" s="362"/>
      <c r="L10" s="362"/>
      <c r="M10" s="363"/>
    </row>
    <row r="11" spans="1:16" s="130" customFormat="1" ht="13.5" thickBot="1" x14ac:dyDescent="0.25">
      <c r="A11" s="399"/>
      <c r="B11" s="400"/>
      <c r="C11" s="401"/>
      <c r="D11" s="402"/>
      <c r="E11" s="403"/>
      <c r="F11" s="403"/>
      <c r="G11" s="403"/>
      <c r="H11" s="403"/>
      <c r="I11" s="403"/>
      <c r="J11" s="403"/>
      <c r="K11" s="403"/>
      <c r="L11" s="403"/>
      <c r="M11" s="404"/>
    </row>
    <row r="12" spans="1:16" s="130" customFormat="1" x14ac:dyDescent="0.2">
      <c r="A12" s="346" t="s">
        <v>144</v>
      </c>
      <c r="B12" s="347"/>
      <c r="C12" s="348"/>
      <c r="D12" s="405" t="s">
        <v>145</v>
      </c>
      <c r="E12" s="406"/>
      <c r="F12" s="406"/>
      <c r="G12" s="406"/>
      <c r="H12" s="407"/>
      <c r="I12" s="411" t="s">
        <v>146</v>
      </c>
      <c r="J12" s="412"/>
      <c r="K12" s="415" t="s">
        <v>147</v>
      </c>
      <c r="L12" s="405" t="s">
        <v>148</v>
      </c>
      <c r="M12" s="417"/>
    </row>
    <row r="13" spans="1:16" s="130" customFormat="1" ht="27.75" customHeight="1" thickBot="1" x14ac:dyDescent="0.25">
      <c r="A13" s="399"/>
      <c r="B13" s="400"/>
      <c r="C13" s="401"/>
      <c r="D13" s="408"/>
      <c r="E13" s="409"/>
      <c r="F13" s="409"/>
      <c r="G13" s="409"/>
      <c r="H13" s="410"/>
      <c r="I13" s="413"/>
      <c r="J13" s="414"/>
      <c r="K13" s="416"/>
      <c r="L13" s="418"/>
      <c r="M13" s="419"/>
      <c r="P13" s="131" t="s">
        <v>149</v>
      </c>
    </row>
    <row r="14" spans="1:16" s="130" customFormat="1" ht="16.5" customHeight="1" x14ac:dyDescent="0.25">
      <c r="A14" s="381"/>
      <c r="B14" s="382"/>
      <c r="C14" s="383"/>
      <c r="D14" s="384" t="s">
        <v>352</v>
      </c>
      <c r="E14" s="385"/>
      <c r="F14" s="385"/>
      <c r="G14" s="385"/>
      <c r="H14" s="386"/>
      <c r="I14" s="390"/>
      <c r="J14" s="391"/>
      <c r="K14" s="132"/>
      <c r="L14" s="392">
        <v>739450</v>
      </c>
      <c r="M14" s="393"/>
      <c r="O14" s="396" t="s">
        <v>150</v>
      </c>
      <c r="P14" s="383"/>
    </row>
    <row r="15" spans="1:16" s="130" customFormat="1" ht="16.5" x14ac:dyDescent="0.3">
      <c r="A15" s="381"/>
      <c r="B15" s="382"/>
      <c r="C15" s="383"/>
      <c r="D15" s="387"/>
      <c r="E15" s="388"/>
      <c r="F15" s="388"/>
      <c r="G15" s="388"/>
      <c r="H15" s="389"/>
      <c r="I15" s="397"/>
      <c r="J15" s="398"/>
      <c r="K15" s="133"/>
      <c r="L15" s="394"/>
      <c r="M15" s="395"/>
    </row>
    <row r="16" spans="1:16" s="130" customFormat="1" ht="16.5" x14ac:dyDescent="0.3">
      <c r="A16" s="214"/>
      <c r="B16" s="215"/>
      <c r="C16" s="216"/>
      <c r="D16" s="387"/>
      <c r="E16" s="388"/>
      <c r="F16" s="388"/>
      <c r="G16" s="388"/>
      <c r="H16" s="389"/>
      <c r="I16" s="217"/>
      <c r="J16" s="218"/>
      <c r="K16" s="134"/>
      <c r="L16" s="394"/>
      <c r="M16" s="395"/>
    </row>
    <row r="17" spans="1:16" s="130" customFormat="1" ht="16.5" x14ac:dyDescent="0.3">
      <c r="A17" s="214"/>
      <c r="B17" s="215"/>
      <c r="C17" s="216"/>
      <c r="D17" s="387"/>
      <c r="E17" s="388"/>
      <c r="F17" s="388"/>
      <c r="G17" s="388"/>
      <c r="H17" s="389"/>
      <c r="I17" s="217"/>
      <c r="J17" s="218"/>
      <c r="K17" s="134"/>
      <c r="L17" s="394"/>
      <c r="M17" s="395"/>
    </row>
    <row r="18" spans="1:16" s="130" customFormat="1" ht="16.5" x14ac:dyDescent="0.3">
      <c r="A18" s="214"/>
      <c r="B18" s="215"/>
      <c r="C18" s="216"/>
      <c r="D18" s="387"/>
      <c r="E18" s="388"/>
      <c r="F18" s="388"/>
      <c r="G18" s="388"/>
      <c r="H18" s="389"/>
      <c r="I18" s="217"/>
      <c r="J18" s="218"/>
      <c r="K18" s="134"/>
      <c r="L18" s="394"/>
      <c r="M18" s="395"/>
    </row>
    <row r="19" spans="1:16" s="130" customFormat="1" ht="16.5" x14ac:dyDescent="0.3">
      <c r="A19" s="381"/>
      <c r="B19" s="382"/>
      <c r="C19" s="383"/>
      <c r="D19" s="396"/>
      <c r="E19" s="382"/>
      <c r="F19" s="382"/>
      <c r="G19" s="382"/>
      <c r="H19" s="383"/>
      <c r="I19" s="397"/>
      <c r="J19" s="398"/>
      <c r="K19" s="134"/>
      <c r="L19" s="420"/>
      <c r="M19" s="421"/>
      <c r="P19" s="135">
        <f>SUM(L14)</f>
        <v>739450</v>
      </c>
    </row>
    <row r="20" spans="1:16" s="130" customFormat="1" ht="16.5" x14ac:dyDescent="0.3">
      <c r="A20" s="381"/>
      <c r="B20" s="382"/>
      <c r="C20" s="383"/>
      <c r="D20" s="484" t="s">
        <v>219</v>
      </c>
      <c r="E20" s="485"/>
      <c r="F20" s="485"/>
      <c r="G20" s="485"/>
      <c r="H20" s="486"/>
      <c r="I20" s="397"/>
      <c r="J20" s="398"/>
      <c r="K20" s="134"/>
      <c r="L20" s="422"/>
      <c r="M20" s="423"/>
      <c r="P20" s="135" t="e">
        <f>SUM('[2]ORS (2)'!L14:M14)</f>
        <v>#REF!</v>
      </c>
    </row>
    <row r="21" spans="1:16" s="130" customFormat="1" ht="16.5" x14ac:dyDescent="0.3">
      <c r="A21" s="381"/>
      <c r="B21" s="382"/>
      <c r="C21" s="383"/>
      <c r="D21" s="396"/>
      <c r="E21" s="382"/>
      <c r="F21" s="382"/>
      <c r="G21" s="382"/>
      <c r="H21" s="383"/>
      <c r="I21" s="397"/>
      <c r="J21" s="398"/>
      <c r="K21" s="134"/>
      <c r="L21" s="420"/>
      <c r="M21" s="421"/>
      <c r="P21" s="135" t="e">
        <f>SUM(#REF!)</f>
        <v>#REF!</v>
      </c>
    </row>
    <row r="22" spans="1:16" s="130" customFormat="1" ht="16.5" x14ac:dyDescent="0.3">
      <c r="A22" s="381"/>
      <c r="B22" s="382"/>
      <c r="C22" s="383"/>
      <c r="D22" s="396"/>
      <c r="E22" s="382"/>
      <c r="F22" s="382"/>
      <c r="G22" s="382"/>
      <c r="H22" s="383"/>
      <c r="I22" s="397"/>
      <c r="J22" s="398"/>
      <c r="K22" s="134"/>
      <c r="L22" s="420"/>
      <c r="M22" s="421"/>
      <c r="P22" s="136" t="e">
        <f>SUM(P19:P21)</f>
        <v>#REF!</v>
      </c>
    </row>
    <row r="23" spans="1:16" s="130" customFormat="1" ht="16.5" x14ac:dyDescent="0.3">
      <c r="A23" s="381"/>
      <c r="B23" s="382"/>
      <c r="C23" s="383"/>
      <c r="D23" s="396"/>
      <c r="E23" s="382"/>
      <c r="F23" s="382"/>
      <c r="G23" s="382"/>
      <c r="H23" s="383"/>
      <c r="I23" s="397"/>
      <c r="J23" s="398"/>
      <c r="K23" s="134"/>
      <c r="L23" s="420"/>
      <c r="M23" s="421"/>
    </row>
    <row r="24" spans="1:16" s="130" customFormat="1" ht="16.5" x14ac:dyDescent="0.3">
      <c r="A24" s="381"/>
      <c r="B24" s="382"/>
      <c r="C24" s="383"/>
      <c r="D24" s="396"/>
      <c r="E24" s="382"/>
      <c r="F24" s="382"/>
      <c r="G24" s="382"/>
      <c r="H24" s="383"/>
      <c r="I24" s="397"/>
      <c r="J24" s="398"/>
      <c r="K24" s="134"/>
      <c r="L24" s="420"/>
      <c r="M24" s="421"/>
    </row>
    <row r="25" spans="1:16" s="130" customFormat="1" ht="16.5" x14ac:dyDescent="0.3">
      <c r="A25" s="381"/>
      <c r="B25" s="382"/>
      <c r="C25" s="383"/>
      <c r="D25" s="396"/>
      <c r="E25" s="382"/>
      <c r="F25" s="382"/>
      <c r="G25" s="382"/>
      <c r="H25" s="383"/>
      <c r="I25" s="397"/>
      <c r="J25" s="398"/>
      <c r="K25" s="134"/>
      <c r="L25" s="420"/>
      <c r="M25" s="421"/>
    </row>
    <row r="26" spans="1:16" s="130" customFormat="1" ht="15.75" customHeight="1" x14ac:dyDescent="0.3">
      <c r="A26" s="381"/>
      <c r="B26" s="382"/>
      <c r="C26" s="383"/>
      <c r="D26" s="396"/>
      <c r="E26" s="382"/>
      <c r="F26" s="382"/>
      <c r="G26" s="382"/>
      <c r="H26" s="383"/>
      <c r="I26" s="397"/>
      <c r="J26" s="398"/>
      <c r="K26" s="134"/>
      <c r="L26" s="420"/>
      <c r="M26" s="421"/>
    </row>
    <row r="27" spans="1:16" s="130" customFormat="1" ht="15.75" customHeight="1" x14ac:dyDescent="0.3">
      <c r="A27" s="214"/>
      <c r="B27" s="215"/>
      <c r="C27" s="216"/>
      <c r="D27" s="227"/>
      <c r="E27" s="215"/>
      <c r="F27" s="215"/>
      <c r="G27" s="215"/>
      <c r="H27" s="216"/>
      <c r="I27" s="217"/>
      <c r="J27" s="218"/>
      <c r="K27" s="134"/>
      <c r="L27" s="228"/>
      <c r="M27" s="229"/>
    </row>
    <row r="28" spans="1:16" s="130" customFormat="1" ht="15.75" customHeight="1" x14ac:dyDescent="0.3">
      <c r="A28" s="214"/>
      <c r="B28" s="215"/>
      <c r="C28" s="216"/>
      <c r="D28" s="227"/>
      <c r="E28" s="215"/>
      <c r="F28" s="215"/>
      <c r="G28" s="215"/>
      <c r="H28" s="216"/>
      <c r="I28" s="217"/>
      <c r="J28" s="218"/>
      <c r="K28" s="134"/>
      <c r="L28" s="228"/>
      <c r="M28" s="229"/>
    </row>
    <row r="29" spans="1:16" s="130" customFormat="1" ht="16.5" x14ac:dyDescent="0.3">
      <c r="A29" s="381"/>
      <c r="B29" s="382"/>
      <c r="C29" s="383"/>
      <c r="D29" s="396"/>
      <c r="E29" s="382"/>
      <c r="F29" s="382"/>
      <c r="G29" s="382"/>
      <c r="H29" s="383"/>
      <c r="I29" s="397"/>
      <c r="J29" s="398"/>
      <c r="K29" s="134"/>
      <c r="L29" s="420"/>
      <c r="M29" s="421"/>
    </row>
    <row r="30" spans="1:16" s="130" customFormat="1" ht="16.5" x14ac:dyDescent="0.3">
      <c r="A30" s="381"/>
      <c r="B30" s="382"/>
      <c r="C30" s="383"/>
      <c r="D30" s="396"/>
      <c r="E30" s="382"/>
      <c r="F30" s="382"/>
      <c r="G30" s="382"/>
      <c r="H30" s="383"/>
      <c r="I30" s="397"/>
      <c r="J30" s="398"/>
      <c r="K30" s="134"/>
      <c r="L30" s="420"/>
      <c r="M30" s="421"/>
    </row>
    <row r="31" spans="1:16" s="130" customFormat="1" ht="16.5" x14ac:dyDescent="0.3">
      <c r="A31" s="381"/>
      <c r="B31" s="382"/>
      <c r="C31" s="383"/>
      <c r="D31" s="396"/>
      <c r="E31" s="382"/>
      <c r="F31" s="382"/>
      <c r="G31" s="382"/>
      <c r="H31" s="383"/>
      <c r="I31" s="397"/>
      <c r="J31" s="398"/>
      <c r="K31" s="134"/>
      <c r="L31" s="420"/>
      <c r="M31" s="421"/>
    </row>
    <row r="32" spans="1:16" s="130" customFormat="1" ht="9" customHeight="1" x14ac:dyDescent="0.3">
      <c r="A32" s="381"/>
      <c r="B32" s="382"/>
      <c r="C32" s="383"/>
      <c r="D32" s="396"/>
      <c r="E32" s="382"/>
      <c r="F32" s="382"/>
      <c r="G32" s="382"/>
      <c r="H32" s="383"/>
      <c r="I32" s="397"/>
      <c r="J32" s="398"/>
      <c r="K32" s="134"/>
      <c r="L32" s="420"/>
      <c r="M32" s="421"/>
    </row>
    <row r="33" spans="1:13" s="130" customFormat="1" ht="16.5" x14ac:dyDescent="0.3">
      <c r="A33" s="381"/>
      <c r="B33" s="382"/>
      <c r="C33" s="383"/>
      <c r="D33" s="396"/>
      <c r="E33" s="382"/>
      <c r="F33" s="382"/>
      <c r="G33" s="382"/>
      <c r="H33" s="383"/>
      <c r="I33" s="397"/>
      <c r="J33" s="398"/>
      <c r="K33" s="133"/>
      <c r="L33" s="420"/>
      <c r="M33" s="421"/>
    </row>
    <row r="34" spans="1:13" s="130" customFormat="1" ht="16.5" x14ac:dyDescent="0.3">
      <c r="A34" s="381"/>
      <c r="B34" s="382"/>
      <c r="C34" s="383"/>
      <c r="D34" s="396"/>
      <c r="E34" s="382"/>
      <c r="F34" s="382"/>
      <c r="G34" s="382"/>
      <c r="H34" s="383"/>
      <c r="I34" s="397"/>
      <c r="J34" s="398"/>
      <c r="K34" s="133"/>
      <c r="L34" s="420"/>
      <c r="M34" s="421"/>
    </row>
    <row r="35" spans="1:13" s="130" customFormat="1" ht="16.5" x14ac:dyDescent="0.3">
      <c r="A35" s="381"/>
      <c r="B35" s="382"/>
      <c r="C35" s="383"/>
      <c r="D35" s="396"/>
      <c r="E35" s="382"/>
      <c r="F35" s="382"/>
      <c r="G35" s="382"/>
      <c r="H35" s="383"/>
      <c r="I35" s="397"/>
      <c r="J35" s="398"/>
      <c r="K35" s="133"/>
      <c r="L35" s="420"/>
      <c r="M35" s="421"/>
    </row>
    <row r="36" spans="1:13" s="130" customFormat="1" ht="16.5" x14ac:dyDescent="0.3">
      <c r="A36" s="381"/>
      <c r="B36" s="382"/>
      <c r="C36" s="383"/>
      <c r="D36" s="396"/>
      <c r="E36" s="382"/>
      <c r="F36" s="382"/>
      <c r="G36" s="382"/>
      <c r="H36" s="383"/>
      <c r="I36" s="397"/>
      <c r="J36" s="398"/>
      <c r="K36" s="133"/>
      <c r="L36" s="420"/>
      <c r="M36" s="421"/>
    </row>
    <row r="37" spans="1:13" s="130" customFormat="1" ht="16.5" x14ac:dyDescent="0.3">
      <c r="A37" s="381"/>
      <c r="B37" s="382"/>
      <c r="C37" s="383"/>
      <c r="D37" s="396"/>
      <c r="E37" s="382"/>
      <c r="F37" s="382"/>
      <c r="G37" s="382"/>
      <c r="H37" s="383"/>
      <c r="I37" s="397"/>
      <c r="J37" s="398"/>
      <c r="K37" s="133"/>
      <c r="L37" s="420"/>
      <c r="M37" s="421"/>
    </row>
    <row r="38" spans="1:13" s="130" customFormat="1" ht="16.5" x14ac:dyDescent="0.3">
      <c r="A38" s="381"/>
      <c r="B38" s="382"/>
      <c r="C38" s="383"/>
      <c r="D38" s="396"/>
      <c r="E38" s="382"/>
      <c r="F38" s="382"/>
      <c r="G38" s="382"/>
      <c r="H38" s="383"/>
      <c r="I38" s="397"/>
      <c r="J38" s="398"/>
      <c r="K38" s="133"/>
      <c r="L38" s="420"/>
      <c r="M38" s="421"/>
    </row>
    <row r="39" spans="1:13" s="130" customFormat="1" ht="19.5" thickBot="1" x14ac:dyDescent="0.35">
      <c r="A39" s="424"/>
      <c r="B39" s="425"/>
      <c r="C39" s="426"/>
      <c r="D39" s="427" t="s">
        <v>151</v>
      </c>
      <c r="E39" s="428"/>
      <c r="F39" s="428"/>
      <c r="G39" s="428"/>
      <c r="H39" s="429"/>
      <c r="I39" s="430"/>
      <c r="J39" s="431"/>
      <c r="K39" s="137"/>
      <c r="L39" s="432">
        <f>L14</f>
        <v>739450</v>
      </c>
      <c r="M39" s="433"/>
    </row>
    <row r="40" spans="1:13" s="130" customFormat="1" ht="15" x14ac:dyDescent="0.25">
      <c r="A40" s="434" t="s">
        <v>152</v>
      </c>
      <c r="B40" s="138"/>
      <c r="C40" s="129"/>
      <c r="D40" s="436" t="s">
        <v>153</v>
      </c>
      <c r="E40" s="437"/>
      <c r="F40" s="437"/>
      <c r="G40" s="437"/>
      <c r="H40" s="438"/>
      <c r="I40" s="439" t="s">
        <v>154</v>
      </c>
      <c r="J40" s="139"/>
      <c r="K40" s="129"/>
      <c r="L40" s="129"/>
      <c r="M40" s="140"/>
    </row>
    <row r="41" spans="1:13" s="130" customFormat="1" ht="15" x14ac:dyDescent="0.25">
      <c r="A41" s="435"/>
      <c r="B41" s="440" t="s">
        <v>155</v>
      </c>
      <c r="C41" s="441"/>
      <c r="D41" s="437"/>
      <c r="E41" s="437"/>
      <c r="F41" s="437"/>
      <c r="G41" s="437"/>
      <c r="H41" s="438"/>
      <c r="I41" s="439"/>
      <c r="J41" s="141" t="s">
        <v>156</v>
      </c>
      <c r="K41" s="129"/>
      <c r="L41" s="129"/>
      <c r="M41" s="140"/>
    </row>
    <row r="42" spans="1:13" s="130" customFormat="1" ht="15" x14ac:dyDescent="0.25">
      <c r="A42" s="142"/>
      <c r="B42" s="452" t="s">
        <v>157</v>
      </c>
      <c r="C42" s="452"/>
      <c r="D42" s="452"/>
      <c r="E42" s="452"/>
      <c r="F42" s="452"/>
      <c r="G42" s="452"/>
      <c r="H42" s="453"/>
      <c r="I42" s="143"/>
      <c r="J42" s="129" t="s">
        <v>158</v>
      </c>
      <c r="K42" s="129"/>
      <c r="L42" s="129"/>
      <c r="M42" s="140"/>
    </row>
    <row r="43" spans="1:13" s="130" customFormat="1" ht="15" x14ac:dyDescent="0.25">
      <c r="A43" s="454"/>
      <c r="B43" s="129" t="s">
        <v>159</v>
      </c>
      <c r="C43" s="129"/>
      <c r="D43" s="129"/>
      <c r="E43" s="129"/>
      <c r="F43" s="129"/>
      <c r="G43" s="129"/>
      <c r="H43" s="140"/>
      <c r="I43" s="129"/>
      <c r="J43" s="129" t="s">
        <v>160</v>
      </c>
      <c r="K43" s="129"/>
      <c r="L43" s="129"/>
      <c r="M43" s="140"/>
    </row>
    <row r="44" spans="1:13" s="130" customFormat="1" ht="15" x14ac:dyDescent="0.25">
      <c r="A44" s="454"/>
      <c r="B44" s="129"/>
      <c r="C44" s="129"/>
      <c r="D44" s="129"/>
      <c r="E44" s="129"/>
      <c r="F44" s="129"/>
      <c r="G44" s="129"/>
      <c r="H44" s="140"/>
      <c r="I44" s="129"/>
      <c r="J44" s="129"/>
      <c r="K44" s="129"/>
      <c r="L44" s="129"/>
      <c r="M44" s="140"/>
    </row>
    <row r="45" spans="1:13" s="130" customFormat="1" ht="15" x14ac:dyDescent="0.25">
      <c r="A45" s="213"/>
      <c r="B45" s="144"/>
      <c r="C45" s="144"/>
      <c r="D45" s="144"/>
      <c r="E45" s="144"/>
      <c r="F45" s="144"/>
      <c r="G45" s="129"/>
      <c r="H45" s="140"/>
      <c r="I45" s="129"/>
      <c r="J45" s="129"/>
      <c r="K45" s="129"/>
      <c r="L45" s="129"/>
      <c r="M45" s="140"/>
    </row>
    <row r="46" spans="1:13" s="130" customFormat="1" ht="15" x14ac:dyDescent="0.25">
      <c r="A46" s="213"/>
      <c r="B46" s="129"/>
      <c r="C46" s="129"/>
      <c r="D46" s="129"/>
      <c r="E46" s="129"/>
      <c r="F46" s="129"/>
      <c r="G46" s="129"/>
      <c r="H46" s="140"/>
      <c r="I46" s="129"/>
      <c r="J46" s="129"/>
      <c r="K46" s="129"/>
      <c r="L46" s="129"/>
      <c r="M46" s="140"/>
    </row>
    <row r="47" spans="1:13" s="130" customFormat="1" ht="15" x14ac:dyDescent="0.25">
      <c r="A47" s="442" t="s">
        <v>161</v>
      </c>
      <c r="B47" s="443"/>
      <c r="C47" s="455" t="s">
        <v>162</v>
      </c>
      <c r="D47" s="455"/>
      <c r="E47" s="455"/>
      <c r="F47" s="455"/>
      <c r="G47" s="455"/>
      <c r="H47" s="456"/>
      <c r="I47" s="129" t="s">
        <v>163</v>
      </c>
      <c r="J47" s="129"/>
      <c r="K47" s="145"/>
      <c r="L47" s="146"/>
      <c r="M47" s="147"/>
    </row>
    <row r="48" spans="1:13" s="130" customFormat="1" ht="19.5" customHeight="1" x14ac:dyDescent="0.25">
      <c r="A48" s="457" t="s">
        <v>164</v>
      </c>
      <c r="B48" s="436"/>
      <c r="C48" s="436"/>
      <c r="D48" s="436"/>
      <c r="E48" s="436"/>
      <c r="F48" s="436"/>
      <c r="G48" s="436"/>
      <c r="H48" s="451"/>
      <c r="I48" s="129" t="s">
        <v>165</v>
      </c>
      <c r="J48" s="129"/>
      <c r="K48" s="458" t="s">
        <v>166</v>
      </c>
      <c r="L48" s="458"/>
      <c r="M48" s="459"/>
    </row>
    <row r="49" spans="1:13" s="130" customFormat="1" ht="15" x14ac:dyDescent="0.25">
      <c r="A49" s="442" t="s">
        <v>167</v>
      </c>
      <c r="B49" s="443"/>
      <c r="C49" s="444" t="s">
        <v>210</v>
      </c>
      <c r="D49" s="444"/>
      <c r="E49" s="444"/>
      <c r="F49" s="444"/>
      <c r="G49" s="444"/>
      <c r="H49" s="445"/>
      <c r="I49" s="129" t="s">
        <v>167</v>
      </c>
      <c r="J49" s="129"/>
      <c r="K49" s="446" t="s">
        <v>130</v>
      </c>
      <c r="L49" s="446"/>
      <c r="M49" s="447"/>
    </row>
    <row r="50" spans="1:13" s="130" customFormat="1" ht="15" x14ac:dyDescent="0.25">
      <c r="A50" s="148"/>
      <c r="B50" s="149"/>
      <c r="C50" s="443" t="s">
        <v>168</v>
      </c>
      <c r="D50" s="443"/>
      <c r="E50" s="443"/>
      <c r="F50" s="443"/>
      <c r="G50" s="443"/>
      <c r="H50" s="448"/>
      <c r="I50" s="129"/>
      <c r="J50" s="129"/>
      <c r="K50" s="449" t="s">
        <v>169</v>
      </c>
      <c r="L50" s="449"/>
      <c r="M50" s="450"/>
    </row>
    <row r="51" spans="1:13" s="130" customFormat="1" ht="15" x14ac:dyDescent="0.25">
      <c r="A51" s="378" t="s">
        <v>170</v>
      </c>
      <c r="B51" s="379"/>
      <c r="C51" s="436" t="s">
        <v>162</v>
      </c>
      <c r="D51" s="436"/>
      <c r="E51" s="436"/>
      <c r="F51" s="436"/>
      <c r="G51" s="436"/>
      <c r="H51" s="451"/>
      <c r="I51" s="129" t="s">
        <v>171</v>
      </c>
      <c r="J51" s="129"/>
      <c r="K51" s="129" t="s">
        <v>172</v>
      </c>
      <c r="L51" s="129"/>
      <c r="M51" s="140"/>
    </row>
    <row r="52" spans="1:13" s="130" customFormat="1" ht="15.75" thickBot="1" x14ac:dyDescent="0.3">
      <c r="A52" s="150"/>
      <c r="B52" s="151"/>
      <c r="C52" s="151"/>
      <c r="D52" s="151"/>
      <c r="E52" s="151"/>
      <c r="F52" s="151"/>
      <c r="G52" s="151"/>
      <c r="H52" s="152"/>
      <c r="I52" s="153"/>
      <c r="J52" s="153"/>
      <c r="K52" s="153"/>
      <c r="L52" s="153"/>
      <c r="M52" s="154"/>
    </row>
    <row r="53" spans="1:13" s="130" customFormat="1" ht="15.75" thickBot="1" x14ac:dyDescent="0.3">
      <c r="A53" s="155"/>
      <c r="B53" s="156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8"/>
    </row>
    <row r="54" spans="1:13" s="130" customFormat="1" ht="15" thickBot="1" x14ac:dyDescent="0.25">
      <c r="A54" s="159" t="s">
        <v>173</v>
      </c>
      <c r="B54" s="462" t="s">
        <v>174</v>
      </c>
      <c r="C54" s="463"/>
      <c r="D54" s="463"/>
      <c r="E54" s="463"/>
      <c r="F54" s="463"/>
      <c r="G54" s="463"/>
      <c r="H54" s="463"/>
      <c r="I54" s="463"/>
      <c r="J54" s="463"/>
      <c r="K54" s="463"/>
      <c r="L54" s="463"/>
      <c r="M54" s="464"/>
    </row>
    <row r="55" spans="1:13" s="130" customFormat="1" ht="15" thickBot="1" x14ac:dyDescent="0.25">
      <c r="A55" s="465" t="s">
        <v>175</v>
      </c>
      <c r="B55" s="463"/>
      <c r="C55" s="463"/>
      <c r="D55" s="463"/>
      <c r="E55" s="463"/>
      <c r="F55" s="463"/>
      <c r="G55" s="464"/>
      <c r="H55" s="465" t="s">
        <v>148</v>
      </c>
      <c r="I55" s="463"/>
      <c r="J55" s="463"/>
      <c r="K55" s="463"/>
      <c r="L55" s="463"/>
      <c r="M55" s="464"/>
    </row>
    <row r="56" spans="1:13" s="130" customFormat="1" ht="15" x14ac:dyDescent="0.25">
      <c r="A56" s="466" t="s">
        <v>129</v>
      </c>
      <c r="B56" s="468" t="s">
        <v>145</v>
      </c>
      <c r="C56" s="469"/>
      <c r="D56" s="469"/>
      <c r="E56" s="472" t="s">
        <v>176</v>
      </c>
      <c r="F56" s="443"/>
      <c r="G56" s="448"/>
      <c r="H56" s="466" t="s">
        <v>177</v>
      </c>
      <c r="I56" s="476" t="s">
        <v>178</v>
      </c>
      <c r="J56" s="477"/>
      <c r="K56" s="478" t="s">
        <v>179</v>
      </c>
      <c r="L56" s="479" t="s">
        <v>180</v>
      </c>
      <c r="M56" s="480"/>
    </row>
    <row r="57" spans="1:13" s="130" customFormat="1" ht="30.75" thickBot="1" x14ac:dyDescent="0.25">
      <c r="A57" s="466"/>
      <c r="B57" s="468"/>
      <c r="C57" s="469"/>
      <c r="D57" s="469"/>
      <c r="E57" s="472"/>
      <c r="F57" s="443"/>
      <c r="G57" s="448"/>
      <c r="H57" s="466"/>
      <c r="I57" s="476"/>
      <c r="J57" s="477"/>
      <c r="K57" s="478"/>
      <c r="L57" s="212" t="s">
        <v>181</v>
      </c>
      <c r="M57" s="160" t="s">
        <v>182</v>
      </c>
    </row>
    <row r="58" spans="1:13" s="130" customFormat="1" ht="15.75" thickBot="1" x14ac:dyDescent="0.3">
      <c r="A58" s="467"/>
      <c r="B58" s="470"/>
      <c r="C58" s="471"/>
      <c r="D58" s="471"/>
      <c r="E58" s="473"/>
      <c r="F58" s="474"/>
      <c r="G58" s="475"/>
      <c r="H58" s="161" t="s">
        <v>183</v>
      </c>
      <c r="I58" s="460" t="s">
        <v>184</v>
      </c>
      <c r="J58" s="461"/>
      <c r="K58" s="162" t="s">
        <v>185</v>
      </c>
      <c r="L58" s="163" t="s">
        <v>186</v>
      </c>
      <c r="M58" s="164" t="s">
        <v>187</v>
      </c>
    </row>
    <row r="59" spans="1:13" s="130" customFormat="1" ht="15" x14ac:dyDescent="0.25">
      <c r="A59" s="165"/>
      <c r="B59" s="166"/>
      <c r="C59" s="129"/>
      <c r="D59" s="167"/>
      <c r="E59" s="168"/>
      <c r="F59" s="129"/>
      <c r="G59" s="140"/>
      <c r="H59" s="169"/>
      <c r="I59" s="170"/>
      <c r="J59" s="167"/>
      <c r="K59" s="171"/>
      <c r="L59" s="172"/>
      <c r="M59" s="173"/>
    </row>
    <row r="60" spans="1:13" s="130" customFormat="1" ht="15" x14ac:dyDescent="0.25">
      <c r="A60" s="165"/>
      <c r="B60" s="174"/>
      <c r="C60" s="129"/>
      <c r="D60" s="167"/>
      <c r="E60" s="168"/>
      <c r="F60" s="129"/>
      <c r="G60" s="140"/>
      <c r="H60" s="175"/>
      <c r="I60" s="176"/>
      <c r="J60" s="177"/>
      <c r="K60" s="172"/>
      <c r="L60" s="172"/>
      <c r="M60" s="178"/>
    </row>
    <row r="61" spans="1:13" s="130" customFormat="1" ht="15" x14ac:dyDescent="0.25">
      <c r="A61" s="165"/>
      <c r="B61" s="174"/>
      <c r="C61" s="129"/>
      <c r="D61" s="167"/>
      <c r="E61" s="487"/>
      <c r="F61" s="488"/>
      <c r="G61" s="489"/>
      <c r="H61" s="175"/>
      <c r="I61" s="176"/>
      <c r="J61" s="177"/>
      <c r="K61" s="172"/>
      <c r="L61" s="172"/>
      <c r="M61" s="178"/>
    </row>
    <row r="62" spans="1:13" s="130" customFormat="1" ht="15" x14ac:dyDescent="0.25">
      <c r="A62" s="165"/>
      <c r="B62" s="174"/>
      <c r="C62" s="129"/>
      <c r="D62" s="167"/>
      <c r="E62" s="168"/>
      <c r="F62" s="129"/>
      <c r="G62" s="140"/>
      <c r="H62" s="175"/>
      <c r="I62" s="176"/>
      <c r="J62" s="177"/>
      <c r="K62" s="172"/>
      <c r="L62" s="179"/>
      <c r="M62" s="178"/>
    </row>
    <row r="63" spans="1:13" s="130" customFormat="1" ht="15" x14ac:dyDescent="0.25">
      <c r="A63" s="180"/>
      <c r="B63" s="174"/>
      <c r="C63" s="129"/>
      <c r="D63" s="167"/>
      <c r="E63" s="170"/>
      <c r="F63" s="129"/>
      <c r="G63" s="140"/>
      <c r="H63" s="175"/>
      <c r="I63" s="170"/>
      <c r="J63" s="167"/>
      <c r="K63" s="171"/>
      <c r="L63" s="171"/>
      <c r="M63" s="140"/>
    </row>
    <row r="64" spans="1:13" s="130" customFormat="1" ht="13.5" thickBot="1" x14ac:dyDescent="0.25">
      <c r="A64" s="181"/>
      <c r="B64" s="182"/>
      <c r="C64" s="183"/>
      <c r="D64" s="184"/>
      <c r="E64" s="185"/>
      <c r="F64" s="183"/>
      <c r="G64" s="186"/>
      <c r="H64" s="187"/>
      <c r="I64" s="185"/>
      <c r="J64" s="184"/>
      <c r="K64" s="188"/>
      <c r="L64" s="188"/>
      <c r="M64" s="186"/>
    </row>
  </sheetData>
  <mergeCells count="131">
    <mergeCell ref="I58:J58"/>
    <mergeCell ref="E61:G61"/>
    <mergeCell ref="B54:M54"/>
    <mergeCell ref="A55:G55"/>
    <mergeCell ref="H55:M55"/>
    <mergeCell ref="A56:A58"/>
    <mergeCell ref="B56:D58"/>
    <mergeCell ref="E56:G58"/>
    <mergeCell ref="H56:H57"/>
    <mergeCell ref="I56:J57"/>
    <mergeCell ref="K56:K57"/>
    <mergeCell ref="L56:M56"/>
    <mergeCell ref="A49:B49"/>
    <mergeCell ref="C49:H49"/>
    <mergeCell ref="K49:M49"/>
    <mergeCell ref="C50:H50"/>
    <mergeCell ref="K50:M50"/>
    <mergeCell ref="A51:B51"/>
    <mergeCell ref="C51:H51"/>
    <mergeCell ref="B42:H42"/>
    <mergeCell ref="A43:A44"/>
    <mergeCell ref="A47:B47"/>
    <mergeCell ref="C47:H47"/>
    <mergeCell ref="A48:H48"/>
    <mergeCell ref="K48:M48"/>
    <mergeCell ref="A39:C39"/>
    <mergeCell ref="D39:H39"/>
    <mergeCell ref="I39:J39"/>
    <mergeCell ref="L39:M39"/>
    <mergeCell ref="A40:A41"/>
    <mergeCell ref="D40:H41"/>
    <mergeCell ref="I40:I41"/>
    <mergeCell ref="B41:C41"/>
    <mergeCell ref="A37:C37"/>
    <mergeCell ref="D37:H37"/>
    <mergeCell ref="I37:J37"/>
    <mergeCell ref="L37:M37"/>
    <mergeCell ref="A38:C38"/>
    <mergeCell ref="D38:H38"/>
    <mergeCell ref="I38:J38"/>
    <mergeCell ref="L38:M38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5" right="0" top="0" bottom="0" header="0" footer="0"/>
  <pageSetup paperSize="9" scale="80" orientation="portrait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3"/>
  <sheetViews>
    <sheetView topLeftCell="A40" workbookViewId="0">
      <selection activeCell="L14" sqref="L14:M18"/>
    </sheetView>
  </sheetViews>
  <sheetFormatPr defaultRowHeight="12.75" x14ac:dyDescent="0.2"/>
  <cols>
    <col min="3" max="3" width="6.28515625" customWidth="1"/>
    <col min="8" max="8" width="6.28515625" customWidth="1"/>
    <col min="11" max="11" width="17.85546875" customWidth="1"/>
    <col min="12" max="12" width="9.7109375" customWidth="1"/>
    <col min="13" max="13" width="14.7109375" customWidth="1"/>
    <col min="16" max="16" width="9.85546875" bestFit="1" customWidth="1"/>
  </cols>
  <sheetData>
    <row r="1" spans="1:16" s="245" customFormat="1" ht="15.75" x14ac:dyDescent="0.25">
      <c r="A1" s="244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516" t="s">
        <v>134</v>
      </c>
      <c r="M1" s="516"/>
    </row>
    <row r="2" spans="1:16" s="245" customFormat="1" ht="11.25" customHeight="1" thickBot="1" x14ac:dyDescent="0.3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517"/>
      <c r="M2" s="517"/>
    </row>
    <row r="3" spans="1:16" s="245" customFormat="1" ht="18.75" customHeight="1" x14ac:dyDescent="0.25">
      <c r="A3" s="518" t="s">
        <v>135</v>
      </c>
      <c r="B3" s="519"/>
      <c r="C3" s="519"/>
      <c r="D3" s="519"/>
      <c r="E3" s="519"/>
      <c r="F3" s="519"/>
      <c r="G3" s="519"/>
      <c r="H3" s="519"/>
      <c r="I3" s="519"/>
      <c r="J3" s="520"/>
      <c r="K3" s="521" t="s">
        <v>136</v>
      </c>
      <c r="L3" s="522"/>
      <c r="M3" s="523"/>
    </row>
    <row r="4" spans="1:16" s="245" customFormat="1" ht="16.5" x14ac:dyDescent="0.25">
      <c r="A4" s="375" t="s">
        <v>106</v>
      </c>
      <c r="B4" s="524"/>
      <c r="C4" s="524"/>
      <c r="D4" s="524"/>
      <c r="E4" s="524"/>
      <c r="F4" s="524"/>
      <c r="G4" s="524"/>
      <c r="H4" s="524"/>
      <c r="I4" s="524"/>
      <c r="J4" s="525"/>
      <c r="K4" s="526" t="s">
        <v>137</v>
      </c>
      <c r="L4" s="527"/>
      <c r="M4" s="528"/>
    </row>
    <row r="5" spans="1:16" s="245" customFormat="1" ht="15.75" thickBot="1" x14ac:dyDescent="0.25">
      <c r="A5" s="490" t="s">
        <v>138</v>
      </c>
      <c r="B5" s="491"/>
      <c r="C5" s="491"/>
      <c r="D5" s="491"/>
      <c r="E5" s="491"/>
      <c r="F5" s="491"/>
      <c r="G5" s="491"/>
      <c r="H5" s="491"/>
      <c r="I5" s="491"/>
      <c r="J5" s="492"/>
      <c r="K5" s="493" t="s">
        <v>139</v>
      </c>
      <c r="L5" s="494"/>
      <c r="M5" s="495"/>
    </row>
    <row r="6" spans="1:16" s="245" customFormat="1" x14ac:dyDescent="0.2">
      <c r="A6" s="496" t="s">
        <v>140</v>
      </c>
      <c r="B6" s="497"/>
      <c r="C6" s="498"/>
      <c r="D6" s="352" t="s">
        <v>345</v>
      </c>
      <c r="E6" s="502"/>
      <c r="F6" s="502"/>
      <c r="G6" s="502"/>
      <c r="H6" s="502"/>
      <c r="I6" s="502"/>
      <c r="J6" s="502"/>
      <c r="K6" s="502"/>
      <c r="L6" s="502"/>
      <c r="M6" s="503"/>
    </row>
    <row r="7" spans="1:16" s="245" customFormat="1" x14ac:dyDescent="0.2">
      <c r="A7" s="499"/>
      <c r="B7" s="500"/>
      <c r="C7" s="501"/>
      <c r="D7" s="504"/>
      <c r="E7" s="505"/>
      <c r="F7" s="505"/>
      <c r="G7" s="505"/>
      <c r="H7" s="505"/>
      <c r="I7" s="505"/>
      <c r="J7" s="505"/>
      <c r="K7" s="505"/>
      <c r="L7" s="505"/>
      <c r="M7" s="506"/>
    </row>
    <row r="8" spans="1:16" s="245" customFormat="1" x14ac:dyDescent="0.2">
      <c r="A8" s="507" t="s">
        <v>141</v>
      </c>
      <c r="B8" s="508"/>
      <c r="C8" s="509"/>
      <c r="D8" s="510" t="s">
        <v>142</v>
      </c>
      <c r="E8" s="511"/>
      <c r="F8" s="511"/>
      <c r="G8" s="511"/>
      <c r="H8" s="511"/>
      <c r="I8" s="511"/>
      <c r="J8" s="511"/>
      <c r="K8" s="511"/>
      <c r="L8" s="511"/>
      <c r="M8" s="512"/>
    </row>
    <row r="9" spans="1:16" s="245" customFormat="1" x14ac:dyDescent="0.2">
      <c r="A9" s="499"/>
      <c r="B9" s="500"/>
      <c r="C9" s="501"/>
      <c r="D9" s="513"/>
      <c r="E9" s="514"/>
      <c r="F9" s="514"/>
      <c r="G9" s="514"/>
      <c r="H9" s="514"/>
      <c r="I9" s="514"/>
      <c r="J9" s="514"/>
      <c r="K9" s="514"/>
      <c r="L9" s="514"/>
      <c r="M9" s="515"/>
    </row>
    <row r="10" spans="1:16" s="245" customFormat="1" x14ac:dyDescent="0.2">
      <c r="A10" s="507" t="s">
        <v>143</v>
      </c>
      <c r="B10" s="508"/>
      <c r="C10" s="509"/>
      <c r="D10" s="510" t="s">
        <v>211</v>
      </c>
      <c r="E10" s="511"/>
      <c r="F10" s="511"/>
      <c r="G10" s="511"/>
      <c r="H10" s="511"/>
      <c r="I10" s="511"/>
      <c r="J10" s="511"/>
      <c r="K10" s="511"/>
      <c r="L10" s="511"/>
      <c r="M10" s="512"/>
    </row>
    <row r="11" spans="1:16" s="245" customFormat="1" ht="13.5" thickBot="1" x14ac:dyDescent="0.25">
      <c r="A11" s="540"/>
      <c r="B11" s="541"/>
      <c r="C11" s="542"/>
      <c r="D11" s="543"/>
      <c r="E11" s="544"/>
      <c r="F11" s="544"/>
      <c r="G11" s="544"/>
      <c r="H11" s="544"/>
      <c r="I11" s="544"/>
      <c r="J11" s="544"/>
      <c r="K11" s="544"/>
      <c r="L11" s="544"/>
      <c r="M11" s="545"/>
    </row>
    <row r="12" spans="1:16" s="245" customFormat="1" x14ac:dyDescent="0.2">
      <c r="A12" s="496" t="s">
        <v>144</v>
      </c>
      <c r="B12" s="497"/>
      <c r="C12" s="498"/>
      <c r="D12" s="546" t="s">
        <v>145</v>
      </c>
      <c r="E12" s="547"/>
      <c r="F12" s="547"/>
      <c r="G12" s="547"/>
      <c r="H12" s="548"/>
      <c r="I12" s="552" t="s">
        <v>146</v>
      </c>
      <c r="J12" s="553"/>
      <c r="K12" s="556" t="s">
        <v>147</v>
      </c>
      <c r="L12" s="546" t="s">
        <v>148</v>
      </c>
      <c r="M12" s="558"/>
    </row>
    <row r="13" spans="1:16" s="245" customFormat="1" ht="27" customHeight="1" thickBot="1" x14ac:dyDescent="0.25">
      <c r="A13" s="540"/>
      <c r="B13" s="541"/>
      <c r="C13" s="542"/>
      <c r="D13" s="549"/>
      <c r="E13" s="550"/>
      <c r="F13" s="550"/>
      <c r="G13" s="550"/>
      <c r="H13" s="551"/>
      <c r="I13" s="554"/>
      <c r="J13" s="555"/>
      <c r="K13" s="557"/>
      <c r="L13" s="559"/>
      <c r="M13" s="560"/>
      <c r="P13" s="334"/>
    </row>
    <row r="14" spans="1:16" s="245" customFormat="1" ht="16.5" customHeight="1" x14ac:dyDescent="0.25">
      <c r="A14" s="529"/>
      <c r="B14" s="530"/>
      <c r="C14" s="531"/>
      <c r="D14" s="384" t="s">
        <v>352</v>
      </c>
      <c r="E14" s="385"/>
      <c r="F14" s="385"/>
      <c r="G14" s="385"/>
      <c r="H14" s="386"/>
      <c r="I14" s="532"/>
      <c r="J14" s="533"/>
      <c r="K14" s="246"/>
      <c r="L14" s="534">
        <v>407917.5</v>
      </c>
      <c r="M14" s="535"/>
      <c r="O14" s="530" t="s">
        <v>150</v>
      </c>
      <c r="P14" s="530"/>
    </row>
    <row r="15" spans="1:16" s="245" customFormat="1" ht="16.5" customHeight="1" x14ac:dyDescent="0.3">
      <c r="A15" s="529"/>
      <c r="B15" s="530"/>
      <c r="C15" s="531"/>
      <c r="D15" s="387"/>
      <c r="E15" s="388"/>
      <c r="F15" s="388"/>
      <c r="G15" s="388"/>
      <c r="H15" s="389"/>
      <c r="I15" s="538"/>
      <c r="J15" s="539"/>
      <c r="K15" s="247"/>
      <c r="L15" s="536"/>
      <c r="M15" s="537"/>
    </row>
    <row r="16" spans="1:16" s="245" customFormat="1" ht="16.5" customHeight="1" x14ac:dyDescent="0.3">
      <c r="A16" s="248"/>
      <c r="B16" s="249"/>
      <c r="C16" s="250"/>
      <c r="D16" s="387"/>
      <c r="E16" s="388"/>
      <c r="F16" s="388"/>
      <c r="G16" s="388"/>
      <c r="H16" s="389"/>
      <c r="I16" s="251"/>
      <c r="J16" s="252"/>
      <c r="K16" s="253"/>
      <c r="L16" s="536"/>
      <c r="M16" s="537"/>
    </row>
    <row r="17" spans="1:16" s="245" customFormat="1" ht="16.5" customHeight="1" x14ac:dyDescent="0.3">
      <c r="A17" s="248"/>
      <c r="B17" s="249"/>
      <c r="C17" s="250"/>
      <c r="D17" s="387"/>
      <c r="E17" s="388"/>
      <c r="F17" s="388"/>
      <c r="G17" s="388"/>
      <c r="H17" s="389"/>
      <c r="I17" s="251"/>
      <c r="J17" s="252"/>
      <c r="K17" s="253"/>
      <c r="L17" s="536"/>
      <c r="M17" s="537"/>
    </row>
    <row r="18" spans="1:16" s="245" customFormat="1" ht="16.5" customHeight="1" x14ac:dyDescent="0.3">
      <c r="A18" s="248"/>
      <c r="B18" s="249"/>
      <c r="C18" s="250"/>
      <c r="D18" s="387"/>
      <c r="E18" s="388"/>
      <c r="F18" s="388"/>
      <c r="G18" s="388"/>
      <c r="H18" s="389"/>
      <c r="I18" s="251"/>
      <c r="J18" s="252"/>
      <c r="K18" s="253"/>
      <c r="L18" s="536"/>
      <c r="M18" s="537"/>
    </row>
    <row r="19" spans="1:16" s="245" customFormat="1" ht="16.5" x14ac:dyDescent="0.3">
      <c r="A19" s="529"/>
      <c r="B19" s="530"/>
      <c r="C19" s="531"/>
      <c r="D19" s="561"/>
      <c r="E19" s="530"/>
      <c r="F19" s="530"/>
      <c r="G19" s="530"/>
      <c r="H19" s="531"/>
      <c r="I19" s="538"/>
      <c r="J19" s="539"/>
      <c r="K19" s="253"/>
      <c r="L19" s="562"/>
      <c r="M19" s="563"/>
      <c r="P19" s="254">
        <f>SUM(L14)</f>
        <v>407917.5</v>
      </c>
    </row>
    <row r="20" spans="1:16" s="245" customFormat="1" ht="16.5" x14ac:dyDescent="0.3">
      <c r="A20" s="529"/>
      <c r="B20" s="530"/>
      <c r="C20" s="531"/>
      <c r="D20" s="561" t="s">
        <v>339</v>
      </c>
      <c r="E20" s="530"/>
      <c r="F20" s="530"/>
      <c r="G20" s="530"/>
      <c r="H20" s="531"/>
      <c r="I20" s="538"/>
      <c r="J20" s="539"/>
      <c r="K20" s="253"/>
      <c r="L20" s="564"/>
      <c r="M20" s="565"/>
      <c r="P20" s="254" t="e">
        <f>SUM('[2]ORS (2)'!L14:M14)</f>
        <v>#REF!</v>
      </c>
    </row>
    <row r="21" spans="1:16" s="245" customFormat="1" ht="16.5" x14ac:dyDescent="0.3">
      <c r="A21" s="529"/>
      <c r="B21" s="530"/>
      <c r="C21" s="531"/>
      <c r="D21" s="561" t="s">
        <v>340</v>
      </c>
      <c r="E21" s="530"/>
      <c r="F21" s="530"/>
      <c r="G21" s="530"/>
      <c r="H21" s="531"/>
      <c r="I21" s="538"/>
      <c r="J21" s="539"/>
      <c r="K21" s="253"/>
      <c r="L21" s="562"/>
      <c r="M21" s="563"/>
      <c r="P21" s="254" t="e">
        <f>SUM(#REF!)</f>
        <v>#REF!</v>
      </c>
    </row>
    <row r="22" spans="1:16" s="245" customFormat="1" ht="16.5" x14ac:dyDescent="0.3">
      <c r="A22" s="529"/>
      <c r="B22" s="530"/>
      <c r="C22" s="531"/>
      <c r="D22" s="561" t="s">
        <v>215</v>
      </c>
      <c r="E22" s="530"/>
      <c r="F22" s="530"/>
      <c r="G22" s="530"/>
      <c r="H22" s="531"/>
      <c r="I22" s="538"/>
      <c r="J22" s="539"/>
      <c r="K22" s="253"/>
      <c r="L22" s="562"/>
      <c r="M22" s="563"/>
      <c r="P22" s="255" t="e">
        <f>SUM(P19:P21)</f>
        <v>#REF!</v>
      </c>
    </row>
    <row r="23" spans="1:16" s="245" customFormat="1" ht="16.5" x14ac:dyDescent="0.3">
      <c r="A23" s="529"/>
      <c r="B23" s="530"/>
      <c r="C23" s="531"/>
      <c r="D23" s="561"/>
      <c r="E23" s="530"/>
      <c r="F23" s="530"/>
      <c r="G23" s="530"/>
      <c r="H23" s="531"/>
      <c r="I23" s="538"/>
      <c r="J23" s="539"/>
      <c r="K23" s="253"/>
      <c r="L23" s="562"/>
      <c r="M23" s="563"/>
    </row>
    <row r="24" spans="1:16" s="245" customFormat="1" ht="16.5" x14ac:dyDescent="0.3">
      <c r="A24" s="529"/>
      <c r="B24" s="530"/>
      <c r="C24" s="531"/>
      <c r="D24" s="561"/>
      <c r="E24" s="530"/>
      <c r="F24" s="530"/>
      <c r="G24" s="530"/>
      <c r="H24" s="531"/>
      <c r="I24" s="538"/>
      <c r="J24" s="539"/>
      <c r="K24" s="253"/>
      <c r="L24" s="562"/>
      <c r="M24" s="563"/>
    </row>
    <row r="25" spans="1:16" s="245" customFormat="1" ht="16.5" x14ac:dyDescent="0.3">
      <c r="A25" s="529"/>
      <c r="B25" s="530"/>
      <c r="C25" s="531"/>
      <c r="D25" s="561"/>
      <c r="E25" s="530"/>
      <c r="F25" s="530"/>
      <c r="G25" s="530"/>
      <c r="H25" s="531"/>
      <c r="I25" s="538"/>
      <c r="J25" s="539"/>
      <c r="K25" s="253"/>
      <c r="L25" s="562"/>
      <c r="M25" s="563"/>
    </row>
    <row r="26" spans="1:16" s="245" customFormat="1" ht="16.5" x14ac:dyDescent="0.3">
      <c r="A26" s="529"/>
      <c r="B26" s="530"/>
      <c r="C26" s="531"/>
      <c r="D26" s="561"/>
      <c r="E26" s="530"/>
      <c r="F26" s="530"/>
      <c r="G26" s="530"/>
      <c r="H26" s="531"/>
      <c r="I26" s="538"/>
      <c r="J26" s="539"/>
      <c r="K26" s="253"/>
      <c r="L26" s="562"/>
      <c r="M26" s="563"/>
    </row>
    <row r="27" spans="1:16" s="245" customFormat="1" ht="16.5" x14ac:dyDescent="0.3">
      <c r="A27" s="529"/>
      <c r="B27" s="530"/>
      <c r="C27" s="531"/>
      <c r="D27" s="561"/>
      <c r="E27" s="530"/>
      <c r="F27" s="530"/>
      <c r="G27" s="530"/>
      <c r="H27" s="531"/>
      <c r="I27" s="538"/>
      <c r="J27" s="539"/>
      <c r="K27" s="253"/>
      <c r="L27" s="562"/>
      <c r="M27" s="563"/>
    </row>
    <row r="28" spans="1:16" s="245" customFormat="1" ht="16.5" x14ac:dyDescent="0.3">
      <c r="A28" s="529"/>
      <c r="B28" s="530"/>
      <c r="C28" s="531"/>
      <c r="D28" s="561"/>
      <c r="E28" s="530"/>
      <c r="F28" s="530"/>
      <c r="G28" s="530"/>
      <c r="H28" s="531"/>
      <c r="I28" s="538"/>
      <c r="J28" s="539"/>
      <c r="K28" s="253"/>
      <c r="L28" s="562"/>
      <c r="M28" s="563"/>
    </row>
    <row r="29" spans="1:16" s="245" customFormat="1" ht="16.5" x14ac:dyDescent="0.3">
      <c r="A29" s="529"/>
      <c r="B29" s="530"/>
      <c r="C29" s="531"/>
      <c r="D29" s="561"/>
      <c r="E29" s="530"/>
      <c r="F29" s="530"/>
      <c r="G29" s="530"/>
      <c r="H29" s="531"/>
      <c r="I29" s="538"/>
      <c r="J29" s="539"/>
      <c r="K29" s="253"/>
      <c r="L29" s="562"/>
      <c r="M29" s="563"/>
    </row>
    <row r="30" spans="1:16" s="245" customFormat="1" ht="16.5" x14ac:dyDescent="0.3">
      <c r="A30" s="529"/>
      <c r="B30" s="530"/>
      <c r="C30" s="531"/>
      <c r="D30" s="561"/>
      <c r="E30" s="530"/>
      <c r="F30" s="530"/>
      <c r="G30" s="530"/>
      <c r="H30" s="531"/>
      <c r="I30" s="538"/>
      <c r="J30" s="539"/>
      <c r="K30" s="253"/>
      <c r="L30" s="562"/>
      <c r="M30" s="563"/>
    </row>
    <row r="31" spans="1:16" s="245" customFormat="1" ht="16.5" x14ac:dyDescent="0.3">
      <c r="A31" s="529"/>
      <c r="B31" s="530"/>
      <c r="C31" s="531"/>
      <c r="D31" s="561"/>
      <c r="E31" s="530"/>
      <c r="F31" s="530"/>
      <c r="G31" s="530"/>
      <c r="H31" s="531"/>
      <c r="I31" s="538"/>
      <c r="J31" s="539"/>
      <c r="K31" s="247"/>
      <c r="L31" s="562"/>
      <c r="M31" s="563"/>
    </row>
    <row r="32" spans="1:16" s="245" customFormat="1" ht="16.5" x14ac:dyDescent="0.3">
      <c r="A32" s="529"/>
      <c r="B32" s="530"/>
      <c r="C32" s="531"/>
      <c r="D32" s="561"/>
      <c r="E32" s="530"/>
      <c r="F32" s="530"/>
      <c r="G32" s="530"/>
      <c r="H32" s="531"/>
      <c r="I32" s="538"/>
      <c r="J32" s="539"/>
      <c r="K32" s="247"/>
      <c r="L32" s="562"/>
      <c r="M32" s="563"/>
    </row>
    <row r="33" spans="1:13" s="245" customFormat="1" ht="16.5" x14ac:dyDescent="0.3">
      <c r="A33" s="529"/>
      <c r="B33" s="530"/>
      <c r="C33" s="531"/>
      <c r="D33" s="561"/>
      <c r="E33" s="530"/>
      <c r="F33" s="530"/>
      <c r="G33" s="530"/>
      <c r="H33" s="531"/>
      <c r="I33" s="538"/>
      <c r="J33" s="539"/>
      <c r="K33" s="247"/>
      <c r="L33" s="562"/>
      <c r="M33" s="563"/>
    </row>
    <row r="34" spans="1:13" s="245" customFormat="1" ht="16.5" x14ac:dyDescent="0.3">
      <c r="A34" s="529"/>
      <c r="B34" s="530"/>
      <c r="C34" s="531"/>
      <c r="D34" s="561"/>
      <c r="E34" s="530"/>
      <c r="F34" s="530"/>
      <c r="G34" s="530"/>
      <c r="H34" s="531"/>
      <c r="I34" s="538"/>
      <c r="J34" s="539"/>
      <c r="K34" s="247"/>
      <c r="L34" s="562"/>
      <c r="M34" s="563"/>
    </row>
    <row r="35" spans="1:13" s="245" customFormat="1" ht="16.5" x14ac:dyDescent="0.3">
      <c r="A35" s="529"/>
      <c r="B35" s="530"/>
      <c r="C35" s="531"/>
      <c r="D35" s="561"/>
      <c r="E35" s="530"/>
      <c r="F35" s="530"/>
      <c r="G35" s="530"/>
      <c r="H35" s="531"/>
      <c r="I35" s="538"/>
      <c r="J35" s="539"/>
      <c r="K35" s="247"/>
      <c r="L35" s="562"/>
      <c r="M35" s="563"/>
    </row>
    <row r="36" spans="1:13" s="245" customFormat="1" ht="16.5" x14ac:dyDescent="0.3">
      <c r="A36" s="529"/>
      <c r="B36" s="530"/>
      <c r="C36" s="531"/>
      <c r="D36" s="561"/>
      <c r="E36" s="530"/>
      <c r="F36" s="530"/>
      <c r="G36" s="530"/>
      <c r="H36" s="531"/>
      <c r="I36" s="538"/>
      <c r="J36" s="539"/>
      <c r="K36" s="247"/>
      <c r="L36" s="562"/>
      <c r="M36" s="563"/>
    </row>
    <row r="37" spans="1:13" s="245" customFormat="1" ht="19.5" thickBot="1" x14ac:dyDescent="0.35">
      <c r="A37" s="566"/>
      <c r="B37" s="567"/>
      <c r="C37" s="568"/>
      <c r="D37" s="569" t="s">
        <v>151</v>
      </c>
      <c r="E37" s="570"/>
      <c r="F37" s="570"/>
      <c r="G37" s="570"/>
      <c r="H37" s="571"/>
      <c r="I37" s="572"/>
      <c r="J37" s="573"/>
      <c r="K37" s="256"/>
      <c r="L37" s="432">
        <f>L14</f>
        <v>407917.5</v>
      </c>
      <c r="M37" s="433"/>
    </row>
    <row r="38" spans="1:13" s="245" customFormat="1" ht="15" x14ac:dyDescent="0.25">
      <c r="A38" s="574" t="s">
        <v>152</v>
      </c>
      <c r="B38" s="257"/>
      <c r="C38" s="244"/>
      <c r="D38" s="576" t="s">
        <v>153</v>
      </c>
      <c r="E38" s="577"/>
      <c r="F38" s="577"/>
      <c r="G38" s="577"/>
      <c r="H38" s="578"/>
      <c r="I38" s="579" t="s">
        <v>154</v>
      </c>
      <c r="J38" s="258"/>
      <c r="K38" s="244"/>
      <c r="L38" s="244"/>
      <c r="M38" s="259"/>
    </row>
    <row r="39" spans="1:13" s="245" customFormat="1" ht="15" x14ac:dyDescent="0.25">
      <c r="A39" s="575"/>
      <c r="B39" s="580" t="s">
        <v>155</v>
      </c>
      <c r="C39" s="581"/>
      <c r="D39" s="577"/>
      <c r="E39" s="577"/>
      <c r="F39" s="577"/>
      <c r="G39" s="577"/>
      <c r="H39" s="578"/>
      <c r="I39" s="579"/>
      <c r="J39" s="260" t="s">
        <v>156</v>
      </c>
      <c r="K39" s="244"/>
      <c r="L39" s="244"/>
      <c r="M39" s="259"/>
    </row>
    <row r="40" spans="1:13" s="245" customFormat="1" ht="15" x14ac:dyDescent="0.25">
      <c r="A40" s="261"/>
      <c r="B40" s="592" t="s">
        <v>157</v>
      </c>
      <c r="C40" s="592"/>
      <c r="D40" s="592"/>
      <c r="E40" s="592"/>
      <c r="F40" s="592"/>
      <c r="G40" s="592"/>
      <c r="H40" s="593"/>
      <c r="I40" s="262"/>
      <c r="J40" s="244" t="s">
        <v>158</v>
      </c>
      <c r="K40" s="244"/>
      <c r="L40" s="244"/>
      <c r="M40" s="259"/>
    </row>
    <row r="41" spans="1:13" s="245" customFormat="1" ht="15" x14ac:dyDescent="0.25">
      <c r="A41" s="594"/>
      <c r="B41" s="244" t="s">
        <v>159</v>
      </c>
      <c r="C41" s="244"/>
      <c r="D41" s="244"/>
      <c r="E41" s="244"/>
      <c r="F41" s="244"/>
      <c r="G41" s="244"/>
      <c r="H41" s="259"/>
      <c r="I41" s="244"/>
      <c r="J41" s="244" t="s">
        <v>160</v>
      </c>
      <c r="K41" s="244"/>
      <c r="L41" s="244"/>
      <c r="M41" s="259"/>
    </row>
    <row r="42" spans="1:13" s="245" customFormat="1" ht="15" x14ac:dyDescent="0.25">
      <c r="A42" s="594"/>
      <c r="B42" s="244"/>
      <c r="C42" s="244"/>
      <c r="D42" s="244"/>
      <c r="E42" s="244"/>
      <c r="F42" s="244"/>
      <c r="G42" s="244"/>
      <c r="H42" s="259"/>
      <c r="I42" s="244"/>
      <c r="J42" s="244"/>
      <c r="K42" s="244"/>
      <c r="L42" s="244"/>
      <c r="M42" s="259"/>
    </row>
    <row r="43" spans="1:13" s="245" customFormat="1" ht="15" x14ac:dyDescent="0.25">
      <c r="A43" s="263"/>
      <c r="B43" s="264"/>
      <c r="C43" s="264"/>
      <c r="D43" s="264"/>
      <c r="E43" s="264"/>
      <c r="F43" s="264"/>
      <c r="G43" s="244"/>
      <c r="H43" s="259"/>
      <c r="I43" s="244"/>
      <c r="J43" s="244"/>
      <c r="K43" s="244"/>
      <c r="L43" s="244"/>
      <c r="M43" s="259"/>
    </row>
    <row r="44" spans="1:13" s="245" customFormat="1" ht="15" x14ac:dyDescent="0.25">
      <c r="A44" s="263"/>
      <c r="B44" s="244"/>
      <c r="C44" s="244"/>
      <c r="D44" s="244"/>
      <c r="E44" s="244"/>
      <c r="F44" s="244"/>
      <c r="G44" s="244"/>
      <c r="H44" s="259"/>
      <c r="I44" s="244"/>
      <c r="J44" s="244"/>
      <c r="K44" s="244"/>
      <c r="L44" s="244"/>
      <c r="M44" s="259"/>
    </row>
    <row r="45" spans="1:13" s="245" customFormat="1" ht="15" x14ac:dyDescent="0.25">
      <c r="A45" s="582" t="s">
        <v>161</v>
      </c>
      <c r="B45" s="583"/>
      <c r="C45" s="595" t="s">
        <v>162</v>
      </c>
      <c r="D45" s="595"/>
      <c r="E45" s="595"/>
      <c r="F45" s="595"/>
      <c r="G45" s="595"/>
      <c r="H45" s="596"/>
      <c r="I45" s="244" t="s">
        <v>163</v>
      </c>
      <c r="J45" s="244"/>
      <c r="K45" s="265"/>
      <c r="L45" s="266"/>
      <c r="M45" s="267"/>
    </row>
    <row r="46" spans="1:13" s="245" customFormat="1" ht="19.5" customHeight="1" x14ac:dyDescent="0.25">
      <c r="A46" s="597" t="s">
        <v>164</v>
      </c>
      <c r="B46" s="576"/>
      <c r="C46" s="576"/>
      <c r="D46" s="576"/>
      <c r="E46" s="576"/>
      <c r="F46" s="576"/>
      <c r="G46" s="576"/>
      <c r="H46" s="591"/>
      <c r="I46" s="244" t="s">
        <v>165</v>
      </c>
      <c r="J46" s="244"/>
      <c r="K46" s="598" t="s">
        <v>166</v>
      </c>
      <c r="L46" s="598"/>
      <c r="M46" s="599"/>
    </row>
    <row r="47" spans="1:13" s="245" customFormat="1" ht="15" x14ac:dyDescent="0.25">
      <c r="A47" s="582" t="s">
        <v>167</v>
      </c>
      <c r="B47" s="583"/>
      <c r="C47" s="584" t="s">
        <v>212</v>
      </c>
      <c r="D47" s="584"/>
      <c r="E47" s="584"/>
      <c r="F47" s="584"/>
      <c r="G47" s="584"/>
      <c r="H47" s="585"/>
      <c r="I47" s="244" t="s">
        <v>167</v>
      </c>
      <c r="J47" s="244"/>
      <c r="K47" s="586" t="s">
        <v>130</v>
      </c>
      <c r="L47" s="586"/>
      <c r="M47" s="587"/>
    </row>
    <row r="48" spans="1:13" s="245" customFormat="1" ht="15" x14ac:dyDescent="0.25">
      <c r="A48" s="268"/>
      <c r="B48" s="269"/>
      <c r="C48" s="583" t="s">
        <v>168</v>
      </c>
      <c r="D48" s="583"/>
      <c r="E48" s="583"/>
      <c r="F48" s="583"/>
      <c r="G48" s="583"/>
      <c r="H48" s="588"/>
      <c r="I48" s="244"/>
      <c r="J48" s="244"/>
      <c r="K48" s="589" t="s">
        <v>169</v>
      </c>
      <c r="L48" s="589"/>
      <c r="M48" s="590"/>
    </row>
    <row r="49" spans="1:13" s="245" customFormat="1" ht="15" x14ac:dyDescent="0.25">
      <c r="A49" s="526" t="s">
        <v>170</v>
      </c>
      <c r="B49" s="527"/>
      <c r="C49" s="576" t="s">
        <v>162</v>
      </c>
      <c r="D49" s="576"/>
      <c r="E49" s="576"/>
      <c r="F49" s="576"/>
      <c r="G49" s="576"/>
      <c r="H49" s="591"/>
      <c r="I49" s="244" t="s">
        <v>171</v>
      </c>
      <c r="J49" s="244"/>
      <c r="K49" s="244" t="s">
        <v>172</v>
      </c>
      <c r="L49" s="244"/>
      <c r="M49" s="259"/>
    </row>
    <row r="50" spans="1:13" s="245" customFormat="1" ht="15.75" thickBot="1" x14ac:dyDescent="0.3">
      <c r="A50" s="270"/>
      <c r="B50" s="271"/>
      <c r="C50" s="271"/>
      <c r="D50" s="271"/>
      <c r="E50" s="271"/>
      <c r="F50" s="271"/>
      <c r="G50" s="271"/>
      <c r="H50" s="272"/>
      <c r="I50" s="273"/>
      <c r="J50" s="273"/>
      <c r="K50" s="273"/>
      <c r="L50" s="273"/>
      <c r="M50" s="274"/>
    </row>
    <row r="51" spans="1:13" s="245" customFormat="1" ht="15.75" thickBot="1" x14ac:dyDescent="0.3">
      <c r="A51" s="275"/>
      <c r="B51" s="276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8"/>
    </row>
    <row r="52" spans="1:13" s="245" customFormat="1" ht="15" thickBot="1" x14ac:dyDescent="0.25">
      <c r="A52" s="279" t="s">
        <v>173</v>
      </c>
      <c r="B52" s="605" t="s">
        <v>174</v>
      </c>
      <c r="C52" s="606"/>
      <c r="D52" s="606"/>
      <c r="E52" s="606"/>
      <c r="F52" s="606"/>
      <c r="G52" s="606"/>
      <c r="H52" s="606"/>
      <c r="I52" s="606"/>
      <c r="J52" s="606"/>
      <c r="K52" s="606"/>
      <c r="L52" s="606"/>
      <c r="M52" s="607"/>
    </row>
    <row r="53" spans="1:13" s="245" customFormat="1" ht="15" thickBot="1" x14ac:dyDescent="0.25">
      <c r="A53" s="608" t="s">
        <v>175</v>
      </c>
      <c r="B53" s="606"/>
      <c r="C53" s="606"/>
      <c r="D53" s="606"/>
      <c r="E53" s="606"/>
      <c r="F53" s="606"/>
      <c r="G53" s="607"/>
      <c r="H53" s="608" t="s">
        <v>148</v>
      </c>
      <c r="I53" s="606"/>
      <c r="J53" s="606"/>
      <c r="K53" s="606"/>
      <c r="L53" s="606"/>
      <c r="M53" s="607"/>
    </row>
    <row r="54" spans="1:13" s="245" customFormat="1" ht="15" x14ac:dyDescent="0.25">
      <c r="A54" s="609" t="s">
        <v>129</v>
      </c>
      <c r="B54" s="611" t="s">
        <v>145</v>
      </c>
      <c r="C54" s="612"/>
      <c r="D54" s="612"/>
      <c r="E54" s="615" t="s">
        <v>176</v>
      </c>
      <c r="F54" s="583"/>
      <c r="G54" s="588"/>
      <c r="H54" s="619" t="s">
        <v>177</v>
      </c>
      <c r="I54" s="620" t="s">
        <v>178</v>
      </c>
      <c r="J54" s="621"/>
      <c r="K54" s="622" t="s">
        <v>179</v>
      </c>
      <c r="L54" s="623" t="s">
        <v>180</v>
      </c>
      <c r="M54" s="624"/>
    </row>
    <row r="55" spans="1:13" s="245" customFormat="1" ht="30.75" thickBot="1" x14ac:dyDescent="0.25">
      <c r="A55" s="609"/>
      <c r="B55" s="611"/>
      <c r="C55" s="612"/>
      <c r="D55" s="612"/>
      <c r="E55" s="615"/>
      <c r="F55" s="583"/>
      <c r="G55" s="588"/>
      <c r="H55" s="619"/>
      <c r="I55" s="620"/>
      <c r="J55" s="621"/>
      <c r="K55" s="622"/>
      <c r="L55" s="339" t="s">
        <v>181</v>
      </c>
      <c r="M55" s="280" t="s">
        <v>182</v>
      </c>
    </row>
    <row r="56" spans="1:13" s="245" customFormat="1" ht="15.75" thickBot="1" x14ac:dyDescent="0.3">
      <c r="A56" s="610"/>
      <c r="B56" s="613"/>
      <c r="C56" s="614"/>
      <c r="D56" s="614"/>
      <c r="E56" s="616"/>
      <c r="F56" s="617"/>
      <c r="G56" s="618"/>
      <c r="H56" s="281" t="s">
        <v>183</v>
      </c>
      <c r="I56" s="600" t="s">
        <v>184</v>
      </c>
      <c r="J56" s="601"/>
      <c r="K56" s="282" t="s">
        <v>185</v>
      </c>
      <c r="L56" s="283" t="s">
        <v>186</v>
      </c>
      <c r="M56" s="284" t="s">
        <v>187</v>
      </c>
    </row>
    <row r="57" spans="1:13" s="245" customFormat="1" ht="15" x14ac:dyDescent="0.25">
      <c r="A57" s="285"/>
      <c r="B57" s="286"/>
      <c r="C57" s="244"/>
      <c r="D57" s="287"/>
      <c r="E57" s="288"/>
      <c r="F57" s="244"/>
      <c r="G57" s="259"/>
      <c r="H57" s="289"/>
      <c r="I57" s="290"/>
      <c r="J57" s="287"/>
      <c r="K57" s="291"/>
      <c r="L57" s="292"/>
      <c r="M57" s="293"/>
    </row>
    <row r="58" spans="1:13" s="245" customFormat="1" ht="15" x14ac:dyDescent="0.25">
      <c r="A58" s="285"/>
      <c r="B58" s="294"/>
      <c r="C58" s="244"/>
      <c r="D58" s="287"/>
      <c r="E58" s="288"/>
      <c r="F58" s="244"/>
      <c r="G58" s="259"/>
      <c r="H58" s="295"/>
      <c r="I58" s="296"/>
      <c r="J58" s="297"/>
      <c r="K58" s="292"/>
      <c r="L58" s="292"/>
      <c r="M58" s="298"/>
    </row>
    <row r="59" spans="1:13" s="245" customFormat="1" ht="15" x14ac:dyDescent="0.25">
      <c r="A59" s="285"/>
      <c r="B59" s="294"/>
      <c r="C59" s="244"/>
      <c r="D59" s="287"/>
      <c r="E59" s="602"/>
      <c r="F59" s="603"/>
      <c r="G59" s="604"/>
      <c r="H59" s="295"/>
      <c r="I59" s="296"/>
      <c r="J59" s="297"/>
      <c r="K59" s="292"/>
      <c r="L59" s="292"/>
      <c r="M59" s="298"/>
    </row>
    <row r="60" spans="1:13" s="245" customFormat="1" ht="15" x14ac:dyDescent="0.25">
      <c r="A60" s="285"/>
      <c r="B60" s="294"/>
      <c r="C60" s="244"/>
      <c r="D60" s="287"/>
      <c r="E60" s="288"/>
      <c r="F60" s="244"/>
      <c r="G60" s="259"/>
      <c r="H60" s="295"/>
      <c r="I60" s="296"/>
      <c r="J60" s="297"/>
      <c r="K60" s="292"/>
      <c r="L60" s="299"/>
      <c r="M60" s="298"/>
    </row>
    <row r="61" spans="1:13" s="245" customFormat="1" ht="15" x14ac:dyDescent="0.25">
      <c r="A61" s="300"/>
      <c r="B61" s="294"/>
      <c r="C61" s="244"/>
      <c r="D61" s="287"/>
      <c r="E61" s="290"/>
      <c r="F61" s="244"/>
      <c r="G61" s="259"/>
      <c r="H61" s="295"/>
      <c r="I61" s="290"/>
      <c r="J61" s="287"/>
      <c r="K61" s="291"/>
      <c r="L61" s="291"/>
      <c r="M61" s="259"/>
    </row>
    <row r="62" spans="1:13" s="245" customFormat="1" ht="15" x14ac:dyDescent="0.25">
      <c r="A62" s="300"/>
      <c r="B62" s="294"/>
      <c r="C62" s="244"/>
      <c r="D62" s="287"/>
      <c r="E62" s="290"/>
      <c r="F62" s="244"/>
      <c r="G62" s="259"/>
      <c r="H62" s="295"/>
      <c r="I62" s="290"/>
      <c r="J62" s="287"/>
      <c r="K62" s="291"/>
      <c r="L62" s="291"/>
      <c r="M62" s="259"/>
    </row>
    <row r="63" spans="1:13" s="245" customFormat="1" ht="13.5" thickBot="1" x14ac:dyDescent="0.25">
      <c r="A63" s="301"/>
      <c r="B63" s="302"/>
      <c r="C63" s="303"/>
      <c r="D63" s="304"/>
      <c r="E63" s="305"/>
      <c r="F63" s="303"/>
      <c r="G63" s="306"/>
      <c r="H63" s="307"/>
      <c r="I63" s="305"/>
      <c r="J63" s="304"/>
      <c r="K63" s="308"/>
      <c r="L63" s="308"/>
      <c r="M63" s="306"/>
    </row>
  </sheetData>
  <mergeCells count="131">
    <mergeCell ref="I56:J56"/>
    <mergeCell ref="E59:G59"/>
    <mergeCell ref="B52:M52"/>
    <mergeCell ref="A53:G53"/>
    <mergeCell ref="H53:M53"/>
    <mergeCell ref="A54:A56"/>
    <mergeCell ref="B54:D56"/>
    <mergeCell ref="E54:G56"/>
    <mergeCell ref="H54:H55"/>
    <mergeCell ref="I54:J55"/>
    <mergeCell ref="K54:K55"/>
    <mergeCell ref="L54:M54"/>
    <mergeCell ref="A47:B47"/>
    <mergeCell ref="C47:H47"/>
    <mergeCell ref="K47:M47"/>
    <mergeCell ref="C48:H48"/>
    <mergeCell ref="K48:M48"/>
    <mergeCell ref="A49:B49"/>
    <mergeCell ref="C49:H49"/>
    <mergeCell ref="B40:H40"/>
    <mergeCell ref="A41:A42"/>
    <mergeCell ref="A45:B45"/>
    <mergeCell ref="C45:H45"/>
    <mergeCell ref="A46:H46"/>
    <mergeCell ref="K46:M46"/>
    <mergeCell ref="A37:C37"/>
    <mergeCell ref="D37:H37"/>
    <mergeCell ref="I37:J37"/>
    <mergeCell ref="L37:M37"/>
    <mergeCell ref="A38:A39"/>
    <mergeCell ref="D38:H39"/>
    <mergeCell ref="I38:I39"/>
    <mergeCell ref="B39:C39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196850393700787" right="0.196850393700787" top="0.5" bottom="0.196850393700787" header="0.118110236220472" footer="0.118110236220472"/>
  <pageSetup paperSize="9" scale="80" orientation="portrait" r:id="rId1"/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F93"/>
  <sheetViews>
    <sheetView view="pageBreakPreview" zoomScale="80" zoomScaleNormal="80" zoomScaleSheetLayoutView="80" workbookViewId="0">
      <pane xSplit="3" ySplit="8" topLeftCell="D78" activePane="bottomRight" state="frozen"/>
      <selection activeCell="H2" sqref="H2"/>
      <selection pane="topRight" activeCell="H2" sqref="H2"/>
      <selection pane="bottomLeft" activeCell="H2" sqref="H2"/>
      <selection pane="bottomRight" activeCell="M79" sqref="M79"/>
    </sheetView>
  </sheetViews>
  <sheetFormatPr defaultColWidth="9.140625" defaultRowHeight="15.75" outlineLevelCol="1" x14ac:dyDescent="0.2"/>
  <cols>
    <col min="1" max="1" width="5.5703125" style="242" customWidth="1"/>
    <col min="2" max="2" width="14.42578125" style="242" hidden="1" customWidth="1"/>
    <col min="3" max="3" width="34.5703125" style="210" customWidth="1"/>
    <col min="4" max="4" width="4.85546875" style="242" customWidth="1"/>
    <col min="5" max="5" width="16.42578125" style="1" hidden="1" customWidth="1"/>
    <col min="6" max="6" width="13.140625" style="1" hidden="1" customWidth="1"/>
    <col min="7" max="7" width="15.7109375" style="1" hidden="1" customWidth="1"/>
    <col min="8" max="8" width="15.42578125" style="1" customWidth="1"/>
    <col min="9" max="9" width="13.42578125" style="1" customWidth="1"/>
    <col min="10" max="10" width="12.85546875" style="1" customWidth="1"/>
    <col min="11" max="11" width="12.42578125" style="1" customWidth="1"/>
    <col min="12" max="12" width="15.28515625" style="1" customWidth="1"/>
    <col min="13" max="13" width="16.85546875" style="1" customWidth="1"/>
    <col min="14" max="14" width="14.28515625" style="1" customWidth="1"/>
    <col min="15" max="15" width="14" style="1" customWidth="1"/>
    <col min="16" max="16" width="13.8554687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4" hidden="1" customWidth="1" outlineLevel="1"/>
    <col min="25" max="25" width="11.7109375" style="1" hidden="1" customWidth="1" outlineLevel="1"/>
    <col min="26" max="26" width="13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5.85546875" style="2" customWidth="1" collapsed="1"/>
    <col min="39" max="39" width="16.5703125" style="2" customWidth="1"/>
    <col min="40" max="40" width="34" style="2" customWidth="1"/>
    <col min="41" max="41" width="14.7109375" style="2" hidden="1" customWidth="1" outlineLevel="1"/>
    <col min="42" max="42" width="12.28515625" style="1" hidden="1" customWidth="1" outlineLevel="1"/>
    <col min="43" max="43" width="17.85546875" style="1" hidden="1" customWidth="1" outlineLevel="1"/>
    <col min="44" max="44" width="14.42578125" style="1" customWidth="1" outlineLevel="1"/>
    <col min="45" max="45" width="13.140625" style="5" hidden="1" customWidth="1" outlineLevel="1"/>
    <col min="46" max="46" width="11.5703125" style="5" hidden="1" customWidth="1" outlineLevel="1"/>
    <col min="47" max="47" width="12.5703125" style="5" customWidth="1" collapsed="1"/>
    <col min="48" max="48" width="9.140625" style="242" hidden="1" customWidth="1"/>
    <col min="49" max="49" width="10.85546875" style="1" customWidth="1"/>
    <col min="50" max="50" width="12.42578125" style="242" customWidth="1"/>
    <col min="51" max="51" width="10.7109375" style="5" customWidth="1"/>
    <col min="52" max="52" width="11.42578125" style="242" customWidth="1"/>
    <col min="53" max="53" width="15.5703125" style="1" customWidth="1"/>
    <col min="54" max="54" width="17" style="1" customWidth="1"/>
    <col min="55" max="55" width="15.85546875" style="5" customWidth="1"/>
    <col min="56" max="56" width="19" style="1" customWidth="1"/>
    <col min="57" max="16384" width="9.140625" style="1"/>
  </cols>
  <sheetData>
    <row r="1" spans="1:57" ht="25.5" x14ac:dyDescent="0.35">
      <c r="A1" s="645" t="s">
        <v>105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45"/>
      <c r="R1" s="645"/>
      <c r="S1" s="645"/>
      <c r="T1" s="645"/>
      <c r="U1" s="645"/>
      <c r="V1" s="645"/>
      <c r="W1" s="645"/>
      <c r="X1" s="645"/>
      <c r="Y1" s="645"/>
      <c r="Z1" s="645"/>
      <c r="AA1" s="645"/>
      <c r="AB1" s="645"/>
      <c r="AC1" s="645"/>
      <c r="AD1" s="645"/>
      <c r="AE1" s="645"/>
      <c r="AF1" s="645"/>
      <c r="AG1" s="645"/>
      <c r="AH1" s="645"/>
      <c r="AI1" s="645"/>
      <c r="AJ1" s="645"/>
      <c r="AK1" s="645"/>
      <c r="AL1" s="645"/>
      <c r="AM1" s="645"/>
      <c r="AN1" s="645"/>
      <c r="AO1" s="95"/>
      <c r="AP1" s="95"/>
      <c r="AQ1" s="95"/>
    </row>
    <row r="2" spans="1:57" x14ac:dyDescent="0.25">
      <c r="A2" s="646" t="s">
        <v>106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96"/>
      <c r="AP2" s="96"/>
      <c r="AQ2" s="96"/>
    </row>
    <row r="3" spans="1:57" x14ac:dyDescent="0.2">
      <c r="A3" s="647" t="s">
        <v>107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  <c r="AM3" s="647"/>
      <c r="AN3" s="647"/>
      <c r="AO3" s="97"/>
      <c r="AP3" s="97"/>
      <c r="AQ3" s="97"/>
    </row>
    <row r="4" spans="1:57" x14ac:dyDescent="0.25">
      <c r="A4" s="648" t="s">
        <v>348</v>
      </c>
      <c r="B4" s="648"/>
      <c r="C4" s="648"/>
      <c r="D4" s="648"/>
      <c r="E4" s="648"/>
      <c r="F4" s="648"/>
      <c r="G4" s="648"/>
      <c r="H4" s="648"/>
      <c r="I4" s="648"/>
      <c r="J4" s="648"/>
      <c r="K4" s="648"/>
      <c r="L4" s="648"/>
      <c r="M4" s="648"/>
      <c r="N4" s="648"/>
      <c r="O4" s="648"/>
      <c r="P4" s="648"/>
      <c r="Q4" s="648"/>
      <c r="R4" s="648"/>
      <c r="S4" s="648"/>
      <c r="T4" s="648"/>
      <c r="U4" s="648"/>
      <c r="V4" s="648"/>
      <c r="W4" s="648"/>
      <c r="X4" s="648"/>
      <c r="Y4" s="648"/>
      <c r="Z4" s="648"/>
      <c r="AA4" s="648"/>
      <c r="AB4" s="648"/>
      <c r="AC4" s="648"/>
      <c r="AD4" s="648"/>
      <c r="AE4" s="648"/>
      <c r="AF4" s="648"/>
      <c r="AG4" s="648"/>
      <c r="AH4" s="648"/>
      <c r="AI4" s="648"/>
      <c r="AJ4" s="648"/>
      <c r="AK4" s="648"/>
      <c r="AL4" s="648"/>
      <c r="AM4" s="648"/>
      <c r="AN4" s="648"/>
      <c r="AO4" s="98"/>
      <c r="AP4" s="98"/>
      <c r="AQ4" s="98"/>
    </row>
    <row r="5" spans="1:57" x14ac:dyDescent="0.2">
      <c r="A5" s="647" t="s">
        <v>108</v>
      </c>
      <c r="B5" s="647"/>
      <c r="C5" s="647"/>
      <c r="D5" s="647"/>
      <c r="E5" s="647"/>
      <c r="F5" s="647"/>
      <c r="G5" s="647"/>
      <c r="H5" s="647"/>
      <c r="I5" s="647"/>
      <c r="J5" s="647"/>
      <c r="K5" s="647"/>
      <c r="L5" s="647"/>
      <c r="M5" s="647"/>
      <c r="N5" s="647"/>
      <c r="O5" s="647"/>
      <c r="P5" s="647"/>
      <c r="Q5" s="647"/>
      <c r="R5" s="647"/>
      <c r="S5" s="647"/>
      <c r="T5" s="647"/>
      <c r="U5" s="647"/>
      <c r="V5" s="647"/>
      <c r="W5" s="647"/>
      <c r="X5" s="647"/>
      <c r="Y5" s="647"/>
      <c r="Z5" s="647"/>
      <c r="AA5" s="647"/>
      <c r="AB5" s="647"/>
      <c r="AC5" s="647"/>
      <c r="AD5" s="647"/>
      <c r="AE5" s="647"/>
      <c r="AF5" s="647"/>
      <c r="AG5" s="647"/>
      <c r="AH5" s="647"/>
      <c r="AI5" s="647"/>
      <c r="AJ5" s="647"/>
      <c r="AK5" s="647"/>
      <c r="AL5" s="647"/>
      <c r="AM5" s="647"/>
      <c r="AN5" s="647"/>
      <c r="AO5" s="97"/>
      <c r="AP5" s="97"/>
      <c r="AQ5" s="97"/>
    </row>
    <row r="6" spans="1:57" ht="16.5" x14ac:dyDescent="0.3">
      <c r="A6" s="90" t="s">
        <v>109</v>
      </c>
      <c r="B6" s="90"/>
      <c r="C6" s="208"/>
      <c r="D6" s="91"/>
      <c r="E6" s="91"/>
      <c r="F6" s="92"/>
      <c r="G6" s="91"/>
      <c r="H6" s="91"/>
      <c r="I6" s="91"/>
      <c r="J6" s="91"/>
      <c r="K6" s="91"/>
      <c r="L6" s="90"/>
      <c r="M6" s="91"/>
      <c r="N6" s="91"/>
      <c r="O6" s="91"/>
      <c r="P6" s="91"/>
      <c r="Q6" s="91"/>
      <c r="R6" s="91"/>
      <c r="S6" s="93"/>
      <c r="T6" s="94"/>
      <c r="U6" s="93"/>
      <c r="AO6" s="1"/>
    </row>
    <row r="7" spans="1:57" ht="16.5" thickBot="1" x14ac:dyDescent="0.3">
      <c r="A7" s="644" t="s">
        <v>225</v>
      </c>
      <c r="B7" s="644"/>
      <c r="C7" s="644"/>
      <c r="D7" s="644"/>
      <c r="E7" s="644"/>
      <c r="F7" s="644"/>
      <c r="G7" s="644"/>
      <c r="H7" s="644"/>
      <c r="I7" s="644"/>
      <c r="J7" s="644"/>
      <c r="K7" s="644"/>
      <c r="L7" s="644"/>
      <c r="M7" s="644"/>
      <c r="N7" s="644"/>
      <c r="O7" s="644"/>
      <c r="P7" s="644"/>
      <c r="Q7" s="644"/>
      <c r="R7" s="644"/>
      <c r="S7" s="644"/>
      <c r="T7" s="644"/>
      <c r="U7" s="93"/>
      <c r="AO7" s="1"/>
    </row>
    <row r="8" spans="1:57" s="3" customFormat="1" ht="52.5" customHeight="1" x14ac:dyDescent="0.2">
      <c r="A8" s="125" t="s">
        <v>7</v>
      </c>
      <c r="B8" s="126" t="s">
        <v>100</v>
      </c>
      <c r="C8" s="189" t="s">
        <v>0</v>
      </c>
      <c r="D8" s="126" t="s">
        <v>6</v>
      </c>
      <c r="E8" s="127" t="s">
        <v>101</v>
      </c>
      <c r="F8" s="127" t="s">
        <v>8</v>
      </c>
      <c r="G8" s="127" t="s">
        <v>9</v>
      </c>
      <c r="H8" s="189" t="s">
        <v>28</v>
      </c>
      <c r="I8" s="189" t="s">
        <v>25</v>
      </c>
      <c r="J8" s="189" t="s">
        <v>41</v>
      </c>
      <c r="K8" s="189" t="s">
        <v>40</v>
      </c>
      <c r="L8" s="189" t="s">
        <v>39</v>
      </c>
      <c r="M8" s="189" t="s">
        <v>42</v>
      </c>
      <c r="N8" s="190" t="s">
        <v>133</v>
      </c>
      <c r="O8" s="190" t="s">
        <v>1</v>
      </c>
      <c r="P8" s="189" t="s">
        <v>29</v>
      </c>
      <c r="Q8" s="189" t="s">
        <v>23</v>
      </c>
      <c r="R8" s="189" t="s">
        <v>24</v>
      </c>
      <c r="S8" s="189" t="s">
        <v>2</v>
      </c>
      <c r="T8" s="189" t="s">
        <v>12</v>
      </c>
      <c r="U8" s="189" t="s">
        <v>13</v>
      </c>
      <c r="V8" s="189" t="s">
        <v>14</v>
      </c>
      <c r="W8" s="189" t="s">
        <v>3</v>
      </c>
      <c r="X8" s="189" t="s">
        <v>27</v>
      </c>
      <c r="Y8" s="189" t="s">
        <v>22</v>
      </c>
      <c r="Z8" s="191" t="s">
        <v>15</v>
      </c>
      <c r="AA8" s="189" t="s">
        <v>21</v>
      </c>
      <c r="AB8" s="189" t="s">
        <v>32</v>
      </c>
      <c r="AC8" s="189" t="s">
        <v>20</v>
      </c>
      <c r="AD8" s="191" t="s">
        <v>26</v>
      </c>
      <c r="AE8" s="191" t="s">
        <v>19</v>
      </c>
      <c r="AF8" s="191" t="s">
        <v>18</v>
      </c>
      <c r="AG8" s="191" t="s">
        <v>17</v>
      </c>
      <c r="AH8" s="191" t="s">
        <v>16</v>
      </c>
      <c r="AI8" s="191" t="s">
        <v>30</v>
      </c>
      <c r="AJ8" s="191" t="s">
        <v>5</v>
      </c>
      <c r="AK8" s="191" t="s">
        <v>31</v>
      </c>
      <c r="AL8" s="191" t="s">
        <v>4</v>
      </c>
      <c r="AM8" s="190" t="s">
        <v>10</v>
      </c>
      <c r="AN8" s="324" t="s">
        <v>110</v>
      </c>
      <c r="AO8" s="124" t="s">
        <v>34</v>
      </c>
      <c r="AP8" s="6" t="s">
        <v>35</v>
      </c>
      <c r="AQ8" s="6" t="s">
        <v>36</v>
      </c>
      <c r="AR8" s="7" t="s">
        <v>11</v>
      </c>
      <c r="AS8" s="6" t="s">
        <v>34</v>
      </c>
      <c r="AT8" s="6" t="s">
        <v>35</v>
      </c>
      <c r="AU8" s="8" t="s">
        <v>1</v>
      </c>
      <c r="AV8" s="7"/>
      <c r="AW8" s="7" t="s">
        <v>43</v>
      </c>
      <c r="AX8" s="3" t="s">
        <v>44</v>
      </c>
      <c r="AY8" s="7" t="s">
        <v>38</v>
      </c>
      <c r="AZ8" s="7" t="s">
        <v>45</v>
      </c>
      <c r="BA8" s="7" t="s">
        <v>46</v>
      </c>
      <c r="BB8" s="7" t="s">
        <v>47</v>
      </c>
      <c r="BC8" s="8" t="s">
        <v>48</v>
      </c>
      <c r="BD8" s="3" t="s">
        <v>104</v>
      </c>
    </row>
    <row r="9" spans="1:57" s="207" customFormat="1" ht="35.1" customHeight="1" x14ac:dyDescent="0.25">
      <c r="A9" s="309" t="s">
        <v>188</v>
      </c>
      <c r="B9" s="200"/>
      <c r="C9" s="219" t="s">
        <v>226</v>
      </c>
      <c r="D9" s="193">
        <v>16</v>
      </c>
      <c r="E9" s="194">
        <v>39672</v>
      </c>
      <c r="F9" s="194">
        <f t="shared" ref="F9:F28" si="0">IF(H9&gt;0,100,0)</f>
        <v>100</v>
      </c>
      <c r="G9" s="194">
        <f t="shared" ref="G9:G28" si="1">+ROUND(H9*12%,2)</f>
        <v>4760.6400000000003</v>
      </c>
      <c r="H9" s="195">
        <f t="shared" ref="H9:H28" si="2">ROUND(IF(AX9&gt;22,0,IF(AX9=22,E9,IF(AX9&lt;22,E9*(AX9/AZ9),IF(OR(AX9=0,AX9=" ")=TRUE,0)))),2)</f>
        <v>39672</v>
      </c>
      <c r="I9" s="195">
        <f t="shared" ref="I9:I28" si="3">ROUND(IF(AND(H9&gt;0,AX9=22)=TRUE,2000,IF(AND(H9&gt;0,AX9&lt;22,AX9&gt;0)=TRUE,2000*(AX9/AZ9),IF(AX9&lt;0,0,0))),2)</f>
        <v>2000</v>
      </c>
      <c r="J9" s="195">
        <f t="shared" ref="J9:J28" si="4">IF(H9&gt;0,BC9-BB9,0)</f>
        <v>1100</v>
      </c>
      <c r="K9" s="195">
        <f t="shared" ref="K9" si="5">IF(AND(H9&gt;0,AX9&gt;11)=TRUE,150,0)</f>
        <v>150</v>
      </c>
      <c r="L9" s="195">
        <f t="shared" ref="L9" si="6">ROUND(IF(AND($H9&gt;0,AX9&gt;11)=TRUE,$AW9*$E9,0),2)</f>
        <v>9918</v>
      </c>
      <c r="M9" s="195">
        <f t="shared" ref="M9:M28" si="7">ROUND(SUM(H9:L9),2)</f>
        <v>52840</v>
      </c>
      <c r="N9" s="335">
        <v>12868.3</v>
      </c>
      <c r="O9" s="195">
        <f t="shared" ref="O9:O28" si="8">E9*0.04/2</f>
        <v>793.44</v>
      </c>
      <c r="P9" s="196">
        <f t="shared" ref="P9:P28" si="9">ROUND($H9*9%,2)</f>
        <v>3570.48</v>
      </c>
      <c r="Q9" s="196"/>
      <c r="R9" s="196"/>
      <c r="S9" s="196"/>
      <c r="T9" s="196"/>
      <c r="U9" s="196"/>
      <c r="V9" s="196"/>
      <c r="W9" s="196"/>
      <c r="X9" s="196"/>
      <c r="Y9" s="196"/>
      <c r="Z9" s="196">
        <f t="shared" ref="Z9:Z28" si="10">ROUND(IF(H9&gt;0,100,0),2)</f>
        <v>100</v>
      </c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>
        <f t="shared" ref="AL9:AL28" si="11">SUM(N9:AK9)</f>
        <v>17332.22</v>
      </c>
      <c r="AM9" s="197">
        <f t="shared" ref="AM9:AM28" si="12">ROUND(M9-AL9,2)</f>
        <v>35507.78</v>
      </c>
      <c r="AN9" s="708"/>
      <c r="AO9" s="201"/>
      <c r="AP9" s="198"/>
      <c r="AQ9" s="202">
        <f t="shared" ref="AQ9:AQ28" si="13">SUM(AO9:AP9)</f>
        <v>0</v>
      </c>
      <c r="AR9" s="203">
        <f t="shared" ref="AR9:AR28" si="14">+AM9-AQ9</f>
        <v>35507.78</v>
      </c>
      <c r="AS9" s="203"/>
      <c r="AT9" s="203"/>
      <c r="AU9" s="203">
        <f t="shared" ref="AU9:AU28" si="15">IF(E9=0,0,IF(E9&lt;=10000,137.5,IF(AND(E9&gt;10000,E9&lt;40000)=TRUE,E9*2.75%*50%,IF(E9&gt;=40000,550,0))))</f>
        <v>545.49</v>
      </c>
      <c r="AV9" s="204"/>
      <c r="AW9" s="204" t="str">
        <f t="shared" ref="AW9:AW28" si="16"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05">
        <v>22</v>
      </c>
      <c r="AY9" s="203">
        <v>150</v>
      </c>
      <c r="AZ9" s="204">
        <v>22</v>
      </c>
      <c r="BA9" s="203">
        <v>50</v>
      </c>
      <c r="BB9" s="203">
        <f t="shared" ref="BB9:BB28" si="17">IF(AX9&gt;0,(AZ9-AX9+BD9)*BA9,0)</f>
        <v>0</v>
      </c>
      <c r="BC9" s="203">
        <f t="shared" ref="BC9:BC28" si="18">IF(AX9&gt;0,1100,0)</f>
        <v>1100</v>
      </c>
      <c r="BD9" s="205"/>
      <c r="BE9" s="206"/>
    </row>
    <row r="10" spans="1:57" s="207" customFormat="1" ht="31.5" customHeight="1" x14ac:dyDescent="0.25">
      <c r="A10" s="309" t="s">
        <v>189</v>
      </c>
      <c r="B10" s="200"/>
      <c r="C10" s="219" t="s">
        <v>227</v>
      </c>
      <c r="D10" s="193">
        <v>16</v>
      </c>
      <c r="E10" s="194">
        <v>39672</v>
      </c>
      <c r="F10" s="194">
        <f t="shared" si="0"/>
        <v>100</v>
      </c>
      <c r="G10" s="194">
        <f t="shared" si="1"/>
        <v>4760.6400000000003</v>
      </c>
      <c r="H10" s="195">
        <f t="shared" si="2"/>
        <v>39672</v>
      </c>
      <c r="I10" s="195">
        <f t="shared" si="3"/>
        <v>2000</v>
      </c>
      <c r="J10" s="195">
        <f t="shared" si="4"/>
        <v>1100</v>
      </c>
      <c r="K10" s="195">
        <f t="shared" ref="K10" si="19">IF(AND(H10&gt;0,AX10&gt;11)=TRUE,150,0)</f>
        <v>150</v>
      </c>
      <c r="L10" s="195">
        <f t="shared" ref="L10" si="20">ROUND(IF(AND($H10&gt;0,AX10&gt;11)=TRUE,$AW10*$E10,0),2)</f>
        <v>9918</v>
      </c>
      <c r="M10" s="195">
        <f t="shared" si="7"/>
        <v>52840</v>
      </c>
      <c r="N10" s="335">
        <v>12471.03</v>
      </c>
      <c r="O10" s="195">
        <f t="shared" si="8"/>
        <v>793.44</v>
      </c>
      <c r="P10" s="196">
        <f t="shared" si="9"/>
        <v>3570.48</v>
      </c>
      <c r="Q10" s="196"/>
      <c r="R10" s="196"/>
      <c r="S10" s="196"/>
      <c r="T10" s="196"/>
      <c r="U10" s="196"/>
      <c r="V10" s="196"/>
      <c r="W10" s="196"/>
      <c r="X10" s="196"/>
      <c r="Y10" s="196"/>
      <c r="Z10" s="196">
        <f t="shared" si="10"/>
        <v>100</v>
      </c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>
        <f t="shared" si="11"/>
        <v>16934.95</v>
      </c>
      <c r="AM10" s="197">
        <f t="shared" si="12"/>
        <v>35905.050000000003</v>
      </c>
      <c r="AN10" s="708"/>
      <c r="AO10" s="201"/>
      <c r="AP10" s="198"/>
      <c r="AQ10" s="202">
        <f t="shared" si="13"/>
        <v>0</v>
      </c>
      <c r="AR10" s="203">
        <f t="shared" si="14"/>
        <v>35905.050000000003</v>
      </c>
      <c r="AS10" s="203"/>
      <c r="AT10" s="203"/>
      <c r="AU10" s="203">
        <f t="shared" si="15"/>
        <v>545.49</v>
      </c>
      <c r="AV10" s="204"/>
      <c r="AW10" s="204" t="str">
        <f t="shared" si="16"/>
        <v>25%</v>
      </c>
      <c r="AX10" s="205">
        <v>22</v>
      </c>
      <c r="AY10" s="203">
        <v>150</v>
      </c>
      <c r="AZ10" s="204">
        <v>22</v>
      </c>
      <c r="BA10" s="203">
        <v>50</v>
      </c>
      <c r="BB10" s="203">
        <f t="shared" si="17"/>
        <v>0</v>
      </c>
      <c r="BC10" s="203">
        <f t="shared" si="18"/>
        <v>1100</v>
      </c>
      <c r="BD10" s="205"/>
    </row>
    <row r="11" spans="1:57" s="207" customFormat="1" ht="35.1" customHeight="1" x14ac:dyDescent="0.25">
      <c r="A11" s="309" t="s">
        <v>190</v>
      </c>
      <c r="B11" s="200"/>
      <c r="C11" s="219" t="s">
        <v>228</v>
      </c>
      <c r="D11" s="193">
        <v>16</v>
      </c>
      <c r="E11" s="194">
        <v>39672</v>
      </c>
      <c r="F11" s="194">
        <f t="shared" si="0"/>
        <v>100</v>
      </c>
      <c r="G11" s="194">
        <f t="shared" si="1"/>
        <v>4760.6400000000003</v>
      </c>
      <c r="H11" s="234">
        <f t="shared" si="2"/>
        <v>39672</v>
      </c>
      <c r="I11" s="234">
        <f t="shared" si="3"/>
        <v>2000</v>
      </c>
      <c r="J11" s="234">
        <f t="shared" si="4"/>
        <v>1000</v>
      </c>
      <c r="K11" s="234">
        <f t="shared" ref="K11:K28" si="21">IF(AND(H11&gt;0,AX11&gt;11)=TRUE,150,0)</f>
        <v>150</v>
      </c>
      <c r="L11" s="234">
        <f t="shared" ref="L11:L28" si="22">ROUND(IF(AND($H11&gt;0,AX11&gt;11)=TRUE,$AW11*$E11,0),2)</f>
        <v>9918</v>
      </c>
      <c r="M11" s="234">
        <f t="shared" si="7"/>
        <v>52740</v>
      </c>
      <c r="N11" s="319">
        <v>12493.3</v>
      </c>
      <c r="O11" s="195">
        <f t="shared" si="8"/>
        <v>793.44</v>
      </c>
      <c r="P11" s="233">
        <f t="shared" si="9"/>
        <v>3570.48</v>
      </c>
      <c r="Q11" s="196"/>
      <c r="R11" s="196"/>
      <c r="S11" s="196"/>
      <c r="T11" s="196"/>
      <c r="U11" s="196"/>
      <c r="V11" s="196"/>
      <c r="W11" s="196"/>
      <c r="X11" s="196"/>
      <c r="Y11" s="196"/>
      <c r="Z11" s="233">
        <f t="shared" si="10"/>
        <v>100</v>
      </c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233">
        <f t="shared" si="11"/>
        <v>16957.22</v>
      </c>
      <c r="AM11" s="235">
        <f t="shared" si="12"/>
        <v>35782.78</v>
      </c>
      <c r="AN11" s="709" t="s">
        <v>355</v>
      </c>
      <c r="AO11" s="236"/>
      <c r="AP11" s="237"/>
      <c r="AQ11" s="238">
        <f t="shared" si="13"/>
        <v>0</v>
      </c>
      <c r="AR11" s="239">
        <f t="shared" si="14"/>
        <v>35782.78</v>
      </c>
      <c r="AS11" s="239"/>
      <c r="AT11" s="239"/>
      <c r="AU11" s="239">
        <f t="shared" si="15"/>
        <v>545.49</v>
      </c>
      <c r="AV11" s="205"/>
      <c r="AW11" s="205" t="str">
        <f t="shared" si="16"/>
        <v>25%</v>
      </c>
      <c r="AX11" s="205">
        <v>22</v>
      </c>
      <c r="AY11" s="239">
        <v>150</v>
      </c>
      <c r="AZ11" s="205">
        <v>22</v>
      </c>
      <c r="BA11" s="239">
        <v>50</v>
      </c>
      <c r="BB11" s="239">
        <f t="shared" si="17"/>
        <v>100</v>
      </c>
      <c r="BC11" s="239">
        <f t="shared" si="18"/>
        <v>1100</v>
      </c>
      <c r="BD11" s="205">
        <v>2</v>
      </c>
    </row>
    <row r="12" spans="1:57" s="207" customFormat="1" ht="35.1" customHeight="1" x14ac:dyDescent="0.25">
      <c r="A12" s="309" t="s">
        <v>191</v>
      </c>
      <c r="B12" s="200"/>
      <c r="C12" s="232" t="s">
        <v>229</v>
      </c>
      <c r="D12" s="193">
        <v>16</v>
      </c>
      <c r="E12" s="194">
        <v>39672</v>
      </c>
      <c r="F12" s="194">
        <f t="shared" si="0"/>
        <v>100</v>
      </c>
      <c r="G12" s="194">
        <f t="shared" si="1"/>
        <v>4760.6400000000003</v>
      </c>
      <c r="H12" s="195">
        <f t="shared" si="2"/>
        <v>39672</v>
      </c>
      <c r="I12" s="195">
        <f t="shared" si="3"/>
        <v>2000</v>
      </c>
      <c r="J12" s="195">
        <f t="shared" si="4"/>
        <v>1100</v>
      </c>
      <c r="K12" s="195">
        <f t="shared" si="21"/>
        <v>150</v>
      </c>
      <c r="L12" s="195">
        <f t="shared" si="22"/>
        <v>9918</v>
      </c>
      <c r="M12" s="195">
        <f t="shared" si="7"/>
        <v>52840</v>
      </c>
      <c r="N12" s="335">
        <v>11068.3</v>
      </c>
      <c r="O12" s="195">
        <f t="shared" si="8"/>
        <v>793.44</v>
      </c>
      <c r="P12" s="196">
        <f t="shared" si="9"/>
        <v>3570.48</v>
      </c>
      <c r="Q12" s="196"/>
      <c r="R12" s="196"/>
      <c r="S12" s="196"/>
      <c r="T12" s="196"/>
      <c r="U12" s="196"/>
      <c r="V12" s="196"/>
      <c r="W12" s="196"/>
      <c r="X12" s="196"/>
      <c r="Y12" s="196"/>
      <c r="Z12" s="196">
        <f t="shared" si="10"/>
        <v>100</v>
      </c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>
        <f t="shared" si="11"/>
        <v>15532.22</v>
      </c>
      <c r="AM12" s="197">
        <f t="shared" si="12"/>
        <v>37307.78</v>
      </c>
      <c r="AN12" s="708"/>
      <c r="AO12" s="201"/>
      <c r="AP12" s="198"/>
      <c r="AQ12" s="202">
        <f t="shared" si="13"/>
        <v>0</v>
      </c>
      <c r="AR12" s="203">
        <f t="shared" si="14"/>
        <v>37307.78</v>
      </c>
      <c r="AS12" s="203"/>
      <c r="AT12" s="203"/>
      <c r="AU12" s="203">
        <f t="shared" si="15"/>
        <v>545.49</v>
      </c>
      <c r="AV12" s="204"/>
      <c r="AW12" s="204" t="str">
        <f t="shared" si="16"/>
        <v>25%</v>
      </c>
      <c r="AX12" s="205">
        <v>22</v>
      </c>
      <c r="AY12" s="203">
        <v>150</v>
      </c>
      <c r="AZ12" s="204">
        <v>22</v>
      </c>
      <c r="BA12" s="203">
        <v>50</v>
      </c>
      <c r="BB12" s="203">
        <f t="shared" si="17"/>
        <v>0</v>
      </c>
      <c r="BC12" s="203">
        <f t="shared" si="18"/>
        <v>1100</v>
      </c>
      <c r="BD12" s="205"/>
    </row>
    <row r="13" spans="1:57" s="207" customFormat="1" ht="35.1" customHeight="1" x14ac:dyDescent="0.25">
      <c r="A13" s="309" t="s">
        <v>192</v>
      </c>
      <c r="B13" s="200"/>
      <c r="C13" s="232" t="s">
        <v>317</v>
      </c>
      <c r="D13" s="193">
        <v>16</v>
      </c>
      <c r="E13" s="194">
        <v>39672</v>
      </c>
      <c r="F13" s="194">
        <f>IF(H13&gt;0,100,0)</f>
        <v>100</v>
      </c>
      <c r="G13" s="194">
        <f>+ROUND(H13*12%,2)</f>
        <v>4760.6400000000003</v>
      </c>
      <c r="H13" s="195">
        <f>ROUND(IF(AX13&gt;22,0,IF(AX13=22,E13,IF(AX13&lt;22,E13*(AX13/AZ13),IF(OR(AX13=0,AX13=" ")=TRUE,0)))),2)</f>
        <v>39672</v>
      </c>
      <c r="I13" s="195">
        <f>ROUND(IF(AND(H13&gt;0,AX13=22)=TRUE,2000,IF(AND(H13&gt;0,AX13&lt;22,AX13&gt;0)=TRUE,2000*(AX13/AZ13),IF(AX13&lt;0,0,0))),2)</f>
        <v>2000</v>
      </c>
      <c r="J13" s="195">
        <f>IF(H13&gt;0,BC13-BB13,0)</f>
        <v>1100</v>
      </c>
      <c r="K13" s="195">
        <f>IF(AND(H13&gt;0,AX13&gt;11)=TRUE,150,0)</f>
        <v>150</v>
      </c>
      <c r="L13" s="195">
        <f>ROUND(IF(AND($H13&gt;0,AX13&gt;11)=TRUE,$AW13*$E13,0),2)</f>
        <v>9918</v>
      </c>
      <c r="M13" s="195">
        <f>ROUND(SUM(H13:L13),2)</f>
        <v>52840</v>
      </c>
      <c r="N13" s="195">
        <v>12093.3</v>
      </c>
      <c r="O13" s="195">
        <f>E13*0.04/2</f>
        <v>793.44</v>
      </c>
      <c r="P13" s="196">
        <f>ROUND($H13*9%,2)</f>
        <v>3570.48</v>
      </c>
      <c r="Q13" s="196"/>
      <c r="R13" s="196"/>
      <c r="S13" s="196"/>
      <c r="T13" s="196"/>
      <c r="U13" s="196"/>
      <c r="V13" s="196"/>
      <c r="W13" s="196"/>
      <c r="X13" s="196"/>
      <c r="Y13" s="196"/>
      <c r="Z13" s="196">
        <f>ROUND(IF(H13&gt;0,100,0),2)</f>
        <v>100</v>
      </c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>
        <f>SUM(N13:AK13)</f>
        <v>16557.22</v>
      </c>
      <c r="AM13" s="197">
        <f>ROUND(M13-AL13,2)</f>
        <v>36282.78</v>
      </c>
      <c r="AN13" s="708"/>
      <c r="AO13" s="201"/>
      <c r="AP13" s="198"/>
      <c r="AQ13" s="202">
        <f>SUM(AO13:AP13)</f>
        <v>0</v>
      </c>
      <c r="AR13" s="203">
        <f>+AM13-AQ13</f>
        <v>36282.78</v>
      </c>
      <c r="AS13" s="203"/>
      <c r="AT13" s="203"/>
      <c r="AU13" s="203">
        <f>IF(E13=0,0,IF(E13&lt;=10000,137.5,IF(AND(E13&gt;10000,E13&lt;40000)=TRUE,E13*2.75%*50%,IF(E13&gt;=40000,550,0))))</f>
        <v>545.49</v>
      </c>
      <c r="AV13" s="204"/>
      <c r="AW13" s="204" t="str">
        <f>IF(AND($D13&gt;=1,$D13&lt;=19)=TRUE,"25%",IF($D13=20,"15%",IF($D13=21,"13%",IF($D13=22,"12%",IF($D13=23,"11%",IF(OR($D13=24,$D13=25)=TRUE,"10%",IF($D13=26,"9%",IF($D13=27,"8%",IF($D13=28,"7%",IF(OR($D13=29,$D13=30)=TRUE,"6%",IF($D13=31,"5%","0%")))))))))))</f>
        <v>25%</v>
      </c>
      <c r="AX13" s="205">
        <v>22</v>
      </c>
      <c r="AY13" s="203">
        <v>150</v>
      </c>
      <c r="AZ13" s="204">
        <v>22</v>
      </c>
      <c r="BA13" s="203">
        <v>50</v>
      </c>
      <c r="BB13" s="203">
        <f>IF(AX13&gt;0,(AZ13-AX13+BD13)*BA13,0)</f>
        <v>0</v>
      </c>
      <c r="BC13" s="203">
        <f>IF(AX13&gt;0,1100,0)</f>
        <v>1100</v>
      </c>
      <c r="BD13" s="205"/>
    </row>
    <row r="14" spans="1:57" s="207" customFormat="1" ht="35.1" customHeight="1" x14ac:dyDescent="0.25">
      <c r="A14" s="309" t="s">
        <v>193</v>
      </c>
      <c r="B14" s="200"/>
      <c r="C14" s="219" t="s">
        <v>304</v>
      </c>
      <c r="D14" s="193">
        <v>16</v>
      </c>
      <c r="E14" s="194">
        <v>39672</v>
      </c>
      <c r="F14" s="194">
        <f t="shared" si="0"/>
        <v>100</v>
      </c>
      <c r="G14" s="194">
        <f t="shared" si="1"/>
        <v>4760.6400000000003</v>
      </c>
      <c r="H14" s="195">
        <f t="shared" si="2"/>
        <v>39672</v>
      </c>
      <c r="I14" s="195">
        <f t="shared" si="3"/>
        <v>2000</v>
      </c>
      <c r="J14" s="195">
        <f t="shared" si="4"/>
        <v>950</v>
      </c>
      <c r="K14" s="195">
        <f t="shared" si="21"/>
        <v>150</v>
      </c>
      <c r="L14" s="195">
        <f t="shared" si="22"/>
        <v>9918</v>
      </c>
      <c r="M14" s="195">
        <f t="shared" si="7"/>
        <v>52690</v>
      </c>
      <c r="N14" s="335">
        <v>12650.76</v>
      </c>
      <c r="O14" s="195">
        <f t="shared" si="8"/>
        <v>793.44</v>
      </c>
      <c r="P14" s="196">
        <f t="shared" si="9"/>
        <v>3570.48</v>
      </c>
      <c r="Q14" s="196"/>
      <c r="R14" s="196"/>
      <c r="S14" s="196"/>
      <c r="T14" s="196"/>
      <c r="U14" s="196"/>
      <c r="V14" s="196"/>
      <c r="W14" s="196"/>
      <c r="X14" s="196"/>
      <c r="Y14" s="196"/>
      <c r="Z14" s="196">
        <f t="shared" si="10"/>
        <v>100</v>
      </c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>
        <f t="shared" si="11"/>
        <v>17114.68</v>
      </c>
      <c r="AM14" s="197">
        <f t="shared" si="12"/>
        <v>35575.32</v>
      </c>
      <c r="AN14" s="708" t="s">
        <v>356</v>
      </c>
      <c r="AO14" s="201"/>
      <c r="AP14" s="198"/>
      <c r="AQ14" s="202">
        <f t="shared" si="13"/>
        <v>0</v>
      </c>
      <c r="AR14" s="203">
        <f t="shared" si="14"/>
        <v>35575.32</v>
      </c>
      <c r="AS14" s="203"/>
      <c r="AT14" s="203"/>
      <c r="AU14" s="203">
        <f t="shared" si="15"/>
        <v>545.49</v>
      </c>
      <c r="AV14" s="204"/>
      <c r="AW14" s="204" t="str">
        <f t="shared" si="16"/>
        <v>25%</v>
      </c>
      <c r="AX14" s="205">
        <v>22</v>
      </c>
      <c r="AY14" s="203">
        <v>150</v>
      </c>
      <c r="AZ14" s="204">
        <v>22</v>
      </c>
      <c r="BA14" s="203">
        <v>50</v>
      </c>
      <c r="BB14" s="203">
        <f t="shared" si="17"/>
        <v>150</v>
      </c>
      <c r="BC14" s="203">
        <f t="shared" si="18"/>
        <v>1100</v>
      </c>
      <c r="BD14" s="205">
        <v>3</v>
      </c>
    </row>
    <row r="15" spans="1:57" s="207" customFormat="1" ht="35.1" customHeight="1" x14ac:dyDescent="0.25">
      <c r="A15" s="309" t="s">
        <v>194</v>
      </c>
      <c r="B15" s="200"/>
      <c r="C15" s="219" t="s">
        <v>230</v>
      </c>
      <c r="D15" s="193">
        <v>16</v>
      </c>
      <c r="E15" s="194">
        <v>39672</v>
      </c>
      <c r="F15" s="194">
        <f t="shared" si="0"/>
        <v>100</v>
      </c>
      <c r="G15" s="194">
        <f t="shared" si="1"/>
        <v>4760.6400000000003</v>
      </c>
      <c r="H15" s="195">
        <f t="shared" si="2"/>
        <v>39672</v>
      </c>
      <c r="I15" s="195">
        <f t="shared" si="3"/>
        <v>2000</v>
      </c>
      <c r="J15" s="195">
        <f t="shared" si="4"/>
        <v>1100</v>
      </c>
      <c r="K15" s="195">
        <f t="shared" si="21"/>
        <v>150</v>
      </c>
      <c r="L15" s="195">
        <f t="shared" si="22"/>
        <v>9918</v>
      </c>
      <c r="M15" s="195">
        <f t="shared" si="7"/>
        <v>52840</v>
      </c>
      <c r="N15" s="320">
        <v>8410.4699999999993</v>
      </c>
      <c r="O15" s="195">
        <f t="shared" si="8"/>
        <v>793.44</v>
      </c>
      <c r="P15" s="196">
        <f t="shared" si="9"/>
        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"Z15" s="196">
        <f t="shared" si="10"/>
        <v>100</v>
      </c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>
        <f t="shared" si="11"/>
        <v>12874.39</v>
      </c>
      <c r="AM15" s="197">
        <f t="shared" si="12"/>
        <v>39965.61</v>
      </c>
      <c r="AN15" s="710"/>
      <c r="AO15" s="201"/>
      <c r="AP15" s="198"/>
      <c r="AQ15" s="202">
        <f t="shared" si="13"/>
        <v>0</v>
      </c>
      <c r="AR15" s="203">
        <f t="shared" si="14"/>
        <v>39965.61</v>
      </c>
      <c r="AS15" s="203"/>
      <c r="AT15" s="203"/>
      <c r="AU15" s="203">
        <f t="shared" si="15"/>
        <v>545.49</v>
      </c>
      <c r="AV15" s="204"/>
      <c r="AW15" s="204" t="str">
        <f t="shared" si="16"/>
        <v>25%</v>
      </c>
      <c r="AX15" s="205">
        <v>22</v>
      </c>
      <c r="AY15" s="203">
        <v>150</v>
      </c>
      <c r="AZ15" s="204">
        <v>22</v>
      </c>
      <c r="BA15" s="203">
        <v>50</v>
      </c>
      <c r="BB15" s="203">
        <f t="shared" si="17"/>
        <v>0</v>
      </c>
      <c r="BC15" s="203">
        <f t="shared" si="18"/>
        <v>1100</v>
      </c>
      <c r="BD15" s="205"/>
    </row>
    <row r="16" spans="1:57" s="207" customFormat="1" ht="35.1" customHeight="1" x14ac:dyDescent="0.25">
      <c r="A16" s="309" t="s">
        <v>195</v>
      </c>
      <c r="B16" s="200"/>
      <c r="C16" s="232" t="s">
        <v>231</v>
      </c>
      <c r="D16" s="193">
        <v>16</v>
      </c>
      <c r="E16" s="194">
        <v>39672</v>
      </c>
      <c r="F16" s="194">
        <f t="shared" si="0"/>
        <v>100</v>
      </c>
      <c r="G16" s="194">
        <f t="shared" si="1"/>
        <v>4760.6400000000003</v>
      </c>
      <c r="H16" s="195">
        <f t="shared" si="2"/>
        <v>39672</v>
      </c>
      <c r="I16" s="195">
        <f t="shared" si="3"/>
        <v>2000</v>
      </c>
      <c r="J16" s="195">
        <f t="shared" si="4"/>
        <v>1100</v>
      </c>
      <c r="K16" s="195">
        <f t="shared" si="21"/>
        <v>150</v>
      </c>
      <c r="L16" s="195">
        <f t="shared" si="22"/>
        <v>9918</v>
      </c>
      <c r="M16" s="195">
        <f t="shared" si="7"/>
        <v>52840</v>
      </c>
      <c r="N16" s="320">
        <v>12843.3</v>
      </c>
      <c r="O16" s="195">
        <f t="shared" si="8"/>
        <v>793.44</v>
      </c>
      <c r="P16" s="196">
        <f t="shared" si="9"/>
        <v>3570.48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>
        <f t="shared" si="10"/>
        <v>100</v>
      </c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>
        <f t="shared" si="11"/>
        <v>17307.22</v>
      </c>
      <c r="AM16" s="197">
        <f t="shared" si="12"/>
        <v>35532.78</v>
      </c>
      <c r="AN16" s="708"/>
      <c r="AO16" s="201"/>
      <c r="AP16" s="198"/>
      <c r="AQ16" s="202">
        <f t="shared" si="13"/>
        <v>0</v>
      </c>
      <c r="AR16" s="203">
        <f t="shared" si="14"/>
        <v>35532.78</v>
      </c>
      <c r="AS16" s="203"/>
      <c r="AT16" s="203"/>
      <c r="AU16" s="203">
        <f t="shared" si="15"/>
        <v>545.49</v>
      </c>
      <c r="AV16" s="204"/>
      <c r="AW16" s="204" t="str">
        <f t="shared" si="16"/>
        <v>25%</v>
      </c>
      <c r="AX16" s="205">
        <v>22</v>
      </c>
      <c r="AY16" s="203">
        <v>150</v>
      </c>
      <c r="AZ16" s="204">
        <v>22</v>
      </c>
      <c r="BA16" s="203">
        <v>50</v>
      </c>
      <c r="BB16" s="203">
        <f t="shared" si="17"/>
        <v>0</v>
      </c>
      <c r="BC16" s="203">
        <f t="shared" si="18"/>
        <v>1100</v>
      </c>
      <c r="BD16" s="205"/>
    </row>
    <row r="17" spans="1:58" s="207" customFormat="1" ht="35.1" customHeight="1" x14ac:dyDescent="0.25">
      <c r="A17" s="309" t="s">
        <v>196</v>
      </c>
      <c r="B17" s="200"/>
      <c r="C17" s="219" t="s">
        <v>232</v>
      </c>
      <c r="D17" s="193">
        <v>16</v>
      </c>
      <c r="E17" s="194">
        <v>39672</v>
      </c>
      <c r="F17" s="194">
        <f t="shared" si="0"/>
        <v>100</v>
      </c>
      <c r="G17" s="194">
        <f t="shared" si="1"/>
        <v>4760.6400000000003</v>
      </c>
      <c r="H17" s="195">
        <f t="shared" si="2"/>
        <v>39672</v>
      </c>
      <c r="I17" s="195">
        <f t="shared" si="3"/>
        <v>2000</v>
      </c>
      <c r="J17" s="195">
        <f t="shared" si="4"/>
        <v>1100</v>
      </c>
      <c r="K17" s="195">
        <f t="shared" si="21"/>
        <v>150</v>
      </c>
      <c r="L17" s="195">
        <f t="shared" si="22"/>
        <v>9918</v>
      </c>
      <c r="M17" s="195">
        <f t="shared" si="7"/>
        <v>52840</v>
      </c>
      <c r="N17" s="195">
        <v>12868.3</v>
      </c>
      <c r="O17" s="195">
        <f t="shared" si="8"/>
        <v>793.44</v>
      </c>
      <c r="P17" s="196">
        <f t="shared" si="9"/>
        <v>3570.48</v>
      </c>
      <c r="Q17" s="196"/>
      <c r="R17" s="196"/>
      <c r="S17" s="196"/>
      <c r="T17" s="196"/>
      <c r="U17" s="196"/>
      <c r="V17" s="196"/>
      <c r="W17" s="196"/>
      <c r="X17" s="196"/>
      <c r="Y17" s="196"/>
      <c r="Z17" s="196">
        <f t="shared" si="10"/>
        <v>100</v>
      </c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>
        <f t="shared" si="11"/>
        <v>17332.22</v>
      </c>
      <c r="AM17" s="197">
        <f t="shared" si="12"/>
        <v>35507.78</v>
      </c>
      <c r="AN17" s="708"/>
      <c r="AO17" s="201"/>
      <c r="AP17" s="198"/>
      <c r="AQ17" s="202">
        <f t="shared" si="13"/>
        <v>0</v>
      </c>
      <c r="AR17" s="203">
        <f t="shared" si="14"/>
        <v>35507.78</v>
      </c>
      <c r="AS17" s="203"/>
      <c r="AT17" s="203"/>
      <c r="AU17" s="203">
        <f t="shared" si="15"/>
        <v>545.49</v>
      </c>
      <c r="AV17" s="204"/>
      <c r="AW17" s="204" t="str">
        <f t="shared" si="16"/>
        <v>25%</v>
      </c>
      <c r="AX17" s="205">
        <v>22</v>
      </c>
      <c r="AY17" s="203">
        <v>150</v>
      </c>
      <c r="AZ17" s="204">
        <v>22</v>
      </c>
      <c r="BA17" s="203">
        <v>50</v>
      </c>
      <c r="BB17" s="203">
        <f t="shared" si="17"/>
        <v>0</v>
      </c>
      <c r="BC17" s="203">
        <f t="shared" si="18"/>
        <v>1100</v>
      </c>
      <c r="BD17" s="205"/>
    </row>
    <row r="18" spans="1:58" s="207" customFormat="1" ht="35.1" customHeight="1" x14ac:dyDescent="0.25">
      <c r="A18" s="309" t="s">
        <v>197</v>
      </c>
      <c r="B18" s="200"/>
      <c r="C18" s="322" t="s">
        <v>233</v>
      </c>
      <c r="D18" s="193">
        <v>16</v>
      </c>
      <c r="E18" s="194">
        <v>39672</v>
      </c>
      <c r="F18" s="233">
        <f t="shared" si="0"/>
        <v>100</v>
      </c>
      <c r="G18" s="233">
        <f t="shared" si="1"/>
        <v>4760.6400000000003</v>
      </c>
      <c r="H18" s="234">
        <f t="shared" si="2"/>
        <v>39672</v>
      </c>
      <c r="I18" s="234">
        <f t="shared" si="3"/>
        <v>2000</v>
      </c>
      <c r="J18" s="234">
        <f t="shared" si="4"/>
        <v>1100</v>
      </c>
      <c r="K18" s="234">
        <f t="shared" si="21"/>
        <v>150</v>
      </c>
      <c r="L18" s="234">
        <f t="shared" si="22"/>
        <v>9918</v>
      </c>
      <c r="M18" s="234">
        <f t="shared" si="7"/>
        <v>52840</v>
      </c>
      <c r="N18" s="234">
        <v>12818.3</v>
      </c>
      <c r="O18" s="234">
        <f t="shared" si="8"/>
        <v>793.44</v>
      </c>
      <c r="P18" s="233">
        <f t="shared" si="9"/>
        <v>3570.48</v>
      </c>
      <c r="Q18" s="233"/>
      <c r="R18" s="233"/>
      <c r="S18" s="233"/>
      <c r="T18" s="233"/>
      <c r="U18" s="233"/>
      <c r="V18" s="233"/>
      <c r="W18" s="233"/>
      <c r="X18" s="233"/>
      <c r="Y18" s="233"/>
      <c r="Z18" s="233">
        <f t="shared" si="10"/>
        <v>100</v>
      </c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>
        <f t="shared" si="11"/>
        <v>17282.22</v>
      </c>
      <c r="AM18" s="235">
        <f t="shared" si="12"/>
        <v>35557.78</v>
      </c>
      <c r="AN18" s="708"/>
      <c r="AO18" s="236"/>
      <c r="AP18" s="237"/>
      <c r="AQ18" s="238">
        <f t="shared" si="13"/>
        <v>0</v>
      </c>
      <c r="AR18" s="239">
        <f t="shared" si="14"/>
        <v>35557.78</v>
      </c>
      <c r="AS18" s="239"/>
      <c r="AT18" s="239"/>
      <c r="AU18" s="239">
        <f t="shared" si="15"/>
        <v>545.49</v>
      </c>
      <c r="AV18" s="205"/>
      <c r="AW18" s="205" t="str">
        <f t="shared" si="16"/>
        <v>25%</v>
      </c>
      <c r="AX18" s="205">
        <v>22</v>
      </c>
      <c r="AY18" s="239">
        <v>150</v>
      </c>
      <c r="AZ18" s="205">
        <v>22</v>
      </c>
      <c r="BA18" s="239">
        <v>50</v>
      </c>
      <c r="BB18" s="239">
        <f t="shared" si="17"/>
        <v>0</v>
      </c>
      <c r="BC18" s="239">
        <f t="shared" si="18"/>
        <v>1100</v>
      </c>
      <c r="BD18" s="205"/>
    </row>
    <row r="19" spans="1:58" s="207" customFormat="1" ht="35.1" customHeight="1" x14ac:dyDescent="0.25">
      <c r="A19" s="309" t="s">
        <v>198</v>
      </c>
      <c r="B19" s="200"/>
      <c r="C19" s="222" t="s">
        <v>234</v>
      </c>
      <c r="D19" s="193">
        <v>16</v>
      </c>
      <c r="E19" s="194">
        <v>39672</v>
      </c>
      <c r="F19" s="194">
        <f t="shared" si="0"/>
        <v>100</v>
      </c>
      <c r="G19" s="194">
        <f t="shared" si="1"/>
        <v>4760.6400000000003</v>
      </c>
      <c r="H19" s="195">
        <f t="shared" si="2"/>
        <v>39672</v>
      </c>
      <c r="I19" s="195">
        <f t="shared" si="3"/>
        <v>2000</v>
      </c>
      <c r="J19" s="195">
        <f t="shared" si="4"/>
        <v>1100</v>
      </c>
      <c r="K19" s="195">
        <f t="shared" si="21"/>
        <v>150</v>
      </c>
      <c r="L19" s="195">
        <f t="shared" si="22"/>
        <v>9918</v>
      </c>
      <c r="M19" s="195">
        <f t="shared" si="7"/>
        <v>52840</v>
      </c>
      <c r="N19" s="320">
        <v>12650.76</v>
      </c>
      <c r="O19" s="195">
        <f t="shared" si="8"/>
        <v>793.44</v>
      </c>
      <c r="P19" s="196">
        <f t="shared" si="9"/>
        <v>3570.48</v>
      </c>
      <c r="Q19" s="196"/>
      <c r="R19" s="196"/>
      <c r="S19" s="196"/>
      <c r="T19" s="196"/>
      <c r="U19" s="196"/>
      <c r="V19" s="196"/>
      <c r="W19" s="196"/>
      <c r="X19" s="196"/>
      <c r="Y19" s="196"/>
      <c r="Z19" s="196">
        <f t="shared" si="10"/>
        <v>100</v>
      </c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>
        <f t="shared" si="11"/>
        <v>17114.68</v>
      </c>
      <c r="AM19" s="197">
        <f t="shared" si="12"/>
        <v>35725.32</v>
      </c>
      <c r="AN19" s="708"/>
      <c r="AO19" s="201"/>
      <c r="AP19" s="198"/>
      <c r="AQ19" s="202">
        <f t="shared" si="13"/>
        <v>0</v>
      </c>
      <c r="AR19" s="203">
        <f t="shared" si="14"/>
        <v>35725.32</v>
      </c>
      <c r="AS19" s="203"/>
      <c r="AT19" s="203"/>
      <c r="AU19" s="203">
        <f t="shared" si="15"/>
        <v>545.49</v>
      </c>
      <c r="AV19" s="204"/>
      <c r="AW19" s="204" t="str">
        <f t="shared" si="16"/>
        <v>25%</v>
      </c>
      <c r="AX19" s="205">
        <v>22</v>
      </c>
      <c r="AY19" s="203">
        <v>150</v>
      </c>
      <c r="AZ19" s="204">
        <v>22</v>
      </c>
      <c r="BA19" s="203">
        <v>50</v>
      </c>
      <c r="BB19" s="203">
        <f t="shared" si="17"/>
        <v>0</v>
      </c>
      <c r="BC19" s="203">
        <f t="shared" si="18"/>
        <v>1100</v>
      </c>
      <c r="BD19" s="205"/>
    </row>
    <row r="20" spans="1:58" s="207" customFormat="1" ht="35.1" customHeight="1" x14ac:dyDescent="0.25">
      <c r="A20" s="309" t="s">
        <v>199</v>
      </c>
      <c r="B20" s="200"/>
      <c r="C20" s="219" t="s">
        <v>235</v>
      </c>
      <c r="D20" s="193">
        <v>16</v>
      </c>
      <c r="E20" s="194">
        <v>39672</v>
      </c>
      <c r="F20" s="194">
        <f t="shared" si="0"/>
        <v>100</v>
      </c>
      <c r="G20" s="194">
        <f t="shared" si="1"/>
        <v>4760.6400000000003</v>
      </c>
      <c r="H20" s="195">
        <f t="shared" si="2"/>
        <v>39672</v>
      </c>
      <c r="I20" s="195">
        <f t="shared" si="3"/>
        <v>2000</v>
      </c>
      <c r="J20" s="195">
        <f t="shared" si="4"/>
        <v>1100</v>
      </c>
      <c r="K20" s="195">
        <f t="shared" si="21"/>
        <v>150</v>
      </c>
      <c r="L20" s="195">
        <f t="shared" si="22"/>
        <v>9918</v>
      </c>
      <c r="M20" s="195">
        <f t="shared" si="7"/>
        <v>52840</v>
      </c>
      <c r="N20" s="195">
        <v>12568.3</v>
      </c>
      <c r="O20" s="195">
        <f t="shared" si="8"/>
        <v>793.44</v>
      </c>
      <c r="P20" s="196">
        <f t="shared" si="9"/>
        <v>3570.48</v>
      </c>
      <c r="Q20" s="196"/>
      <c r="R20" s="196"/>
      <c r="S20" s="196"/>
      <c r="T20" s="196"/>
      <c r="U20" s="196"/>
      <c r="V20" s="196"/>
      <c r="W20" s="196"/>
      <c r="X20" s="196"/>
      <c r="Y20" s="196"/>
      <c r="Z20" s="196">
        <f t="shared" si="10"/>
        <v>100</v>
      </c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>
        <f t="shared" si="11"/>
        <v>17032.22</v>
      </c>
      <c r="AM20" s="197">
        <f t="shared" si="12"/>
        <v>35807.78</v>
      </c>
      <c r="AN20" s="708"/>
      <c r="AO20" s="201"/>
      <c r="AP20" s="198"/>
      <c r="AQ20" s="202">
        <f t="shared" si="13"/>
        <v>0</v>
      </c>
      <c r="AR20" s="203">
        <f t="shared" si="14"/>
        <v>35807.78</v>
      </c>
      <c r="AS20" s="203"/>
      <c r="AT20" s="203"/>
      <c r="AU20" s="203">
        <f t="shared" si="15"/>
        <v>545.49</v>
      </c>
      <c r="AV20" s="204"/>
      <c r="AW20" s="204" t="str">
        <f t="shared" si="16"/>
        <v>25%</v>
      </c>
      <c r="AX20" s="205">
        <v>22</v>
      </c>
      <c r="AY20" s="203">
        <v>150</v>
      </c>
      <c r="AZ20" s="204">
        <v>22</v>
      </c>
      <c r="BA20" s="203">
        <v>50</v>
      </c>
      <c r="BB20" s="203">
        <f t="shared" si="17"/>
        <v>0</v>
      </c>
      <c r="BC20" s="203">
        <f t="shared" si="18"/>
        <v>1100</v>
      </c>
      <c r="BD20" s="205"/>
    </row>
    <row r="21" spans="1:58" s="207" customFormat="1" ht="35.1" customHeight="1" x14ac:dyDescent="0.25">
      <c r="A21" s="309" t="s">
        <v>200</v>
      </c>
      <c r="B21" s="200"/>
      <c r="C21" s="219" t="s">
        <v>236</v>
      </c>
      <c r="D21" s="193">
        <v>16</v>
      </c>
      <c r="E21" s="194">
        <v>39672</v>
      </c>
      <c r="F21" s="194">
        <f t="shared" si="0"/>
        <v>100</v>
      </c>
      <c r="G21" s="194">
        <f t="shared" si="1"/>
        <v>4760.6400000000003</v>
      </c>
      <c r="H21" s="195">
        <f t="shared" si="2"/>
        <v>39672</v>
      </c>
      <c r="I21" s="195">
        <f t="shared" si="3"/>
        <v>2000</v>
      </c>
      <c r="J21" s="195">
        <f t="shared" si="4"/>
        <v>1100</v>
      </c>
      <c r="K21" s="195">
        <f t="shared" si="21"/>
        <v>150</v>
      </c>
      <c r="L21" s="195">
        <f t="shared" si="22"/>
        <v>9918</v>
      </c>
      <c r="M21" s="195">
        <f t="shared" si="7"/>
        <v>52840</v>
      </c>
      <c r="N21" s="195">
        <v>12868.3</v>
      </c>
      <c r="O21" s="195">
        <f t="shared" si="8"/>
        <v>793.44</v>
      </c>
      <c r="P21" s="196">
        <f t="shared" si="9"/>
        <v>3570.48</v>
      </c>
      <c r="Q21" s="196"/>
      <c r="R21" s="196"/>
      <c r="S21" s="196"/>
      <c r="T21" s="196"/>
      <c r="U21" s="196"/>
      <c r="V21" s="196"/>
      <c r="W21" s="196"/>
      <c r="X21" s="196"/>
      <c r="Y21" s="196"/>
      <c r="Z21" s="196">
        <f t="shared" si="10"/>
        <v>100</v>
      </c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>
        <f t="shared" si="11"/>
        <v>17332.22</v>
      </c>
      <c r="AM21" s="197">
        <f t="shared" si="12"/>
        <v>35507.78</v>
      </c>
      <c r="AN21" s="708"/>
      <c r="AO21" s="201"/>
      <c r="AP21" s="198"/>
      <c r="AQ21" s="202">
        <f t="shared" si="13"/>
        <v>0</v>
      </c>
      <c r="AR21" s="203">
        <f t="shared" si="14"/>
        <v>35507.78</v>
      </c>
      <c r="AS21" s="203"/>
      <c r="AT21" s="203"/>
      <c r="AU21" s="203">
        <f t="shared" si="15"/>
        <v>545.49</v>
      </c>
      <c r="AV21" s="204"/>
      <c r="AW21" s="204" t="str">
        <f t="shared" si="16"/>
        <v>25%</v>
      </c>
      <c r="AX21" s="205">
        <v>22</v>
      </c>
      <c r="AY21" s="203">
        <v>150</v>
      </c>
      <c r="AZ21" s="204">
        <v>22</v>
      </c>
      <c r="BA21" s="203">
        <v>50</v>
      </c>
      <c r="BB21" s="203">
        <f t="shared" si="17"/>
        <v>0</v>
      </c>
      <c r="BC21" s="203">
        <f t="shared" si="18"/>
        <v>1100</v>
      </c>
      <c r="BD21" s="205"/>
    </row>
    <row r="22" spans="1:58" s="207" customFormat="1" ht="35.1" customHeight="1" x14ac:dyDescent="0.25">
      <c r="A22" s="309" t="s">
        <v>201</v>
      </c>
      <c r="B22" s="200"/>
      <c r="C22" s="219" t="s">
        <v>237</v>
      </c>
      <c r="D22" s="193">
        <v>16</v>
      </c>
      <c r="E22" s="194">
        <v>39672</v>
      </c>
      <c r="F22" s="194">
        <f t="shared" si="0"/>
        <v>100</v>
      </c>
      <c r="G22" s="194">
        <f t="shared" si="1"/>
        <v>4760.6400000000003</v>
      </c>
      <c r="H22" s="195">
        <f t="shared" si="2"/>
        <v>39672</v>
      </c>
      <c r="I22" s="195">
        <f t="shared" si="3"/>
        <v>2000</v>
      </c>
      <c r="J22" s="195">
        <f t="shared" si="4"/>
        <v>1100</v>
      </c>
      <c r="K22" s="195">
        <f t="shared" si="21"/>
        <v>150</v>
      </c>
      <c r="L22" s="195">
        <f t="shared" si="22"/>
        <v>9918</v>
      </c>
      <c r="M22" s="195">
        <f t="shared" si="7"/>
        <v>52840</v>
      </c>
      <c r="N22" s="320">
        <v>12693.3</v>
      </c>
      <c r="O22" s="195">
        <f t="shared" si="8"/>
        <v>793.44</v>
      </c>
      <c r="P22" s="196">
        <f t="shared" si="9"/>
        <v>3570.48</v>
      </c>
      <c r="Q22" s="196"/>
      <c r="R22" s="196"/>
      <c r="S22" s="196"/>
      <c r="T22" s="196"/>
      <c r="U22" s="196"/>
      <c r="V22" s="196"/>
      <c r="W22" s="196"/>
      <c r="X22" s="196"/>
      <c r="Y22" s="196"/>
      <c r="Z22" s="196">
        <f t="shared" si="10"/>
        <v>100</v>
      </c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>
        <f t="shared" si="11"/>
        <v>17157.22</v>
      </c>
      <c r="AM22" s="197">
        <f t="shared" si="12"/>
        <v>35682.78</v>
      </c>
      <c r="AN22" s="708"/>
      <c r="AO22" s="201"/>
      <c r="AP22" s="198"/>
      <c r="AQ22" s="202">
        <f t="shared" si="13"/>
        <v>0</v>
      </c>
      <c r="AR22" s="203">
        <f t="shared" si="14"/>
        <v>35682.78</v>
      </c>
      <c r="AS22" s="203"/>
      <c r="AT22" s="203"/>
      <c r="AU22" s="203">
        <f t="shared" si="15"/>
        <v>545.49</v>
      </c>
      <c r="AV22" s="204"/>
      <c r="AW22" s="204" t="str">
        <f t="shared" si="16"/>
        <v>25%</v>
      </c>
      <c r="AX22" s="205">
        <v>22</v>
      </c>
      <c r="AY22" s="203">
        <v>150</v>
      </c>
      <c r="AZ22" s="204">
        <v>22</v>
      </c>
      <c r="BA22" s="203">
        <v>50</v>
      </c>
      <c r="BB22" s="203">
        <f t="shared" si="17"/>
        <v>0</v>
      </c>
      <c r="BC22" s="203">
        <f t="shared" si="18"/>
        <v>1100</v>
      </c>
      <c r="BD22" s="205"/>
    </row>
    <row r="23" spans="1:58" s="207" customFormat="1" ht="35.1" customHeight="1" x14ac:dyDescent="0.25">
      <c r="A23" s="309" t="s">
        <v>202</v>
      </c>
      <c r="B23" s="200"/>
      <c r="C23" s="323" t="s">
        <v>238</v>
      </c>
      <c r="D23" s="193">
        <v>16</v>
      </c>
      <c r="E23" s="194">
        <v>39672</v>
      </c>
      <c r="F23" s="194">
        <f t="shared" si="0"/>
        <v>100</v>
      </c>
      <c r="G23" s="194">
        <f t="shared" si="1"/>
        <v>4760.6400000000003</v>
      </c>
      <c r="H23" s="195">
        <f t="shared" si="2"/>
        <v>39672</v>
      </c>
      <c r="I23" s="195">
        <f t="shared" si="3"/>
        <v>2000</v>
      </c>
      <c r="J23" s="195">
        <f t="shared" si="4"/>
        <v>1100</v>
      </c>
      <c r="K23" s="195">
        <f t="shared" si="21"/>
        <v>150</v>
      </c>
      <c r="L23" s="195">
        <f t="shared" si="22"/>
        <v>9918</v>
      </c>
      <c r="M23" s="195">
        <f t="shared" si="7"/>
        <v>52840</v>
      </c>
      <c r="N23" s="195">
        <v>12418.3</v>
      </c>
      <c r="O23" s="195">
        <f t="shared" si="8"/>
        <v>793.44</v>
      </c>
      <c r="P23" s="196">
        <f t="shared" si="9"/>
        <v>3570.48</v>
      </c>
      <c r="Q23" s="196"/>
      <c r="R23" s="196"/>
      <c r="S23" s="196"/>
      <c r="T23" s="196"/>
      <c r="U23" s="196"/>
      <c r="V23" s="196"/>
      <c r="W23" s="196"/>
      <c r="X23" s="196"/>
      <c r="Y23" s="196"/>
      <c r="Z23" s="196">
        <f t="shared" si="10"/>
        <v>100</v>
      </c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>
        <f t="shared" si="11"/>
        <v>16882.22</v>
      </c>
      <c r="AM23" s="197">
        <f t="shared" si="12"/>
        <v>35957.78</v>
      </c>
      <c r="AN23" s="708"/>
      <c r="AO23" s="201"/>
      <c r="AP23" s="198"/>
      <c r="AQ23" s="202">
        <f t="shared" si="13"/>
        <v>0</v>
      </c>
      <c r="AR23" s="203">
        <f t="shared" si="14"/>
        <v>35957.78</v>
      </c>
      <c r="AS23" s="203"/>
      <c r="AT23" s="203"/>
      <c r="AU23" s="203">
        <f t="shared" si="15"/>
        <v>545.49</v>
      </c>
      <c r="AV23" s="204"/>
      <c r="AW23" s="204" t="str">
        <f t="shared" si="16"/>
        <v>25%</v>
      </c>
      <c r="AX23" s="205">
        <v>22</v>
      </c>
      <c r="AY23" s="203">
        <v>150</v>
      </c>
      <c r="AZ23" s="204">
        <v>22</v>
      </c>
      <c r="BA23" s="203">
        <v>50</v>
      </c>
      <c r="BB23" s="203">
        <f t="shared" si="17"/>
        <v>0</v>
      </c>
      <c r="BC23" s="203">
        <f t="shared" si="18"/>
        <v>1100</v>
      </c>
      <c r="BD23" s="205"/>
    </row>
    <row r="24" spans="1:58" s="207" customFormat="1" ht="35.1" customHeight="1" x14ac:dyDescent="0.25">
      <c r="A24" s="309" t="s">
        <v>203</v>
      </c>
      <c r="B24" s="200"/>
      <c r="C24" s="219" t="s">
        <v>239</v>
      </c>
      <c r="D24" s="193">
        <v>16</v>
      </c>
      <c r="E24" s="194">
        <v>39672</v>
      </c>
      <c r="F24" s="233">
        <f t="shared" si="0"/>
        <v>100</v>
      </c>
      <c r="G24" s="233">
        <f t="shared" si="1"/>
        <v>4760.6400000000003</v>
      </c>
      <c r="H24" s="234">
        <f t="shared" si="2"/>
        <v>39672</v>
      </c>
      <c r="I24" s="234">
        <f t="shared" si="3"/>
        <v>2000</v>
      </c>
      <c r="J24" s="234">
        <f t="shared" si="4"/>
        <v>1100</v>
      </c>
      <c r="K24" s="234">
        <f t="shared" si="21"/>
        <v>150</v>
      </c>
      <c r="L24" s="234">
        <f t="shared" si="22"/>
        <v>9918</v>
      </c>
      <c r="M24" s="234">
        <f t="shared" si="7"/>
        <v>52840</v>
      </c>
      <c r="N24" s="234">
        <v>12868.3</v>
      </c>
      <c r="O24" s="195">
        <f t="shared" si="8"/>
        <v>793.44</v>
      </c>
      <c r="P24" s="233">
        <f t="shared" si="9"/>
        <v>3570.48</v>
      </c>
      <c r="Q24" s="233"/>
      <c r="R24" s="233"/>
      <c r="S24" s="233"/>
      <c r="T24" s="233"/>
      <c r="U24" s="233"/>
      <c r="V24" s="233"/>
      <c r="W24" s="233"/>
      <c r="X24" s="233"/>
      <c r="Y24" s="233"/>
      <c r="Z24" s="233">
        <f t="shared" si="10"/>
        <v>100</v>
      </c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>
        <f t="shared" si="11"/>
        <v>17332.22</v>
      </c>
      <c r="AM24" s="235">
        <f t="shared" si="12"/>
        <v>35507.78</v>
      </c>
      <c r="AN24" s="708"/>
      <c r="AO24" s="236"/>
      <c r="AP24" s="237"/>
      <c r="AQ24" s="238">
        <f t="shared" si="13"/>
        <v>0</v>
      </c>
      <c r="AR24" s="239">
        <f t="shared" si="14"/>
        <v>35507.78</v>
      </c>
      <c r="AS24" s="239"/>
      <c r="AT24" s="239"/>
      <c r="AU24" s="239">
        <f t="shared" si="15"/>
        <v>545.49</v>
      </c>
      <c r="AV24" s="205"/>
      <c r="AW24" s="205" t="str">
        <f t="shared" si="16"/>
        <v>25%</v>
      </c>
      <c r="AX24" s="205">
        <v>22</v>
      </c>
      <c r="AY24" s="239">
        <v>150</v>
      </c>
      <c r="AZ24" s="205">
        <v>22</v>
      </c>
      <c r="BA24" s="239">
        <v>50</v>
      </c>
      <c r="BB24" s="239">
        <f t="shared" si="17"/>
        <v>0</v>
      </c>
      <c r="BC24" s="239">
        <f t="shared" si="18"/>
        <v>1100</v>
      </c>
      <c r="BD24" s="205"/>
    </row>
    <row r="25" spans="1:58" s="207" customFormat="1" ht="35.1" customHeight="1" x14ac:dyDescent="0.25">
      <c r="A25" s="309" t="s">
        <v>204</v>
      </c>
      <c r="B25" s="200"/>
      <c r="C25" s="219" t="s">
        <v>240</v>
      </c>
      <c r="D25" s="193">
        <v>16</v>
      </c>
      <c r="E25" s="194">
        <v>39672</v>
      </c>
      <c r="F25" s="194">
        <f t="shared" si="0"/>
        <v>100</v>
      </c>
      <c r="G25" s="194">
        <f t="shared" si="1"/>
        <v>4760.6400000000003</v>
      </c>
      <c r="H25" s="195">
        <f t="shared" si="2"/>
        <v>39672</v>
      </c>
      <c r="I25" s="195">
        <f t="shared" si="3"/>
        <v>2000</v>
      </c>
      <c r="J25" s="195">
        <f t="shared" si="4"/>
        <v>1100</v>
      </c>
      <c r="K25" s="195">
        <f t="shared" si="21"/>
        <v>150</v>
      </c>
      <c r="L25" s="195">
        <f t="shared" si="22"/>
        <v>9918</v>
      </c>
      <c r="M25" s="195">
        <f t="shared" si="7"/>
        <v>52840</v>
      </c>
      <c r="N25" s="195">
        <v>12843.3</v>
      </c>
      <c r="O25" s="195">
        <f t="shared" si="8"/>
        <v>793.44</v>
      </c>
      <c r="P25" s="196">
        <f t="shared" si="9"/>
        <v>3570.48</v>
      </c>
      <c r="Q25" s="196"/>
      <c r="R25" s="196"/>
      <c r="S25" s="196"/>
      <c r="T25" s="196"/>
      <c r="U25" s="196"/>
      <c r="V25" s="196"/>
      <c r="W25" s="196"/>
      <c r="X25" s="196"/>
      <c r="Y25" s="196"/>
      <c r="Z25" s="196">
        <f t="shared" si="10"/>
        <v>100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>
        <f t="shared" si="11"/>
        <v>17307.22</v>
      </c>
      <c r="AM25" s="197">
        <f t="shared" si="12"/>
        <v>35532.78</v>
      </c>
      <c r="AN25" s="708"/>
      <c r="AO25" s="201"/>
      <c r="AP25" s="198"/>
      <c r="AQ25" s="202">
        <f t="shared" si="13"/>
        <v>0</v>
      </c>
      <c r="AR25" s="203">
        <f t="shared" si="14"/>
        <v>35532.78</v>
      </c>
      <c r="AS25" s="203"/>
      <c r="AT25" s="203"/>
      <c r="AU25" s="203">
        <f t="shared" si="15"/>
        <v>545.49</v>
      </c>
      <c r="AV25" s="204"/>
      <c r="AW25" s="204" t="str">
        <f t="shared" si="16"/>
        <v>25%</v>
      </c>
      <c r="AX25" s="205">
        <v>22</v>
      </c>
      <c r="AY25" s="203">
        <v>150</v>
      </c>
      <c r="AZ25" s="204">
        <v>22</v>
      </c>
      <c r="BA25" s="203">
        <v>50</v>
      </c>
      <c r="BB25" s="203">
        <f t="shared" si="17"/>
        <v>0</v>
      </c>
      <c r="BC25" s="203">
        <f t="shared" si="18"/>
        <v>1100</v>
      </c>
      <c r="BD25" s="205"/>
    </row>
    <row r="26" spans="1:58" s="207" customFormat="1" ht="35.1" customHeight="1" x14ac:dyDescent="0.25">
      <c r="A26" s="309" t="s">
        <v>205</v>
      </c>
      <c r="B26" s="200"/>
      <c r="C26" s="219" t="s">
        <v>241</v>
      </c>
      <c r="D26" s="193">
        <v>16</v>
      </c>
      <c r="E26" s="194">
        <v>39672</v>
      </c>
      <c r="F26" s="194">
        <f t="shared" si="0"/>
        <v>100</v>
      </c>
      <c r="G26" s="194">
        <f t="shared" si="1"/>
        <v>4760.6400000000003</v>
      </c>
      <c r="H26" s="195">
        <f t="shared" si="2"/>
        <v>39672</v>
      </c>
      <c r="I26" s="195">
        <f t="shared" si="3"/>
        <v>2000</v>
      </c>
      <c r="J26" s="195">
        <f t="shared" si="4"/>
        <v>1100</v>
      </c>
      <c r="K26" s="195">
        <f t="shared" si="21"/>
        <v>150</v>
      </c>
      <c r="L26" s="195">
        <f t="shared" si="22"/>
        <v>9918</v>
      </c>
      <c r="M26" s="195">
        <f t="shared" si="7"/>
        <v>52840</v>
      </c>
      <c r="N26" s="195">
        <v>12568.3</v>
      </c>
      <c r="O26" s="195">
        <f t="shared" si="8"/>
        <v>793.44</v>
      </c>
      <c r="P26" s="196">
        <f t="shared" si="9"/>
        <v>3570.48</v>
      </c>
      <c r="Q26" s="196"/>
      <c r="R26" s="196"/>
      <c r="S26" s="196"/>
      <c r="T26" s="196"/>
      <c r="U26" s="196"/>
      <c r="V26" s="196"/>
      <c r="W26" s="196"/>
      <c r="X26" s="196"/>
      <c r="Y26" s="196"/>
      <c r="Z26" s="196">
        <f t="shared" si="10"/>
        <v>100</v>
      </c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>
        <f t="shared" si="11"/>
        <v>17032.22</v>
      </c>
      <c r="AM26" s="197">
        <f t="shared" si="12"/>
        <v>35807.78</v>
      </c>
      <c r="AN26" s="708"/>
      <c r="AO26" s="201"/>
      <c r="AP26" s="198"/>
      <c r="AQ26" s="202">
        <f t="shared" si="13"/>
        <v>0</v>
      </c>
      <c r="AR26" s="203">
        <f t="shared" si="14"/>
        <v>35807.78</v>
      </c>
      <c r="AS26" s="203"/>
      <c r="AT26" s="203"/>
      <c r="AU26" s="203">
        <f t="shared" si="15"/>
        <v>545.49</v>
      </c>
      <c r="AV26" s="204"/>
      <c r="AW26" s="204" t="str">
        <f t="shared" si="16"/>
        <v>25%</v>
      </c>
      <c r="AX26" s="205">
        <v>22</v>
      </c>
      <c r="AY26" s="203">
        <v>150</v>
      </c>
      <c r="AZ26" s="204">
        <v>22</v>
      </c>
      <c r="BA26" s="203">
        <v>50</v>
      </c>
      <c r="BB26" s="203">
        <f t="shared" si="17"/>
        <v>0</v>
      </c>
      <c r="BC26" s="203">
        <f t="shared" si="18"/>
        <v>1100</v>
      </c>
      <c r="BD26" s="205"/>
    </row>
    <row r="27" spans="1:58" s="207" customFormat="1" ht="35.1" customHeight="1" x14ac:dyDescent="0.25">
      <c r="A27" s="309" t="s">
        <v>206</v>
      </c>
      <c r="B27" s="200"/>
      <c r="C27" s="222" t="s">
        <v>242</v>
      </c>
      <c r="D27" s="193">
        <v>16</v>
      </c>
      <c r="E27" s="194">
        <v>39672</v>
      </c>
      <c r="F27" s="194">
        <f t="shared" si="0"/>
        <v>100</v>
      </c>
      <c r="G27" s="194">
        <f t="shared" si="1"/>
        <v>4760.6400000000003</v>
      </c>
      <c r="H27" s="195">
        <f t="shared" si="2"/>
        <v>39672</v>
      </c>
      <c r="I27" s="195">
        <f t="shared" si="3"/>
        <v>2000</v>
      </c>
      <c r="J27" s="195">
        <f t="shared" si="4"/>
        <v>1100</v>
      </c>
      <c r="K27" s="195">
        <f t="shared" si="21"/>
        <v>150</v>
      </c>
      <c r="L27" s="195">
        <f t="shared" si="22"/>
        <v>9918</v>
      </c>
      <c r="M27" s="195">
        <f t="shared" si="7"/>
        <v>52840</v>
      </c>
      <c r="N27" s="195">
        <v>12868.3</v>
      </c>
      <c r="O27" s="195">
        <f t="shared" si="8"/>
        <v>793.44</v>
      </c>
      <c r="P27" s="196">
        <f t="shared" si="9"/>
        <v>3570.48</v>
      </c>
      <c r="Q27" s="196"/>
      <c r="R27" s="196"/>
      <c r="S27" s="196"/>
      <c r="T27" s="196"/>
      <c r="U27" s="196"/>
      <c r="V27" s="196"/>
      <c r="W27" s="196"/>
      <c r="X27" s="196"/>
      <c r="Y27" s="196"/>
      <c r="Z27" s="196">
        <f t="shared" si="10"/>
        <v>100</v>
      </c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>
        <f t="shared" si="11"/>
        <v>17332.22</v>
      </c>
      <c r="AM27" s="197">
        <f t="shared" si="12"/>
        <v>35507.78</v>
      </c>
      <c r="AN27" s="708"/>
      <c r="AO27" s="201"/>
      <c r="AP27" s="198"/>
      <c r="AQ27" s="202">
        <f t="shared" si="13"/>
        <v>0</v>
      </c>
      <c r="AR27" s="203">
        <f t="shared" si="14"/>
        <v>35507.78</v>
      </c>
      <c r="AS27" s="203"/>
      <c r="AT27" s="203"/>
      <c r="AU27" s="203">
        <f t="shared" si="15"/>
        <v>545.49</v>
      </c>
      <c r="AV27" s="204"/>
      <c r="AW27" s="204" t="str">
        <f t="shared" si="16"/>
        <v>25%</v>
      </c>
      <c r="AX27" s="205">
        <v>22</v>
      </c>
      <c r="AY27" s="203">
        <v>150</v>
      </c>
      <c r="AZ27" s="204">
        <v>22</v>
      </c>
      <c r="BA27" s="203">
        <v>50</v>
      </c>
      <c r="BB27" s="203">
        <f t="shared" si="17"/>
        <v>0</v>
      </c>
      <c r="BC27" s="203">
        <f t="shared" si="18"/>
        <v>1100</v>
      </c>
      <c r="BD27" s="205"/>
    </row>
    <row r="28" spans="1:58" s="207" customFormat="1" ht="35.1" customHeight="1" x14ac:dyDescent="0.25">
      <c r="A28" s="309" t="s">
        <v>207</v>
      </c>
      <c r="B28" s="200"/>
      <c r="C28" s="219" t="s">
        <v>243</v>
      </c>
      <c r="D28" s="193">
        <v>16</v>
      </c>
      <c r="E28" s="194">
        <v>39672</v>
      </c>
      <c r="F28" s="194">
        <f t="shared" si="0"/>
        <v>100</v>
      </c>
      <c r="G28" s="194">
        <f t="shared" si="1"/>
        <v>4760.6400000000003</v>
      </c>
      <c r="H28" s="234">
        <f t="shared" si="2"/>
        <v>39672</v>
      </c>
      <c r="I28" s="234">
        <f t="shared" si="3"/>
        <v>2000</v>
      </c>
      <c r="J28" s="234">
        <f t="shared" si="4"/>
        <v>1100</v>
      </c>
      <c r="K28" s="234">
        <f t="shared" si="21"/>
        <v>150</v>
      </c>
      <c r="L28" s="234">
        <f t="shared" si="22"/>
        <v>9918</v>
      </c>
      <c r="M28" s="234">
        <f t="shared" si="7"/>
        <v>52840</v>
      </c>
      <c r="N28" s="195">
        <v>12868.3</v>
      </c>
      <c r="O28" s="195">
        <f t="shared" si="8"/>
        <v>793.44</v>
      </c>
      <c r="P28" s="233">
        <f t="shared" si="9"/>
        <v>3570.48</v>
      </c>
      <c r="Q28" s="196"/>
      <c r="R28" s="196"/>
      <c r="S28" s="196"/>
      <c r="T28" s="196"/>
      <c r="U28" s="196"/>
      <c r="V28" s="196"/>
      <c r="W28" s="196"/>
      <c r="X28" s="196"/>
      <c r="Y28" s="196"/>
      <c r="Z28" s="233">
        <f t="shared" si="10"/>
        <v>100</v>
      </c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233">
        <f t="shared" si="11"/>
        <v>17332.22</v>
      </c>
      <c r="AM28" s="235">
        <f t="shared" si="12"/>
        <v>35507.78</v>
      </c>
      <c r="AN28" s="708"/>
      <c r="AO28" s="236"/>
      <c r="AP28" s="237"/>
      <c r="AQ28" s="238">
        <f t="shared" si="13"/>
        <v>0</v>
      </c>
      <c r="AR28" s="239">
        <f t="shared" si="14"/>
        <v>35507.78</v>
      </c>
      <c r="AS28" s="239"/>
      <c r="AT28" s="239"/>
      <c r="AU28" s="239">
        <f t="shared" si="15"/>
        <v>545.49</v>
      </c>
      <c r="AV28" s="205"/>
      <c r="AW28" s="205" t="str">
        <f t="shared" si="16"/>
        <v>25%</v>
      </c>
      <c r="AX28" s="205">
        <v>22</v>
      </c>
      <c r="AY28" s="239">
        <v>150</v>
      </c>
      <c r="AZ28" s="205">
        <v>22</v>
      </c>
      <c r="BA28" s="239">
        <v>50</v>
      </c>
      <c r="BB28" s="239">
        <f t="shared" si="17"/>
        <v>0</v>
      </c>
      <c r="BC28" s="239">
        <f t="shared" si="18"/>
        <v>1100</v>
      </c>
      <c r="BD28" s="205"/>
    </row>
    <row r="29" spans="1:58" s="698" customFormat="1" ht="33.75" customHeight="1" x14ac:dyDescent="0.25">
      <c r="A29" s="693"/>
      <c r="B29" s="694"/>
      <c r="C29" s="695" t="s">
        <v>214</v>
      </c>
      <c r="D29" s="696"/>
      <c r="E29" s="697">
        <f>ROUND(SUM(E9:E28),2)</f>
        <v>793440</v>
      </c>
      <c r="F29" s="697">
        <f t="shared" ref="F29:BD29" si="23">ROUND(SUM(F9:F28),2)</f>
        <v>2000</v>
      </c>
      <c r="G29" s="697">
        <f t="shared" si="23"/>
        <v>95212.800000000003</v>
      </c>
      <c r="H29" s="697">
        <f t="shared" si="23"/>
        <v>793440</v>
      </c>
      <c r="I29" s="697">
        <f t="shared" si="23"/>
        <v>40000</v>
      </c>
      <c r="J29" s="697">
        <f t="shared" si="23"/>
        <v>21750</v>
      </c>
      <c r="K29" s="697">
        <f t="shared" si="23"/>
        <v>3000</v>
      </c>
      <c r="L29" s="697">
        <f t="shared" si="23"/>
        <v>198360</v>
      </c>
      <c r="M29" s="697">
        <f>ROUND(SUM(M9:M28),2)</f>
        <v>1056550</v>
      </c>
      <c r="N29" s="697">
        <f t="shared" si="23"/>
        <v>247800.82</v>
      </c>
      <c r="O29" s="697">
        <f t="shared" si="23"/>
        <v>15868.8</v>
      </c>
      <c r="P29" s="697">
        <f t="shared" si="23"/>
        <v>71409.600000000006</v>
      </c>
      <c r="Q29" s="697">
        <f t="shared" si="23"/>
        <v>0</v>
      </c>
      <c r="R29" s="697">
        <f t="shared" si="23"/>
        <v>0</v>
      </c>
      <c r="S29" s="697">
        <f t="shared" si="23"/>
        <v>0</v>
      </c>
      <c r="T29" s="697">
        <f t="shared" si="23"/>
        <v>0</v>
      </c>
      <c r="U29" s="697">
        <f t="shared" si="23"/>
        <v>0</v>
      </c>
      <c r="V29" s="697">
        <f t="shared" si="23"/>
        <v>0</v>
      </c>
      <c r="W29" s="697">
        <f t="shared" si="23"/>
        <v>0</v>
      </c>
      <c r="X29" s="697">
        <f t="shared" si="23"/>
        <v>0</v>
      </c>
      <c r="Y29" s="697">
        <f t="shared" si="23"/>
        <v>0</v>
      </c>
      <c r="Z29" s="697">
        <f t="shared" si="23"/>
        <v>2000</v>
      </c>
      <c r="AA29" s="697">
        <f t="shared" si="23"/>
        <v>0</v>
      </c>
      <c r="AB29" s="697">
        <f t="shared" si="23"/>
        <v>0</v>
      </c>
      <c r="AC29" s="697">
        <f t="shared" si="23"/>
        <v>0</v>
      </c>
      <c r="AD29" s="697">
        <f t="shared" si="23"/>
        <v>0</v>
      </c>
      <c r="AE29" s="697">
        <f t="shared" si="23"/>
        <v>0</v>
      </c>
      <c r="AF29" s="697">
        <f t="shared" si="23"/>
        <v>0</v>
      </c>
      <c r="AG29" s="697">
        <f t="shared" si="23"/>
        <v>0</v>
      </c>
      <c r="AH29" s="697">
        <f t="shared" si="23"/>
        <v>0</v>
      </c>
      <c r="AI29" s="697">
        <f t="shared" si="23"/>
        <v>0</v>
      </c>
      <c r="AJ29" s="697">
        <f t="shared" si="23"/>
        <v>0</v>
      </c>
      <c r="AK29" s="697">
        <f t="shared" si="23"/>
        <v>0</v>
      </c>
      <c r="AL29" s="697">
        <f t="shared" si="23"/>
        <v>337079.22</v>
      </c>
      <c r="AM29" s="697">
        <f t="shared" si="23"/>
        <v>719470.78</v>
      </c>
      <c r="AN29" s="711">
        <f t="shared" si="23"/>
        <v>0</v>
      </c>
      <c r="AO29" s="697">
        <f t="shared" si="23"/>
        <v>0</v>
      </c>
      <c r="AP29" s="697">
        <f t="shared" si="23"/>
        <v>0</v>
      </c>
      <c r="AQ29" s="697">
        <f t="shared" si="23"/>
        <v>0</v>
      </c>
      <c r="AR29" s="697">
        <f t="shared" si="23"/>
        <v>719470.78</v>
      </c>
      <c r="AS29" s="697">
        <f t="shared" si="23"/>
        <v>0</v>
      </c>
      <c r="AT29" s="697">
        <f t="shared" si="23"/>
        <v>0</v>
      </c>
      <c r="AU29" s="697">
        <f t="shared" si="23"/>
        <v>10909.8</v>
      </c>
      <c r="AV29" s="697">
        <f t="shared" si="23"/>
        <v>0</v>
      </c>
      <c r="AW29" s="697">
        <f t="shared" si="23"/>
        <v>0</v>
      </c>
      <c r="AX29" s="697">
        <f t="shared" si="23"/>
        <v>440</v>
      </c>
      <c r="AY29" s="697">
        <f t="shared" si="23"/>
        <v>3000</v>
      </c>
      <c r="AZ29" s="697">
        <f t="shared" si="23"/>
        <v>440</v>
      </c>
      <c r="BA29" s="697">
        <f t="shared" si="23"/>
        <v>1000</v>
      </c>
      <c r="BB29" s="697">
        <f t="shared" si="23"/>
        <v>250</v>
      </c>
      <c r="BC29" s="697">
        <f t="shared" si="23"/>
        <v>22000</v>
      </c>
      <c r="BD29" s="697">
        <f t="shared" si="23"/>
        <v>5</v>
      </c>
      <c r="BE29" s="697"/>
      <c r="BF29" s="697"/>
    </row>
    <row r="30" spans="1:58" s="207" customFormat="1" ht="35.1" customHeight="1" x14ac:dyDescent="0.25">
      <c r="A30" s="309" t="s">
        <v>318</v>
      </c>
      <c r="B30" s="200"/>
      <c r="C30" s="219" t="s">
        <v>244</v>
      </c>
      <c r="D30" s="193">
        <v>16</v>
      </c>
      <c r="E30" s="194">
        <v>39672</v>
      </c>
      <c r="F30" s="194">
        <f>IF(H30&gt;0,100,0)</f>
        <v>100</v>
      </c>
      <c r="G30" s="194">
        <f>+ROUND(H30*12%,2)</f>
        <v>4760.6400000000003</v>
      </c>
      <c r="H30" s="195">
        <f>ROUND(IF(AX30&gt;22,0,IF(AX30=22,E30,IF(AX30&lt;22,E30*(AX30/AZ30),IF(OR(AX30=0,AX30=" ")=TRUE,0)))),2)</f>
        <v>39672</v>
      </c>
      <c r="I30" s="195">
        <f>ROUND(IF(AND(H30&gt;0,AX30=22)=TRUE,2000,IF(AND(H30&gt;0,AX30&lt;22,AX30&gt;0)=TRUE,2000*(AX30/AZ30),IF(AX30&lt;0,0,0))),2)</f>
        <v>2000</v>
      </c>
      <c r="J30" s="195">
        <f>IF(H30&gt;0,BC30-BB30,0)</f>
        <v>1100</v>
      </c>
      <c r="K30" s="195">
        <f>IF(AND(H30&gt;0,AX30&gt;11)=TRUE,150,0)</f>
        <v>150</v>
      </c>
      <c r="L30" s="195">
        <f>ROUND(IF(AND($H30&gt;0,AX30&gt;11)=TRUE,$AW30*$E30,0),2)</f>
        <v>9918</v>
      </c>
      <c r="M30" s="195">
        <f>ROUND(SUM(H30:L30),2)</f>
        <v>52840</v>
      </c>
      <c r="N30" s="320">
        <v>12868.3</v>
      </c>
      <c r="O30" s="195">
        <f>E30*0.04/2</f>
        <v>793.44</v>
      </c>
      <c r="P30" s="196">
        <f>ROUND($H30*9%,2)</f>
        <v>3570.48</v>
      </c>
      <c r="Q30" s="196"/>
      <c r="R30" s="196"/>
      <c r="S30" s="196"/>
      <c r="T30" s="196"/>
      <c r="U30" s="196"/>
      <c r="V30" s="196"/>
      <c r="W30" s="196"/>
      <c r="X30" s="196"/>
      <c r="Y30" s="196"/>
      <c r="Z30" s="196">
        <f>ROUND(IF(H30&gt;0,100,0),2)</f>
        <v>100</v>
      </c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>
        <f>SUM(N30:AK30)</f>
        <v>17332.22</v>
      </c>
      <c r="AM30" s="197">
        <f>ROUND(M30-AL30,2)</f>
        <v>35507.78</v>
      </c>
      <c r="AN30" s="708"/>
      <c r="AO30" s="201"/>
      <c r="AP30" s="198"/>
      <c r="AQ30" s="202">
        <f>SUM(AO30:AP30)</f>
        <v>0</v>
      </c>
      <c r="AR30" s="203">
        <f>+AM30-AQ30</f>
        <v>35507.78</v>
      </c>
      <c r="AS30" s="203"/>
      <c r="AT30" s="203"/>
      <c r="AU30" s="203">
        <f>IF(E30=0,0,IF(E30&lt;=10000,137.5,IF(AND(E30&gt;10000,E30&lt;40000)=TRUE,E30*2.75%*50%,IF(E30&gt;=40000,550,0))))</f>
        <v>545.49</v>
      </c>
      <c r="AV30" s="204"/>
      <c r="AW30" s="204" t="str">
        <f>IF(AND($D30&gt;=1,$D30&lt;=19)=TRUE,"25%",IF($D30=20,"15%",IF($D30=21,"13%",IF($D30=22,"12%",IF($D30=23,"11%",IF(OR($D30=24,$D30=25)=TRUE,"10%",IF($D30=26,"9%",IF($D30=27,"8%",IF($D30=28,"7%",IF(OR($D30=29,$D30=30)=TRUE,"6%",IF($D30=31,"5%","0%")))))))))))</f>
        <v>25%</v>
      </c>
      <c r="AX30" s="205">
        <v>22</v>
      </c>
      <c r="AY30" s="203">
        <v>150</v>
      </c>
      <c r="AZ30" s="204">
        <v>22</v>
      </c>
      <c r="BA30" s="203">
        <v>50</v>
      </c>
      <c r="BB30" s="203">
        <f>IF(AX30&gt;0,(AZ30-AX30+BD30)*BA30,0)</f>
        <v>0</v>
      </c>
      <c r="BC30" s="203">
        <f>IF(AX30&gt;0,1100,0)</f>
        <v>1100</v>
      </c>
      <c r="BD30" s="205"/>
    </row>
    <row r="31" spans="1:58" s="207" customFormat="1" ht="35.1" customHeight="1" x14ac:dyDescent="0.25">
      <c r="A31" s="309" t="s">
        <v>319</v>
      </c>
      <c r="B31" s="200"/>
      <c r="C31" s="232" t="s">
        <v>245</v>
      </c>
      <c r="D31" s="193">
        <v>16</v>
      </c>
      <c r="E31" s="194">
        <v>39672</v>
      </c>
      <c r="F31" s="233">
        <f t="shared" ref="F31:F49" si="24">IF(H31&gt;0,100,0)</f>
        <v>100</v>
      </c>
      <c r="G31" s="233">
        <f t="shared" ref="G31:G49" si="25">+ROUND(H31*12%,2)</f>
        <v>4760.6400000000003</v>
      </c>
      <c r="H31" s="234">
        <f t="shared" ref="H31:H49" si="26">ROUND(IF(AX31&gt;22,0,IF(AX31=22,E31,IF(AX31&lt;22,E31*(AX31/AZ31),IF(OR(AX31=0,AX31=" ")=TRUE,0)))),2)</f>
        <v>39672</v>
      </c>
      <c r="I31" s="234">
        <f t="shared" ref="I31:I49" si="27">ROUND(IF(AND(H31&gt;0,AX31=22)=TRUE,2000,IF(AND(H31&gt;0,AX31&lt;22,AX31&gt;0)=TRUE,2000*(AX31/AZ31),IF(AX31&lt;0,0,0))),2)</f>
        <v>2000</v>
      </c>
      <c r="J31" s="234">
        <f t="shared" ref="J31:J49" si="28">IF(H31&gt;0,BC31-BB31,0)</f>
        <v>1100</v>
      </c>
      <c r="K31" s="234">
        <f t="shared" ref="K31:K49" si="29">IF(AND(H31&gt;0,AX31&gt;11)=TRUE,150,0)</f>
        <v>150</v>
      </c>
      <c r="L31" s="234">
        <f t="shared" ref="L31:L49" si="30">ROUND(IF(AND($H31&gt;0,AX31&gt;11)=TRUE,$AW31*$E31,0),2)</f>
        <v>9918</v>
      </c>
      <c r="M31" s="234">
        <f>ROUND(SUM(H31:L31),2)</f>
        <v>52840</v>
      </c>
      <c r="N31" s="234">
        <v>12868.3</v>
      </c>
      <c r="O31" s="234">
        <f t="shared" ref="O31:O49" si="31">E31*0.04/2</f>
        <v>793.44</v>
      </c>
      <c r="P31" s="233">
        <f t="shared" ref="P31:P49" si="32">ROUND($H31*9%,2)</f>
        <v>3570.48</v>
      </c>
      <c r="Q31" s="233"/>
      <c r="R31" s="233"/>
      <c r="S31" s="233"/>
      <c r="T31" s="233"/>
      <c r="U31" s="233"/>
      <c r="V31" s="233"/>
      <c r="W31" s="233"/>
      <c r="X31" s="233"/>
      <c r="Y31" s="233"/>
      <c r="Z31" s="233">
        <f t="shared" ref="Z31:Z49" si="33">ROUND(IF(H31&gt;0,100,0),2)</f>
        <v>100</v>
      </c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>
        <f t="shared" ref="AL31:AL49" si="34">SUM(N31:AK31)</f>
        <v>17332.22</v>
      </c>
      <c r="AM31" s="235">
        <f t="shared" ref="AM31:AM49" si="35">ROUND(M31-AL31,2)</f>
        <v>35507.78</v>
      </c>
      <c r="AN31" s="708"/>
      <c r="AO31" s="236"/>
      <c r="AP31" s="237"/>
      <c r="AQ31" s="238">
        <f t="shared" ref="AQ31:AQ49" si="36">SUM(AO31:AP31)</f>
        <v>0</v>
      </c>
      <c r="AR31" s="239">
        <f t="shared" ref="AR31:AR49" si="37">+AM31-AQ31</f>
        <v>35507.78</v>
      </c>
      <c r="AS31" s="239"/>
      <c r="AT31" s="239"/>
      <c r="AU31" s="239">
        <f t="shared" ref="AU31:AU49" si="38">IF(E31=0,0,IF(E31&lt;=10000,137.5,IF(AND(E31&gt;10000,E31&lt;40000)=TRUE,E31*2.75%*50%,IF(E31&gt;=40000,550,0))))</f>
        <v>545.49</v>
      </c>
      <c r="AV31" s="205"/>
      <c r="AW31" s="205" t="str">
        <f t="shared" ref="AW31:AW49" si="39">IF(AND($D31&gt;=1,$D31&lt;=19)=TRUE,"25%",IF($D31=20,"15%",IF($D31=21,"13%",IF($D31=22,"12%",IF($D31=23,"11%",IF(OR($D31=24,$D31=25)=TRUE,"10%",IF($D31=26,"9%",IF($D31=27,"8%",IF($D31=28,"7%",IF(OR($D31=29,$D31=30)=TRUE,"6%",IF($D31=31,"5%","0%")))))))))))</f>
        <v>25%</v>
      </c>
      <c r="AX31" s="205">
        <v>22</v>
      </c>
      <c r="AY31" s="239">
        <v>150</v>
      </c>
      <c r="AZ31" s="205">
        <v>22</v>
      </c>
      <c r="BA31" s="239">
        <v>50</v>
      </c>
      <c r="BB31" s="239">
        <f t="shared" ref="BB31:BB49" si="40">IF(AX31&gt;0,(AZ31-AX31+BD31)*BA31,0)</f>
        <v>0</v>
      </c>
      <c r="BC31" s="239">
        <f t="shared" ref="BC31:BC49" si="41">IF(AX31&gt;0,1100,0)</f>
        <v>1100</v>
      </c>
      <c r="BD31" s="205"/>
    </row>
    <row r="32" spans="1:58" s="207" customFormat="1" ht="35.1" customHeight="1" x14ac:dyDescent="0.25">
      <c r="A32" s="309" t="s">
        <v>320</v>
      </c>
      <c r="B32" s="200"/>
      <c r="C32" s="222" t="s">
        <v>308</v>
      </c>
      <c r="D32" s="193">
        <v>16</v>
      </c>
      <c r="E32" s="194">
        <v>39672</v>
      </c>
      <c r="F32" s="194">
        <f t="shared" si="24"/>
        <v>100</v>
      </c>
      <c r="G32" s="194">
        <f t="shared" si="25"/>
        <v>4760.6400000000003</v>
      </c>
      <c r="H32" s="195">
        <f t="shared" si="26"/>
        <v>39672</v>
      </c>
      <c r="I32" s="195">
        <f t="shared" si="27"/>
        <v>2000</v>
      </c>
      <c r="J32" s="195">
        <f t="shared" si="28"/>
        <v>1100</v>
      </c>
      <c r="K32" s="195">
        <f t="shared" si="29"/>
        <v>150</v>
      </c>
      <c r="L32" s="195">
        <f t="shared" si="30"/>
        <v>9918</v>
      </c>
      <c r="M32" s="195">
        <f t="shared" ref="M32:M49" si="42">ROUND(SUM(H32:L32),2)</f>
        <v>52840</v>
      </c>
      <c r="N32" s="195">
        <v>12868.3</v>
      </c>
      <c r="O32" s="195">
        <f t="shared" si="31"/>
        <v>793.44</v>
      </c>
      <c r="P32" s="196">
        <f t="shared" si="32"/>
        <v>3570.48</v>
      </c>
      <c r="Q32" s="196"/>
      <c r="R32" s="196"/>
      <c r="S32" s="196"/>
      <c r="T32" s="196"/>
      <c r="U32" s="196"/>
      <c r="V32" s="196"/>
      <c r="W32" s="196"/>
      <c r="X32" s="196"/>
      <c r="Y32" s="196"/>
      <c r="Z32" s="196">
        <f t="shared" si="33"/>
        <v>100</v>
      </c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>
        <f t="shared" si="34"/>
        <v>17332.22</v>
      </c>
      <c r="AM32" s="197">
        <f t="shared" si="35"/>
        <v>35507.78</v>
      </c>
      <c r="AN32" s="708"/>
      <c r="AO32" s="201"/>
      <c r="AP32" s="198"/>
      <c r="AQ32" s="202">
        <f t="shared" si="36"/>
        <v>0</v>
      </c>
      <c r="AR32" s="203">
        <f t="shared" si="37"/>
        <v>35507.78</v>
      </c>
      <c r="AS32" s="203"/>
      <c r="AT32" s="203"/>
      <c r="AU32" s="203">
        <f t="shared" si="38"/>
        <v>545.49</v>
      </c>
      <c r="AV32" s="204"/>
      <c r="AW32" s="204" t="str">
        <f t="shared" si="39"/>
        <v>25%</v>
      </c>
      <c r="AX32" s="205">
        <v>22</v>
      </c>
      <c r="AY32" s="203">
        <v>150</v>
      </c>
      <c r="AZ32" s="204">
        <v>22</v>
      </c>
      <c r="BA32" s="203">
        <v>50</v>
      </c>
      <c r="BB32" s="203">
        <f t="shared" si="40"/>
        <v>0</v>
      </c>
      <c r="BC32" s="203">
        <f t="shared" si="41"/>
        <v>1100</v>
      </c>
      <c r="BD32" s="205"/>
    </row>
    <row r="33" spans="1:56" s="207" customFormat="1" ht="35.1" customHeight="1" x14ac:dyDescent="0.25">
      <c r="A33" s="309" t="s">
        <v>321</v>
      </c>
      <c r="B33" s="200"/>
      <c r="C33" s="222" t="s">
        <v>246</v>
      </c>
      <c r="D33" s="193">
        <v>16</v>
      </c>
      <c r="E33" s="194">
        <v>39672</v>
      </c>
      <c r="F33" s="194">
        <f t="shared" si="24"/>
        <v>100</v>
      </c>
      <c r="G33" s="194">
        <f t="shared" si="25"/>
        <v>4760.6400000000003</v>
      </c>
      <c r="H33" s="195">
        <f t="shared" si="26"/>
        <v>39672</v>
      </c>
      <c r="I33" s="195">
        <f t="shared" si="27"/>
        <v>2000</v>
      </c>
      <c r="J33" s="195">
        <f t="shared" si="28"/>
        <v>1100</v>
      </c>
      <c r="K33" s="195">
        <f t="shared" si="29"/>
        <v>150</v>
      </c>
      <c r="L33" s="195">
        <f t="shared" si="30"/>
        <v>9918</v>
      </c>
      <c r="M33" s="195">
        <f t="shared" si="42"/>
        <v>52840</v>
      </c>
      <c r="N33" s="320">
        <v>12868.3</v>
      </c>
      <c r="O33" s="195">
        <f t="shared" si="31"/>
        <v>793.44</v>
      </c>
      <c r="P33" s="196">
        <f t="shared" si="32"/>
        <v>3570.48</v>
      </c>
      <c r="Q33" s="196"/>
      <c r="R33" s="196"/>
      <c r="S33" s="196"/>
      <c r="T33" s="196"/>
      <c r="U33" s="196"/>
      <c r="V33" s="196"/>
      <c r="W33" s="196"/>
      <c r="X33" s="196"/>
      <c r="Y33" s="196"/>
      <c r="Z33" s="196">
        <f t="shared" si="33"/>
        <v>100</v>
      </c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>
        <f t="shared" si="34"/>
        <v>17332.22</v>
      </c>
      <c r="AM33" s="197">
        <f t="shared" si="35"/>
        <v>35507.78</v>
      </c>
      <c r="AN33" s="708"/>
      <c r="AO33" s="201"/>
      <c r="AP33" s="198"/>
      <c r="AQ33" s="202">
        <f t="shared" si="36"/>
        <v>0</v>
      </c>
      <c r="AR33" s="203">
        <f t="shared" si="37"/>
        <v>35507.78</v>
      </c>
      <c r="AS33" s="203"/>
      <c r="AT33" s="203"/>
      <c r="AU33" s="203">
        <f t="shared" si="38"/>
        <v>545.49</v>
      </c>
      <c r="AV33" s="204"/>
      <c r="AW33" s="204" t="str">
        <f t="shared" si="39"/>
        <v>25%</v>
      </c>
      <c r="AX33" s="205">
        <v>22</v>
      </c>
      <c r="AY33" s="203">
        <v>150</v>
      </c>
      <c r="AZ33" s="204">
        <v>22</v>
      </c>
      <c r="BA33" s="203">
        <v>50</v>
      </c>
      <c r="BB33" s="203">
        <f t="shared" si="40"/>
        <v>0</v>
      </c>
      <c r="BC33" s="203">
        <f t="shared" si="41"/>
        <v>1100</v>
      </c>
      <c r="BD33" s="205"/>
    </row>
    <row r="34" spans="1:56" s="207" customFormat="1" ht="35.1" customHeight="1" x14ac:dyDescent="0.25">
      <c r="A34" s="309" t="s">
        <v>322</v>
      </c>
      <c r="B34" s="200"/>
      <c r="C34" s="219" t="s">
        <v>247</v>
      </c>
      <c r="D34" s="193">
        <v>16</v>
      </c>
      <c r="E34" s="194">
        <v>39672</v>
      </c>
      <c r="F34" s="194">
        <f t="shared" si="24"/>
        <v>100</v>
      </c>
      <c r="G34" s="194">
        <f t="shared" si="25"/>
        <v>4760.6400000000003</v>
      </c>
      <c r="H34" s="195">
        <f t="shared" si="26"/>
        <v>39672</v>
      </c>
      <c r="I34" s="195">
        <f t="shared" si="27"/>
        <v>2000</v>
      </c>
      <c r="J34" s="195">
        <f t="shared" si="28"/>
        <v>1050</v>
      </c>
      <c r="K34" s="195">
        <f t="shared" si="29"/>
        <v>150</v>
      </c>
      <c r="L34" s="195">
        <f t="shared" si="30"/>
        <v>9918</v>
      </c>
      <c r="M34" s="195">
        <f t="shared" si="42"/>
        <v>52790</v>
      </c>
      <c r="N34" s="195">
        <v>12868.3</v>
      </c>
      <c r="O34" s="195">
        <f t="shared" si="31"/>
        <v>793.44</v>
      </c>
      <c r="P34" s="196">
        <f t="shared" si="32"/>
        <v>3570.48</v>
      </c>
      <c r="Q34" s="196"/>
      <c r="R34" s="196"/>
      <c r="S34" s="196"/>
      <c r="T34" s="196"/>
      <c r="U34" s="196"/>
      <c r="V34" s="196"/>
      <c r="W34" s="196"/>
      <c r="X34" s="196"/>
      <c r="Y34" s="196"/>
      <c r="Z34" s="196">
        <f t="shared" si="33"/>
        <v>100</v>
      </c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>
        <f t="shared" si="34"/>
        <v>17332.22</v>
      </c>
      <c r="AM34" s="197">
        <f t="shared" si="35"/>
        <v>35457.78</v>
      </c>
      <c r="AN34" s="708" t="s">
        <v>357</v>
      </c>
      <c r="AO34" s="201"/>
      <c r="AP34" s="198"/>
      <c r="AQ34" s="202">
        <f t="shared" si="36"/>
        <v>0</v>
      </c>
      <c r="AR34" s="203">
        <f t="shared" si="37"/>
        <v>35457.78</v>
      </c>
      <c r="AS34" s="203"/>
      <c r="AT34" s="203"/>
      <c r="AU34" s="203">
        <f t="shared" si="38"/>
        <v>545.49</v>
      </c>
      <c r="AV34" s="204"/>
      <c r="AW34" s="204" t="str">
        <f t="shared" si="39"/>
        <v>25%</v>
      </c>
      <c r="AX34" s="205">
        <v>22</v>
      </c>
      <c r="AY34" s="203">
        <v>150</v>
      </c>
      <c r="AZ34" s="204">
        <v>22</v>
      </c>
      <c r="BA34" s="203">
        <v>50</v>
      </c>
      <c r="BB34" s="203">
        <f t="shared" si="40"/>
        <v>50</v>
      </c>
      <c r="BC34" s="203">
        <f t="shared" si="41"/>
        <v>1100</v>
      </c>
      <c r="BD34" s="205">
        <v>1</v>
      </c>
    </row>
    <row r="35" spans="1:56" s="207" customFormat="1" ht="35.1" customHeight="1" x14ac:dyDescent="0.25">
      <c r="A35" s="309" t="s">
        <v>323</v>
      </c>
      <c r="B35" s="200"/>
      <c r="C35" s="219" t="s">
        <v>248</v>
      </c>
      <c r="D35" s="193">
        <v>16</v>
      </c>
      <c r="E35" s="194">
        <v>39672</v>
      </c>
      <c r="F35" s="194">
        <f t="shared" si="24"/>
        <v>100</v>
      </c>
      <c r="G35" s="194">
        <f t="shared" si="25"/>
        <v>4760.6400000000003</v>
      </c>
      <c r="H35" s="234">
        <f t="shared" si="26"/>
        <v>39672</v>
      </c>
      <c r="I35" s="234">
        <f t="shared" si="27"/>
        <v>2000</v>
      </c>
      <c r="J35" s="234">
        <f t="shared" si="28"/>
        <v>1100</v>
      </c>
      <c r="K35" s="234">
        <f t="shared" si="29"/>
        <v>150</v>
      </c>
      <c r="L35" s="234">
        <f t="shared" si="30"/>
        <v>9918</v>
      </c>
      <c r="M35" s="234">
        <f t="shared" si="42"/>
        <v>52840</v>
      </c>
      <c r="N35" s="234">
        <v>12818.3</v>
      </c>
      <c r="O35" s="195">
        <f t="shared" si="31"/>
        <v>793.44</v>
      </c>
      <c r="P35" s="233">
        <f t="shared" si="32"/>
        <v>3570.48</v>
      </c>
      <c r="Q35" s="196"/>
      <c r="R35" s="196"/>
      <c r="S35" s="196"/>
      <c r="T35" s="196"/>
      <c r="U35" s="196"/>
      <c r="V35" s="196"/>
      <c r="W35" s="196"/>
      <c r="X35" s="196"/>
      <c r="Y35" s="196"/>
      <c r="Z35" s="233">
        <f t="shared" si="33"/>
        <v>100</v>
      </c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233">
        <f t="shared" si="34"/>
        <v>17282.22</v>
      </c>
      <c r="AM35" s="235">
        <f t="shared" si="35"/>
        <v>35557.78</v>
      </c>
      <c r="AN35" s="708"/>
      <c r="AO35" s="236"/>
      <c r="AP35" s="237"/>
      <c r="AQ35" s="238">
        <f t="shared" si="36"/>
        <v>0</v>
      </c>
      <c r="AR35" s="239">
        <f t="shared" si="37"/>
        <v>35557.78</v>
      </c>
      <c r="AS35" s="239"/>
      <c r="AT35" s="239"/>
      <c r="AU35" s="239">
        <f t="shared" si="38"/>
        <v>545.49</v>
      </c>
      <c r="AV35" s="205"/>
      <c r="AW35" s="205" t="str">
        <f t="shared" si="39"/>
        <v>25%</v>
      </c>
      <c r="AX35" s="205">
        <v>22</v>
      </c>
      <c r="AY35" s="239">
        <v>150</v>
      </c>
      <c r="AZ35" s="205">
        <v>22</v>
      </c>
      <c r="BA35" s="239">
        <v>50</v>
      </c>
      <c r="BB35" s="239">
        <f t="shared" si="40"/>
        <v>0</v>
      </c>
      <c r="BC35" s="239">
        <f t="shared" si="41"/>
        <v>1100</v>
      </c>
      <c r="BD35" s="205"/>
    </row>
    <row r="36" spans="1:56" s="207" customFormat="1" ht="35.1" customHeight="1" x14ac:dyDescent="0.25">
      <c r="A36" s="309" t="s">
        <v>324</v>
      </c>
      <c r="B36" s="200"/>
      <c r="C36" s="219" t="s">
        <v>249</v>
      </c>
      <c r="D36" s="193">
        <v>16</v>
      </c>
      <c r="E36" s="194">
        <v>39672</v>
      </c>
      <c r="F36" s="194">
        <f t="shared" si="24"/>
        <v>100</v>
      </c>
      <c r="G36" s="194">
        <f t="shared" si="25"/>
        <v>4760.6400000000003</v>
      </c>
      <c r="H36" s="195">
        <f t="shared" si="26"/>
        <v>39672</v>
      </c>
      <c r="I36" s="195">
        <f t="shared" si="27"/>
        <v>2000</v>
      </c>
      <c r="J36" s="195">
        <f t="shared" si="28"/>
        <v>1100</v>
      </c>
      <c r="K36" s="195">
        <f t="shared" si="29"/>
        <v>150</v>
      </c>
      <c r="L36" s="195">
        <f t="shared" si="30"/>
        <v>9918</v>
      </c>
      <c r="M36" s="195">
        <f t="shared" si="42"/>
        <v>52840</v>
      </c>
      <c r="N36" s="195">
        <v>12868.3</v>
      </c>
      <c r="O36" s="195">
        <f t="shared" si="31"/>
        <v>793.44</v>
      </c>
      <c r="P36" s="196">
        <f t="shared" si="32"/>
        <v>3570.48</v>
      </c>
      <c r="Q36" s="196"/>
      <c r="R36" s="196"/>
      <c r="S36" s="196"/>
      <c r="T36" s="196"/>
      <c r="U36" s="196"/>
      <c r="V36" s="196"/>
      <c r="W36" s="196"/>
      <c r="X36" s="196"/>
      <c r="Y36" s="196"/>
      <c r="Z36" s="196">
        <f t="shared" si="33"/>
        <v>100</v>
      </c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>
        <f t="shared" si="34"/>
        <v>17332.22</v>
      </c>
      <c r="AM36" s="197">
        <f t="shared" si="35"/>
        <v>35507.78</v>
      </c>
      <c r="AN36" s="708"/>
      <c r="AO36" s="201"/>
      <c r="AP36" s="198"/>
      <c r="AQ36" s="202">
        <f t="shared" si="36"/>
        <v>0</v>
      </c>
      <c r="AR36" s="203">
        <f t="shared" si="37"/>
        <v>35507.78</v>
      </c>
      <c r="AS36" s="203"/>
      <c r="AT36" s="203"/>
      <c r="AU36" s="203">
        <f t="shared" si="38"/>
        <v>545.49</v>
      </c>
      <c r="AV36" s="204"/>
      <c r="AW36" s="204" t="str">
        <f t="shared" si="39"/>
        <v>25%</v>
      </c>
      <c r="AX36" s="205">
        <v>22</v>
      </c>
      <c r="AY36" s="203">
        <v>150</v>
      </c>
      <c r="AZ36" s="204">
        <v>22</v>
      </c>
      <c r="BA36" s="203">
        <v>50</v>
      </c>
      <c r="BB36" s="203">
        <f t="shared" si="40"/>
        <v>0</v>
      </c>
      <c r="BC36" s="203">
        <f t="shared" si="41"/>
        <v>1100</v>
      </c>
      <c r="BD36" s="205"/>
    </row>
    <row r="37" spans="1:56" s="207" customFormat="1" ht="35.1" customHeight="1" x14ac:dyDescent="0.25">
      <c r="A37" s="309" t="s">
        <v>325</v>
      </c>
      <c r="B37" s="200"/>
      <c r="C37" s="240" t="s">
        <v>306</v>
      </c>
      <c r="D37" s="193">
        <v>16</v>
      </c>
      <c r="E37" s="194">
        <v>39672</v>
      </c>
      <c r="F37" s="194">
        <f t="shared" si="24"/>
        <v>100</v>
      </c>
      <c r="G37" s="194">
        <f t="shared" si="25"/>
        <v>4760.6400000000003</v>
      </c>
      <c r="H37" s="195">
        <f t="shared" si="26"/>
        <v>39672</v>
      </c>
      <c r="I37" s="195">
        <f t="shared" si="27"/>
        <v>2000</v>
      </c>
      <c r="J37" s="195">
        <f t="shared" si="28"/>
        <v>1100</v>
      </c>
      <c r="K37" s="195">
        <f t="shared" si="29"/>
        <v>150</v>
      </c>
      <c r="L37" s="195">
        <f t="shared" si="30"/>
        <v>9918</v>
      </c>
      <c r="M37" s="195">
        <f t="shared" si="42"/>
        <v>52840</v>
      </c>
      <c r="N37" s="195">
        <v>12843.3</v>
      </c>
      <c r="O37" s="195">
        <f t="shared" si="31"/>
        <v>793.44</v>
      </c>
      <c r="P37" s="196">
        <f t="shared" si="32"/>
        <v>3570.48</v>
      </c>
      <c r="Q37" s="196"/>
      <c r="R37" s="196"/>
      <c r="S37" s="196"/>
      <c r="T37" s="196"/>
      <c r="U37" s="196"/>
      <c r="V37" s="196"/>
      <c r="W37" s="196"/>
      <c r="X37" s="196"/>
      <c r="Y37" s="196"/>
      <c r="Z37" s="196">
        <f t="shared" si="33"/>
        <v>100</v>
      </c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>
        <f t="shared" si="34"/>
        <v>17307.22</v>
      </c>
      <c r="AM37" s="197">
        <f t="shared" si="35"/>
        <v>35532.78</v>
      </c>
      <c r="AN37" s="708"/>
      <c r="AO37" s="201"/>
      <c r="AP37" s="198"/>
      <c r="AQ37" s="202">
        <f t="shared" si="36"/>
        <v>0</v>
      </c>
      <c r="AR37" s="203">
        <f t="shared" si="37"/>
        <v>35532.78</v>
      </c>
      <c r="AS37" s="203"/>
      <c r="AT37" s="203"/>
      <c r="AU37" s="203">
        <f t="shared" si="38"/>
        <v>545.49</v>
      </c>
      <c r="AV37" s="204"/>
      <c r="AW37" s="204" t="str">
        <f t="shared" si="39"/>
        <v>25%</v>
      </c>
      <c r="AX37" s="205">
        <v>22</v>
      </c>
      <c r="AY37" s="203">
        <v>150</v>
      </c>
      <c r="AZ37" s="204">
        <v>22</v>
      </c>
      <c r="BA37" s="203">
        <v>50</v>
      </c>
      <c r="BB37" s="203">
        <f t="shared" si="40"/>
        <v>0</v>
      </c>
      <c r="BC37" s="203">
        <f t="shared" si="41"/>
        <v>1100</v>
      </c>
      <c r="BD37" s="205"/>
    </row>
    <row r="38" spans="1:56" s="207" customFormat="1" ht="35.1" customHeight="1" x14ac:dyDescent="0.25">
      <c r="A38" s="309" t="s">
        <v>326</v>
      </c>
      <c r="B38" s="200"/>
      <c r="C38" s="219" t="s">
        <v>309</v>
      </c>
      <c r="D38" s="193">
        <v>16</v>
      </c>
      <c r="E38" s="194">
        <v>39672</v>
      </c>
      <c r="F38" s="194">
        <f t="shared" si="24"/>
        <v>100</v>
      </c>
      <c r="G38" s="194">
        <f t="shared" si="25"/>
        <v>4760.6400000000003</v>
      </c>
      <c r="H38" s="195">
        <f t="shared" si="26"/>
        <v>39672</v>
      </c>
      <c r="I38" s="195">
        <f t="shared" si="27"/>
        <v>2000</v>
      </c>
      <c r="J38" s="195">
        <f t="shared" si="28"/>
        <v>1100</v>
      </c>
      <c r="K38" s="195">
        <f t="shared" si="29"/>
        <v>150</v>
      </c>
      <c r="L38" s="195">
        <f t="shared" si="30"/>
        <v>9918</v>
      </c>
      <c r="M38" s="195">
        <f t="shared" si="42"/>
        <v>52840</v>
      </c>
      <c r="N38" s="320">
        <v>11668.3</v>
      </c>
      <c r="O38" s="195">
        <f t="shared" si="31"/>
        <v>793.44</v>
      </c>
      <c r="P38" s="196">
        <f t="shared" si="32"/>
        <v>3570.48</v>
      </c>
      <c r="Q38" s="196"/>
      <c r="R38" s="196"/>
      <c r="S38" s="196"/>
      <c r="T38" s="196"/>
      <c r="U38" s="196"/>
      <c r="V38" s="196"/>
      <c r="W38" s="196"/>
      <c r="X38" s="196"/>
      <c r="Y38" s="196"/>
      <c r="Z38" s="196">
        <f t="shared" si="33"/>
        <v>100</v>
      </c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>
        <f t="shared" si="34"/>
        <v>16132.22</v>
      </c>
      <c r="AM38" s="197">
        <f t="shared" si="35"/>
        <v>36707.78</v>
      </c>
      <c r="AN38" s="708"/>
      <c r="AO38" s="201"/>
      <c r="AP38" s="198"/>
      <c r="AQ38" s="202">
        <f t="shared" si="36"/>
        <v>0</v>
      </c>
      <c r="AR38" s="203">
        <f t="shared" si="37"/>
        <v>36707.78</v>
      </c>
      <c r="AS38" s="203"/>
      <c r="AT38" s="203"/>
      <c r="AU38" s="203">
        <f t="shared" si="38"/>
        <v>545.49</v>
      </c>
      <c r="AV38" s="204"/>
      <c r="AW38" s="204" t="str">
        <f t="shared" si="39"/>
        <v>25%</v>
      </c>
      <c r="AX38" s="205">
        <v>22</v>
      </c>
      <c r="AY38" s="203">
        <v>150</v>
      </c>
      <c r="AZ38" s="204">
        <v>22</v>
      </c>
      <c r="BA38" s="203">
        <v>50</v>
      </c>
      <c r="BB38" s="203">
        <f t="shared" si="40"/>
        <v>0</v>
      </c>
      <c r="BC38" s="203">
        <f t="shared" si="41"/>
        <v>1100</v>
      </c>
      <c r="BD38" s="205"/>
    </row>
    <row r="39" spans="1:56" s="207" customFormat="1" ht="35.1" customHeight="1" x14ac:dyDescent="0.25">
      <c r="A39" s="309" t="s">
        <v>327</v>
      </c>
      <c r="B39" s="200"/>
      <c r="C39" s="240" t="s">
        <v>250</v>
      </c>
      <c r="D39" s="193">
        <v>16</v>
      </c>
      <c r="E39" s="194">
        <v>39672</v>
      </c>
      <c r="F39" s="194">
        <f t="shared" si="24"/>
        <v>100</v>
      </c>
      <c r="G39" s="194">
        <f t="shared" si="25"/>
        <v>4760.6400000000003</v>
      </c>
      <c r="H39" s="234">
        <f t="shared" si="26"/>
        <v>39672</v>
      </c>
      <c r="I39" s="234">
        <f t="shared" si="27"/>
        <v>2000</v>
      </c>
      <c r="J39" s="234">
        <f t="shared" si="28"/>
        <v>1100</v>
      </c>
      <c r="K39" s="234">
        <f t="shared" si="29"/>
        <v>150</v>
      </c>
      <c r="L39" s="234">
        <f t="shared" si="30"/>
        <v>9918</v>
      </c>
      <c r="M39" s="234">
        <f t="shared" si="42"/>
        <v>52840</v>
      </c>
      <c r="N39" s="234">
        <v>12868.3</v>
      </c>
      <c r="O39" s="195">
        <f t="shared" si="31"/>
        <v>793.44</v>
      </c>
      <c r="P39" s="233">
        <f t="shared" si="32"/>
        <v>3570.48</v>
      </c>
      <c r="Q39" s="196"/>
      <c r="R39" s="196"/>
      <c r="S39" s="196"/>
      <c r="T39" s="196"/>
      <c r="U39" s="196"/>
      <c r="V39" s="196"/>
      <c r="W39" s="196"/>
      <c r="X39" s="196"/>
      <c r="Y39" s="196"/>
      <c r="Z39" s="233">
        <f t="shared" si="33"/>
        <v>100</v>
      </c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233">
        <f t="shared" si="34"/>
        <v>17332.22</v>
      </c>
      <c r="AM39" s="235">
        <f t="shared" si="35"/>
        <v>35507.78</v>
      </c>
      <c r="AN39" s="708"/>
      <c r="AO39" s="236"/>
      <c r="AP39" s="237"/>
      <c r="AQ39" s="238">
        <f t="shared" si="36"/>
        <v>0</v>
      </c>
      <c r="AR39" s="239">
        <f t="shared" si="37"/>
        <v>35507.78</v>
      </c>
      <c r="AS39" s="239"/>
      <c r="AT39" s="239"/>
      <c r="AU39" s="239">
        <f t="shared" si="38"/>
        <v>545.49</v>
      </c>
      <c r="AV39" s="205"/>
      <c r="AW39" s="205" t="str">
        <f t="shared" si="39"/>
        <v>25%</v>
      </c>
      <c r="AX39" s="205">
        <v>22</v>
      </c>
      <c r="AY39" s="239">
        <v>150</v>
      </c>
      <c r="AZ39" s="205">
        <v>22</v>
      </c>
      <c r="BA39" s="239">
        <v>50</v>
      </c>
      <c r="BB39" s="239">
        <f t="shared" si="40"/>
        <v>0</v>
      </c>
      <c r="BC39" s="239">
        <f t="shared" si="41"/>
        <v>1100</v>
      </c>
      <c r="BD39" s="205"/>
    </row>
    <row r="40" spans="1:56" s="207" customFormat="1" ht="35.1" customHeight="1" x14ac:dyDescent="0.25">
      <c r="A40" s="309" t="s">
        <v>328</v>
      </c>
      <c r="B40" s="200"/>
      <c r="C40" s="219" t="s">
        <v>251</v>
      </c>
      <c r="D40" s="193">
        <v>16</v>
      </c>
      <c r="E40" s="194">
        <v>39672</v>
      </c>
      <c r="F40" s="194">
        <f t="shared" si="24"/>
        <v>100</v>
      </c>
      <c r="G40" s="194">
        <f t="shared" si="25"/>
        <v>4760.6400000000003</v>
      </c>
      <c r="H40" s="195">
        <f t="shared" si="26"/>
        <v>39672</v>
      </c>
      <c r="I40" s="195">
        <f t="shared" si="27"/>
        <v>2000</v>
      </c>
      <c r="J40" s="195">
        <f t="shared" si="28"/>
        <v>1100</v>
      </c>
      <c r="K40" s="195">
        <f t="shared" si="29"/>
        <v>150</v>
      </c>
      <c r="L40" s="195">
        <f t="shared" si="30"/>
        <v>9918</v>
      </c>
      <c r="M40" s="195">
        <f t="shared" si="42"/>
        <v>52840</v>
      </c>
      <c r="N40" s="195">
        <v>11968.3</v>
      </c>
      <c r="O40" s="195">
        <f t="shared" si="31"/>
        <v>793.44</v>
      </c>
      <c r="P40" s="196">
        <f t="shared" si="32"/>
        <v>3570.48</v>
      </c>
      <c r="Q40" s="196"/>
      <c r="R40" s="196"/>
      <c r="S40" s="196"/>
      <c r="T40" s="196"/>
      <c r="U40" s="196"/>
      <c r="V40" s="196"/>
      <c r="W40" s="196"/>
      <c r="X40" s="196"/>
      <c r="Y40" s="196"/>
      <c r="Z40" s="196">
        <f t="shared" si="33"/>
        <v>100</v>
      </c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>
        <f t="shared" si="34"/>
        <v>16432.22</v>
      </c>
      <c r="AM40" s="197">
        <f t="shared" si="35"/>
        <v>36407.78</v>
      </c>
      <c r="AN40" s="708"/>
      <c r="AO40" s="201"/>
      <c r="AP40" s="198"/>
      <c r="AQ40" s="202">
        <f t="shared" si="36"/>
        <v>0</v>
      </c>
      <c r="AR40" s="203">
        <f t="shared" si="37"/>
        <v>36407.78</v>
      </c>
      <c r="AS40" s="203"/>
      <c r="AT40" s="203"/>
      <c r="AU40" s="203">
        <f t="shared" si="38"/>
        <v>545.49</v>
      </c>
      <c r="AV40" s="204"/>
      <c r="AW40" s="204" t="str">
        <f t="shared" si="39"/>
        <v>25%</v>
      </c>
      <c r="AX40" s="205">
        <v>22</v>
      </c>
      <c r="AY40" s="203">
        <v>150</v>
      </c>
      <c r="AZ40" s="204">
        <v>22</v>
      </c>
      <c r="BA40" s="203">
        <v>50</v>
      </c>
      <c r="BB40" s="203">
        <f t="shared" si="40"/>
        <v>0</v>
      </c>
      <c r="BC40" s="203">
        <f t="shared" si="41"/>
        <v>1100</v>
      </c>
      <c r="BD40" s="205"/>
    </row>
    <row r="41" spans="1:56" s="207" customFormat="1" ht="35.1" customHeight="1" x14ac:dyDescent="0.25">
      <c r="A41" s="309" t="s">
        <v>329</v>
      </c>
      <c r="B41" s="200"/>
      <c r="C41" s="219" t="s">
        <v>252</v>
      </c>
      <c r="D41" s="193">
        <v>16</v>
      </c>
      <c r="E41" s="194">
        <v>39672</v>
      </c>
      <c r="F41" s="194">
        <f t="shared" si="24"/>
        <v>100</v>
      </c>
      <c r="G41" s="194">
        <f t="shared" si="25"/>
        <v>4760.6400000000003</v>
      </c>
      <c r="H41" s="195">
        <f t="shared" si="26"/>
        <v>39672</v>
      </c>
      <c r="I41" s="195">
        <f t="shared" si="27"/>
        <v>2000</v>
      </c>
      <c r="J41" s="195">
        <f t="shared" si="28"/>
        <v>1100</v>
      </c>
      <c r="K41" s="195">
        <f t="shared" si="29"/>
        <v>150</v>
      </c>
      <c r="L41" s="195">
        <f t="shared" si="30"/>
        <v>9918</v>
      </c>
      <c r="M41" s="195">
        <f t="shared" si="42"/>
        <v>52840</v>
      </c>
      <c r="N41" s="195">
        <v>12525.38</v>
      </c>
      <c r="O41" s="195">
        <f t="shared" si="31"/>
        <v>793.44</v>
      </c>
      <c r="P41" s="196">
        <f t="shared" si="32"/>
        <v>3570.48</v>
      </c>
      <c r="Q41" s="196"/>
      <c r="R41" s="196"/>
      <c r="S41" s="196"/>
      <c r="T41" s="196"/>
      <c r="U41" s="196"/>
      <c r="V41" s="196"/>
      <c r="W41" s="196"/>
      <c r="X41" s="196"/>
      <c r="Y41" s="196"/>
      <c r="Z41" s="196">
        <f t="shared" si="33"/>
        <v>100</v>
      </c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>
        <f t="shared" si="34"/>
        <v>16989.3</v>
      </c>
      <c r="AM41" s="197">
        <f t="shared" si="35"/>
        <v>35850.699999999997</v>
      </c>
      <c r="AN41" s="708"/>
      <c r="AO41" s="201"/>
      <c r="AP41" s="198"/>
      <c r="AQ41" s="202">
        <f t="shared" si="36"/>
        <v>0</v>
      </c>
      <c r="AR41" s="203">
        <f t="shared" si="37"/>
        <v>35850.699999999997</v>
      </c>
      <c r="AS41" s="203"/>
      <c r="AT41" s="203"/>
      <c r="AU41" s="203">
        <f t="shared" si="38"/>
        <v>545.49</v>
      </c>
      <c r="AV41" s="204"/>
      <c r="AW41" s="204" t="str">
        <f t="shared" si="39"/>
        <v>25%</v>
      </c>
      <c r="AX41" s="205">
        <v>22</v>
      </c>
      <c r="AY41" s="203">
        <v>150</v>
      </c>
      <c r="AZ41" s="204">
        <v>22</v>
      </c>
      <c r="BA41" s="203">
        <v>50</v>
      </c>
      <c r="BB41" s="203">
        <f t="shared" si="40"/>
        <v>0</v>
      </c>
      <c r="BC41" s="203">
        <f t="shared" si="41"/>
        <v>1100</v>
      </c>
      <c r="BD41" s="205"/>
    </row>
    <row r="42" spans="1:56" s="207" customFormat="1" ht="35.1" customHeight="1" x14ac:dyDescent="0.25">
      <c r="A42" s="309" t="s">
        <v>330</v>
      </c>
      <c r="B42" s="200"/>
      <c r="C42" s="219" t="s">
        <v>253</v>
      </c>
      <c r="D42" s="193">
        <v>16</v>
      </c>
      <c r="E42" s="194">
        <v>39672</v>
      </c>
      <c r="F42" s="194">
        <f t="shared" si="24"/>
        <v>100</v>
      </c>
      <c r="G42" s="194">
        <f t="shared" si="25"/>
        <v>4760.6400000000003</v>
      </c>
      <c r="H42" s="195">
        <f t="shared" si="26"/>
        <v>39672</v>
      </c>
      <c r="I42" s="195">
        <f t="shared" si="27"/>
        <v>2000</v>
      </c>
      <c r="J42" s="195">
        <f t="shared" si="28"/>
        <v>1100</v>
      </c>
      <c r="K42" s="195">
        <f t="shared" si="29"/>
        <v>150</v>
      </c>
      <c r="L42" s="195">
        <f t="shared" si="30"/>
        <v>9918</v>
      </c>
      <c r="M42" s="195">
        <f t="shared" si="42"/>
        <v>52840</v>
      </c>
      <c r="N42" s="195">
        <v>7810.47</v>
      </c>
      <c r="O42" s="195">
        <f t="shared" si="31"/>
        <v>793.44</v>
      </c>
      <c r="P42" s="196">
        <f t="shared" si="32"/>
        <v>3570.48</v>
      </c>
      <c r="Q42" s="196"/>
      <c r="R42" s="196"/>
      <c r="S42" s="196"/>
      <c r="T42" s="196"/>
      <c r="U42" s="196"/>
      <c r="V42" s="196"/>
      <c r="W42" s="196"/>
      <c r="X42" s="196"/>
      <c r="Y42" s="196"/>
      <c r="Z42" s="196">
        <f t="shared" si="33"/>
        <v>100</v>
      </c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>
        <f t="shared" si="34"/>
        <v>12274.39</v>
      </c>
      <c r="AM42" s="197">
        <f t="shared" si="35"/>
        <v>40565.61</v>
      </c>
      <c r="AN42" s="708"/>
      <c r="AO42" s="201"/>
      <c r="AP42" s="198"/>
      <c r="AQ42" s="202">
        <f t="shared" si="36"/>
        <v>0</v>
      </c>
      <c r="AR42" s="203">
        <f t="shared" si="37"/>
        <v>40565.61</v>
      </c>
      <c r="AS42" s="203"/>
      <c r="AT42" s="203"/>
      <c r="AU42" s="203">
        <f t="shared" si="38"/>
        <v>545.49</v>
      </c>
      <c r="AV42" s="204"/>
      <c r="AW42" s="204" t="str">
        <f t="shared" si="39"/>
        <v>25%</v>
      </c>
      <c r="AX42" s="205">
        <v>22</v>
      </c>
      <c r="AY42" s="203">
        <v>150</v>
      </c>
      <c r="AZ42" s="204">
        <v>22</v>
      </c>
      <c r="BA42" s="203">
        <v>50</v>
      </c>
      <c r="BB42" s="203">
        <f t="shared" si="40"/>
        <v>0</v>
      </c>
      <c r="BC42" s="203">
        <f t="shared" si="41"/>
        <v>1100</v>
      </c>
      <c r="BD42" s="205"/>
    </row>
    <row r="43" spans="1:56" s="207" customFormat="1" ht="35.1" customHeight="1" x14ac:dyDescent="0.25">
      <c r="A43" s="309" t="s">
        <v>331</v>
      </c>
      <c r="B43" s="200"/>
      <c r="C43" s="222" t="s">
        <v>254</v>
      </c>
      <c r="D43" s="193">
        <v>16</v>
      </c>
      <c r="E43" s="194">
        <v>39672</v>
      </c>
      <c r="F43" s="194">
        <f t="shared" si="24"/>
        <v>100</v>
      </c>
      <c r="G43" s="194">
        <f t="shared" si="25"/>
        <v>4760.6400000000003</v>
      </c>
      <c r="H43" s="195">
        <f t="shared" si="26"/>
        <v>39672</v>
      </c>
      <c r="I43" s="195">
        <f t="shared" si="27"/>
        <v>2000</v>
      </c>
      <c r="J43" s="195">
        <f t="shared" si="28"/>
        <v>1100</v>
      </c>
      <c r="K43" s="195">
        <f t="shared" si="29"/>
        <v>150</v>
      </c>
      <c r="L43" s="195">
        <f t="shared" si="30"/>
        <v>9918</v>
      </c>
      <c r="M43" s="195">
        <f t="shared" si="42"/>
        <v>52840</v>
      </c>
      <c r="N43" s="195">
        <v>12868.3</v>
      </c>
      <c r="O43" s="195">
        <f t="shared" si="31"/>
        <v>793.44</v>
      </c>
      <c r="P43" s="196">
        <f t="shared" si="32"/>
        <v>3570.48</v>
      </c>
      <c r="Q43" s="196"/>
      <c r="R43" s="196"/>
      <c r="S43" s="196"/>
      <c r="T43" s="196"/>
      <c r="U43" s="196"/>
      <c r="V43" s="196"/>
      <c r="W43" s="196"/>
      <c r="X43" s="196"/>
      <c r="Y43" s="196"/>
      <c r="Z43" s="196">
        <f t="shared" si="33"/>
        <v>100</v>
      </c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>
        <f t="shared" si="34"/>
        <v>17332.22</v>
      </c>
      <c r="AM43" s="197">
        <f t="shared" si="35"/>
        <v>35507.78</v>
      </c>
      <c r="AN43" s="708"/>
      <c r="AO43" s="201"/>
      <c r="AP43" s="198"/>
      <c r="AQ43" s="202">
        <f t="shared" si="36"/>
        <v>0</v>
      </c>
      <c r="AR43" s="203">
        <f t="shared" si="37"/>
        <v>35507.78</v>
      </c>
      <c r="AS43" s="203"/>
      <c r="AT43" s="203"/>
      <c r="AU43" s="203">
        <f t="shared" si="38"/>
        <v>545.49</v>
      </c>
      <c r="AV43" s="204"/>
      <c r="AW43" s="204" t="str">
        <f t="shared" si="39"/>
        <v>25%</v>
      </c>
      <c r="AX43" s="205">
        <v>22</v>
      </c>
      <c r="AY43" s="203">
        <v>150</v>
      </c>
      <c r="AZ43" s="204">
        <v>22</v>
      </c>
      <c r="BA43" s="203">
        <v>50</v>
      </c>
      <c r="BB43" s="203">
        <f t="shared" si="40"/>
        <v>0</v>
      </c>
      <c r="BC43" s="203">
        <f t="shared" si="41"/>
        <v>1100</v>
      </c>
      <c r="BD43" s="205"/>
    </row>
    <row r="44" spans="1:56" s="207" customFormat="1" ht="35.1" customHeight="1" x14ac:dyDescent="0.25">
      <c r="A44" s="309" t="s">
        <v>332</v>
      </c>
      <c r="B44" s="200"/>
      <c r="C44" s="219" t="s">
        <v>255</v>
      </c>
      <c r="D44" s="193">
        <v>16</v>
      </c>
      <c r="E44" s="194">
        <v>39672</v>
      </c>
      <c r="F44" s="194">
        <f t="shared" si="24"/>
        <v>100</v>
      </c>
      <c r="G44" s="194">
        <f t="shared" si="25"/>
        <v>4760.6400000000003</v>
      </c>
      <c r="H44" s="195">
        <f t="shared" si="26"/>
        <v>39672</v>
      </c>
      <c r="I44" s="195">
        <f t="shared" si="27"/>
        <v>2000</v>
      </c>
      <c r="J44" s="195">
        <f t="shared" si="28"/>
        <v>1100</v>
      </c>
      <c r="K44" s="195">
        <f t="shared" si="29"/>
        <v>150</v>
      </c>
      <c r="L44" s="195">
        <f t="shared" si="30"/>
        <v>9918</v>
      </c>
      <c r="M44" s="195">
        <f t="shared" si="42"/>
        <v>52840</v>
      </c>
      <c r="N44" s="195">
        <v>12868.3</v>
      </c>
      <c r="O44" s="195">
        <f t="shared" si="31"/>
        <v>793.44</v>
      </c>
      <c r="P44" s="196">
        <f t="shared" si="32"/>
        <v>3570.48</v>
      </c>
      <c r="Q44" s="196"/>
      <c r="R44" s="196"/>
      <c r="S44" s="196"/>
      <c r="T44" s="196"/>
      <c r="U44" s="196"/>
      <c r="V44" s="196"/>
      <c r="W44" s="196"/>
      <c r="X44" s="196"/>
      <c r="Y44" s="196"/>
      <c r="Z44" s="196">
        <f t="shared" si="33"/>
        <v>100</v>
      </c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>
        <f t="shared" si="34"/>
        <v>17332.22</v>
      </c>
      <c r="AM44" s="197">
        <f t="shared" si="35"/>
        <v>35507.78</v>
      </c>
      <c r="AN44" s="708"/>
      <c r="AO44" s="201"/>
      <c r="AP44" s="198"/>
      <c r="AQ44" s="202">
        <f t="shared" si="36"/>
        <v>0</v>
      </c>
      <c r="AR44" s="203">
        <f t="shared" si="37"/>
        <v>35507.78</v>
      </c>
      <c r="AS44" s="203"/>
      <c r="AT44" s="203"/>
      <c r="AU44" s="203">
        <f t="shared" si="38"/>
        <v>545.49</v>
      </c>
      <c r="AV44" s="204"/>
      <c r="AW44" s="204" t="str">
        <f t="shared" si="39"/>
        <v>25%</v>
      </c>
      <c r="AX44" s="205">
        <v>22</v>
      </c>
      <c r="AY44" s="203">
        <v>150</v>
      </c>
      <c r="AZ44" s="204">
        <v>22</v>
      </c>
      <c r="BA44" s="203">
        <v>50</v>
      </c>
      <c r="BB44" s="203">
        <f t="shared" si="40"/>
        <v>0</v>
      </c>
      <c r="BC44" s="203">
        <f t="shared" si="41"/>
        <v>1100</v>
      </c>
      <c r="BD44" s="205"/>
    </row>
    <row r="45" spans="1:56" s="207" customFormat="1" ht="35.1" customHeight="1" x14ac:dyDescent="0.25">
      <c r="A45" s="309" t="s">
        <v>333</v>
      </c>
      <c r="B45" s="200"/>
      <c r="C45" s="240" t="s">
        <v>256</v>
      </c>
      <c r="D45" s="193">
        <v>16</v>
      </c>
      <c r="E45" s="194">
        <v>39672</v>
      </c>
      <c r="F45" s="194">
        <f t="shared" si="24"/>
        <v>100</v>
      </c>
      <c r="G45" s="194">
        <f t="shared" si="25"/>
        <v>4760.6400000000003</v>
      </c>
      <c r="H45" s="195">
        <f t="shared" si="26"/>
        <v>39672</v>
      </c>
      <c r="I45" s="195">
        <f t="shared" si="27"/>
        <v>2000</v>
      </c>
      <c r="J45" s="195">
        <f t="shared" si="28"/>
        <v>1100</v>
      </c>
      <c r="K45" s="195">
        <f t="shared" si="29"/>
        <v>150</v>
      </c>
      <c r="L45" s="195">
        <f t="shared" si="30"/>
        <v>9918</v>
      </c>
      <c r="M45" s="195">
        <f t="shared" si="42"/>
        <v>52840</v>
      </c>
      <c r="N45" s="195">
        <v>12868.3</v>
      </c>
      <c r="O45" s="195">
        <f t="shared" si="31"/>
        <v>793.44</v>
      </c>
      <c r="P45" s="196">
        <f t="shared" si="32"/>
        <v>3570.48</v>
      </c>
      <c r="Q45" s="196"/>
      <c r="R45" s="196"/>
      <c r="S45" s="196"/>
      <c r="T45" s="196"/>
      <c r="U45" s="196"/>
      <c r="V45" s="196"/>
      <c r="W45" s="196"/>
      <c r="X45" s="196"/>
      <c r="Y45" s="196"/>
      <c r="Z45" s="196">
        <f t="shared" si="33"/>
        <v>100</v>
      </c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>
        <f t="shared" si="34"/>
        <v>17332.22</v>
      </c>
      <c r="AM45" s="197">
        <f t="shared" si="35"/>
        <v>35507.78</v>
      </c>
      <c r="AN45" s="708"/>
      <c r="AO45" s="201"/>
      <c r="AP45" s="198"/>
      <c r="AQ45" s="202">
        <f t="shared" si="36"/>
        <v>0</v>
      </c>
      <c r="AR45" s="203">
        <f t="shared" si="37"/>
        <v>35507.78</v>
      </c>
      <c r="AS45" s="203"/>
      <c r="AT45" s="203"/>
      <c r="AU45" s="203">
        <f t="shared" si="38"/>
        <v>545.49</v>
      </c>
      <c r="AV45" s="204"/>
      <c r="AW45" s="204" t="str">
        <f t="shared" si="39"/>
        <v>25%</v>
      </c>
      <c r="AX45" s="205">
        <v>22</v>
      </c>
      <c r="AY45" s="203">
        <v>150</v>
      </c>
      <c r="AZ45" s="204">
        <v>22</v>
      </c>
      <c r="BA45" s="203">
        <v>50</v>
      </c>
      <c r="BB45" s="203">
        <f t="shared" si="40"/>
        <v>0</v>
      </c>
      <c r="BC45" s="203">
        <f t="shared" si="41"/>
        <v>1100</v>
      </c>
      <c r="BD45" s="205"/>
    </row>
    <row r="46" spans="1:56" s="207" customFormat="1" ht="35.1" customHeight="1" x14ac:dyDescent="0.25">
      <c r="A46" s="309" t="s">
        <v>334</v>
      </c>
      <c r="B46" s="200"/>
      <c r="C46" s="219" t="s">
        <v>257</v>
      </c>
      <c r="D46" s="193">
        <v>16</v>
      </c>
      <c r="E46" s="194">
        <v>39672</v>
      </c>
      <c r="F46" s="194">
        <f t="shared" si="24"/>
        <v>100</v>
      </c>
      <c r="G46" s="194">
        <f t="shared" si="25"/>
        <v>4760.6400000000003</v>
      </c>
      <c r="H46" s="195">
        <f t="shared" si="26"/>
        <v>39672</v>
      </c>
      <c r="I46" s="195">
        <f t="shared" si="27"/>
        <v>2000</v>
      </c>
      <c r="J46" s="195">
        <f t="shared" si="28"/>
        <v>1100</v>
      </c>
      <c r="K46" s="195">
        <f t="shared" si="29"/>
        <v>150</v>
      </c>
      <c r="L46" s="195">
        <f t="shared" si="30"/>
        <v>9918</v>
      </c>
      <c r="M46" s="195">
        <f t="shared" si="42"/>
        <v>52840</v>
      </c>
      <c r="N46" s="195">
        <v>11968.3</v>
      </c>
      <c r="O46" s="195">
        <f t="shared" si="31"/>
        <v>793.44</v>
      </c>
      <c r="P46" s="196">
        <f t="shared" si="32"/>
        <v>3570.48</v>
      </c>
      <c r="Q46" s="196"/>
      <c r="R46" s="196"/>
      <c r="S46" s="196"/>
      <c r="T46" s="196"/>
      <c r="U46" s="196"/>
      <c r="V46" s="196"/>
      <c r="W46" s="196"/>
      <c r="X46" s="196"/>
      <c r="Y46" s="196"/>
      <c r="Z46" s="196">
        <f t="shared" si="33"/>
        <v>100</v>
      </c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>
        <f t="shared" si="34"/>
        <v>16432.22</v>
      </c>
      <c r="AM46" s="197">
        <f t="shared" si="35"/>
        <v>36407.78</v>
      </c>
      <c r="AN46" s="708"/>
      <c r="AO46" s="201"/>
      <c r="AP46" s="198"/>
      <c r="AQ46" s="202">
        <f t="shared" si="36"/>
        <v>0</v>
      </c>
      <c r="AR46" s="203">
        <f t="shared" si="37"/>
        <v>36407.78</v>
      </c>
      <c r="AS46" s="203"/>
      <c r="AT46" s="203"/>
      <c r="AU46" s="203">
        <f t="shared" si="38"/>
        <v>545.49</v>
      </c>
      <c r="AV46" s="204"/>
      <c r="AW46" s="204" t="str">
        <f t="shared" si="39"/>
        <v>25%</v>
      </c>
      <c r="AX46" s="205">
        <v>22</v>
      </c>
      <c r="AY46" s="203">
        <v>150</v>
      </c>
      <c r="AZ46" s="204">
        <v>22</v>
      </c>
      <c r="BA46" s="203">
        <v>50</v>
      </c>
      <c r="BB46" s="203">
        <f t="shared" si="40"/>
        <v>0</v>
      </c>
      <c r="BC46" s="203">
        <f t="shared" si="41"/>
        <v>1100</v>
      </c>
      <c r="BD46" s="205"/>
    </row>
    <row r="47" spans="1:56" s="207" customFormat="1" ht="35.1" customHeight="1" x14ac:dyDescent="0.25">
      <c r="A47" s="309" t="s">
        <v>335</v>
      </c>
      <c r="B47" s="200"/>
      <c r="C47" s="219" t="s">
        <v>258</v>
      </c>
      <c r="D47" s="193">
        <v>16</v>
      </c>
      <c r="E47" s="194">
        <v>39672</v>
      </c>
      <c r="F47" s="194">
        <f t="shared" si="24"/>
        <v>100</v>
      </c>
      <c r="G47" s="194">
        <f t="shared" si="25"/>
        <v>4760.6400000000003</v>
      </c>
      <c r="H47" s="195">
        <f t="shared" si="26"/>
        <v>39672</v>
      </c>
      <c r="I47" s="195">
        <f t="shared" si="27"/>
        <v>2000</v>
      </c>
      <c r="J47" s="195">
        <f t="shared" si="28"/>
        <v>1100</v>
      </c>
      <c r="K47" s="195">
        <f t="shared" si="29"/>
        <v>150</v>
      </c>
      <c r="L47" s="195">
        <f t="shared" si="30"/>
        <v>9918</v>
      </c>
      <c r="M47" s="195">
        <f t="shared" si="42"/>
        <v>52840</v>
      </c>
      <c r="N47" s="195">
        <v>12818.3</v>
      </c>
      <c r="O47" s="195">
        <f t="shared" si="31"/>
        <v>793.44</v>
      </c>
      <c r="P47" s="196">
        <f t="shared" si="32"/>
        <v>3570.48</v>
      </c>
      <c r="Q47" s="196"/>
      <c r="R47" s="196"/>
      <c r="S47" s="196"/>
      <c r="T47" s="196"/>
      <c r="U47" s="196"/>
      <c r="V47" s="196"/>
      <c r="W47" s="196"/>
      <c r="X47" s="196"/>
      <c r="Y47" s="196"/>
      <c r="Z47" s="196">
        <f t="shared" si="33"/>
        <v>100</v>
      </c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>
        <f t="shared" si="34"/>
        <v>17282.22</v>
      </c>
      <c r="AM47" s="197">
        <f t="shared" si="35"/>
        <v>35557.78</v>
      </c>
      <c r="AN47" s="708"/>
      <c r="AO47" s="201"/>
      <c r="AP47" s="198"/>
      <c r="AQ47" s="202">
        <f t="shared" si="36"/>
        <v>0</v>
      </c>
      <c r="AR47" s="203">
        <f t="shared" si="37"/>
        <v>35557.78</v>
      </c>
      <c r="AS47" s="203"/>
      <c r="AT47" s="203"/>
      <c r="AU47" s="203">
        <f t="shared" si="38"/>
        <v>545.49</v>
      </c>
      <c r="AV47" s="204"/>
      <c r="AW47" s="204" t="str">
        <f t="shared" si="39"/>
        <v>25%</v>
      </c>
      <c r="AX47" s="205">
        <v>22</v>
      </c>
      <c r="AY47" s="203">
        <v>150</v>
      </c>
      <c r="AZ47" s="204">
        <v>22</v>
      </c>
      <c r="BA47" s="203">
        <v>50</v>
      </c>
      <c r="BB47" s="203">
        <f t="shared" si="40"/>
        <v>0</v>
      </c>
      <c r="BC47" s="203">
        <f t="shared" si="41"/>
        <v>1100</v>
      </c>
      <c r="BD47" s="205"/>
    </row>
    <row r="48" spans="1:56" s="207" customFormat="1" ht="35.1" customHeight="1" x14ac:dyDescent="0.25">
      <c r="A48" s="309" t="s">
        <v>336</v>
      </c>
      <c r="B48" s="200"/>
      <c r="C48" s="219" t="s">
        <v>259</v>
      </c>
      <c r="D48" s="193">
        <v>16</v>
      </c>
      <c r="E48" s="194">
        <v>39672</v>
      </c>
      <c r="F48" s="194">
        <f t="shared" si="24"/>
        <v>100</v>
      </c>
      <c r="G48" s="194">
        <f t="shared" si="25"/>
        <v>4760.6400000000003</v>
      </c>
      <c r="H48" s="195">
        <f t="shared" si="26"/>
        <v>39672</v>
      </c>
      <c r="I48" s="195">
        <f t="shared" si="27"/>
        <v>2000</v>
      </c>
      <c r="J48" s="195">
        <f t="shared" si="28"/>
        <v>1100</v>
      </c>
      <c r="K48" s="195">
        <f t="shared" si="29"/>
        <v>150</v>
      </c>
      <c r="L48" s="195">
        <f t="shared" si="30"/>
        <v>9918</v>
      </c>
      <c r="M48" s="195">
        <f t="shared" si="42"/>
        <v>52840</v>
      </c>
      <c r="N48" s="320">
        <v>12568.3</v>
      </c>
      <c r="O48" s="195">
        <f t="shared" si="31"/>
        <v>793.44</v>
      </c>
      <c r="P48" s="196">
        <f t="shared" si="32"/>
        <v>3570.48</v>
      </c>
      <c r="Q48" s="196"/>
      <c r="R48" s="196"/>
      <c r="S48" s="196"/>
      <c r="T48" s="196"/>
      <c r="U48" s="196"/>
      <c r="V48" s="196"/>
      <c r="W48" s="196"/>
      <c r="X48" s="196"/>
      <c r="Y48" s="196"/>
      <c r="Z48" s="196">
        <f t="shared" si="33"/>
        <v>100</v>
      </c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>
        <f t="shared" si="34"/>
        <v>17032.22</v>
      </c>
      <c r="AM48" s="197">
        <f>ROUND(M48-AL48,2)</f>
        <v>35807.78</v>
      </c>
      <c r="AN48" s="708"/>
      <c r="AO48" s="201"/>
      <c r="AP48" s="198"/>
      <c r="AQ48" s="202">
        <f t="shared" si="36"/>
        <v>0</v>
      </c>
      <c r="AR48" s="203">
        <f t="shared" si="37"/>
        <v>35807.78</v>
      </c>
      <c r="AS48" s="203"/>
      <c r="AT48" s="203"/>
      <c r="AU48" s="203">
        <f t="shared" si="38"/>
        <v>545.49</v>
      </c>
      <c r="AV48" s="204"/>
      <c r="AW48" s="204" t="str">
        <f t="shared" si="39"/>
        <v>25%</v>
      </c>
      <c r="AX48" s="205">
        <v>22</v>
      </c>
      <c r="AY48" s="203">
        <v>150</v>
      </c>
      <c r="AZ48" s="204">
        <v>22</v>
      </c>
      <c r="BA48" s="203">
        <v>50</v>
      </c>
      <c r="BB48" s="203">
        <f t="shared" si="40"/>
        <v>0</v>
      </c>
      <c r="BC48" s="203">
        <f t="shared" si="41"/>
        <v>1100</v>
      </c>
      <c r="BD48" s="205"/>
    </row>
    <row r="49" spans="1:56" s="207" customFormat="1" ht="35.1" customHeight="1" x14ac:dyDescent="0.25">
      <c r="A49" s="309" t="s">
        <v>337</v>
      </c>
      <c r="B49" s="200"/>
      <c r="C49" s="232" t="s">
        <v>260</v>
      </c>
      <c r="D49" s="193">
        <v>16</v>
      </c>
      <c r="E49" s="194">
        <v>39672</v>
      </c>
      <c r="F49" s="194">
        <f t="shared" si="24"/>
        <v>100</v>
      </c>
      <c r="G49" s="194">
        <f t="shared" si="25"/>
        <v>4760.6400000000003</v>
      </c>
      <c r="H49" s="195">
        <f t="shared" si="26"/>
        <v>39672</v>
      </c>
      <c r="I49" s="195">
        <f t="shared" si="27"/>
        <v>2000</v>
      </c>
      <c r="J49" s="195">
        <f t="shared" si="28"/>
        <v>1100</v>
      </c>
      <c r="K49" s="195">
        <f t="shared" si="29"/>
        <v>150</v>
      </c>
      <c r="L49" s="195">
        <f t="shared" si="30"/>
        <v>9918</v>
      </c>
      <c r="M49" s="195">
        <f t="shared" si="42"/>
        <v>52840</v>
      </c>
      <c r="N49" s="195">
        <v>10521.93</v>
      </c>
      <c r="O49" s="195">
        <f t="shared" si="31"/>
        <v>793.44</v>
      </c>
      <c r="P49" s="196">
        <f t="shared" si="32"/>
        <v>3570.48</v>
      </c>
      <c r="Q49" s="196"/>
      <c r="R49" s="196"/>
      <c r="S49" s="196"/>
      <c r="T49" s="196"/>
      <c r="U49" s="196"/>
      <c r="V49" s="196"/>
      <c r="W49" s="196"/>
      <c r="X49" s="196"/>
      <c r="Y49" s="196"/>
      <c r="Z49" s="196">
        <f t="shared" si="33"/>
        <v>100</v>
      </c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>
        <f t="shared" si="34"/>
        <v>14985.85</v>
      </c>
      <c r="AM49" s="197">
        <f t="shared" si="35"/>
        <v>37854.15</v>
      </c>
      <c r="AN49" s="708"/>
      <c r="AO49" s="201"/>
      <c r="AP49" s="198"/>
      <c r="AQ49" s="202">
        <f t="shared" si="36"/>
        <v>0</v>
      </c>
      <c r="AR49" s="203">
        <f t="shared" si="37"/>
        <v>37854.15</v>
      </c>
      <c r="AS49" s="203"/>
      <c r="AT49" s="203"/>
      <c r="AU49" s="203">
        <f t="shared" si="38"/>
        <v>545.49</v>
      </c>
      <c r="AV49" s="204"/>
      <c r="AW49" s="204" t="str">
        <f t="shared" si="39"/>
        <v>25%</v>
      </c>
      <c r="AX49" s="205">
        <v>22</v>
      </c>
      <c r="AY49" s="203">
        <v>150</v>
      </c>
      <c r="AZ49" s="204">
        <v>22</v>
      </c>
      <c r="BA49" s="203">
        <v>50</v>
      </c>
      <c r="BB49" s="203">
        <f t="shared" si="40"/>
        <v>0</v>
      </c>
      <c r="BC49" s="203">
        <f t="shared" si="41"/>
        <v>1100</v>
      </c>
      <c r="BD49" s="205"/>
    </row>
    <row r="50" spans="1:56" s="704" customFormat="1" ht="35.25" customHeight="1" x14ac:dyDescent="0.25">
      <c r="A50" s="699"/>
      <c r="B50" s="700"/>
      <c r="C50" s="701" t="s">
        <v>102</v>
      </c>
      <c r="D50" s="702"/>
      <c r="E50" s="703">
        <f>ROUND(SUM(E30:E49),2)</f>
        <v>793440</v>
      </c>
      <c r="F50" s="703">
        <f t="shared" ref="F50:BD50" si="43">ROUND(SUM(F30:F49),2)</f>
        <v>2000</v>
      </c>
      <c r="G50" s="703">
        <f t="shared" si="43"/>
        <v>95212.800000000003</v>
      </c>
      <c r="H50" s="703">
        <f t="shared" si="43"/>
        <v>793440</v>
      </c>
      <c r="I50" s="703">
        <f t="shared" si="43"/>
        <v>40000</v>
      </c>
      <c r="J50" s="703">
        <f t="shared" si="43"/>
        <v>21950</v>
      </c>
      <c r="K50" s="703">
        <f t="shared" si="43"/>
        <v>3000</v>
      </c>
      <c r="L50" s="703">
        <f t="shared" si="43"/>
        <v>198360</v>
      </c>
      <c r="M50" s="703">
        <f>ROUND(SUM(M30:M49),2)</f>
        <v>1056750</v>
      </c>
      <c r="N50" s="703">
        <f t="shared" si="43"/>
        <v>246193.88</v>
      </c>
      <c r="O50" s="703">
        <f t="shared" si="43"/>
        <v>15868.8</v>
      </c>
      <c r="P50" s="703">
        <f t="shared" si="43"/>
        <v>71409.600000000006</v>
      </c>
      <c r="Q50" s="703">
        <f t="shared" si="43"/>
        <v>0</v>
      </c>
      <c r="R50" s="703">
        <f t="shared" si="43"/>
        <v>0</v>
      </c>
      <c r="S50" s="703">
        <f t="shared" si="43"/>
        <v>0</v>
      </c>
      <c r="T50" s="703">
        <f t="shared" si="43"/>
        <v>0</v>
      </c>
      <c r="U50" s="703">
        <f t="shared" si="43"/>
        <v>0</v>
      </c>
      <c r="V50" s="703">
        <f t="shared" si="43"/>
        <v>0</v>
      </c>
      <c r="W50" s="703">
        <f t="shared" si="43"/>
        <v>0</v>
      </c>
      <c r="X50" s="703">
        <f t="shared" si="43"/>
        <v>0</v>
      </c>
      <c r="Y50" s="703">
        <f t="shared" si="43"/>
        <v>0</v>
      </c>
      <c r="Z50" s="703">
        <f t="shared" si="43"/>
        <v>2000</v>
      </c>
      <c r="AA50" s="703">
        <f t="shared" si="43"/>
        <v>0</v>
      </c>
      <c r="AB50" s="703">
        <f t="shared" si="43"/>
        <v>0</v>
      </c>
      <c r="AC50" s="703">
        <f t="shared" si="43"/>
        <v>0</v>
      </c>
      <c r="AD50" s="703">
        <f t="shared" si="43"/>
        <v>0</v>
      </c>
      <c r="AE50" s="703">
        <f t="shared" si="43"/>
        <v>0</v>
      </c>
      <c r="AF50" s="703">
        <f t="shared" si="43"/>
        <v>0</v>
      </c>
      <c r="AG50" s="703">
        <f t="shared" si="43"/>
        <v>0</v>
      </c>
      <c r="AH50" s="703">
        <f t="shared" si="43"/>
        <v>0</v>
      </c>
      <c r="AI50" s="703">
        <f t="shared" si="43"/>
        <v>0</v>
      </c>
      <c r="AJ50" s="703">
        <f t="shared" si="43"/>
        <v>0</v>
      </c>
      <c r="AK50" s="703">
        <f t="shared" si="43"/>
        <v>0</v>
      </c>
      <c r="AL50" s="703">
        <f t="shared" si="43"/>
        <v>335472.28000000003</v>
      </c>
      <c r="AM50" s="703">
        <f t="shared" si="43"/>
        <v>721277.72</v>
      </c>
      <c r="AN50" s="711">
        <f t="shared" si="43"/>
        <v>0</v>
      </c>
      <c r="AO50" s="703">
        <f t="shared" si="43"/>
        <v>0</v>
      </c>
      <c r="AP50" s="703">
        <f t="shared" si="43"/>
        <v>0</v>
      </c>
      <c r="AQ50" s="703">
        <f t="shared" si="43"/>
        <v>0</v>
      </c>
      <c r="AR50" s="703">
        <f t="shared" si="43"/>
        <v>721277.72</v>
      </c>
      <c r="AS50" s="703">
        <f t="shared" si="43"/>
        <v>0</v>
      </c>
      <c r="AT50" s="703">
        <f t="shared" si="43"/>
        <v>0</v>
      </c>
      <c r="AU50" s="703">
        <f t="shared" si="43"/>
        <v>10909.8</v>
      </c>
      <c r="AV50" s="703">
        <f t="shared" si="43"/>
        <v>0</v>
      </c>
      <c r="AW50" s="703">
        <f t="shared" si="43"/>
        <v>0</v>
      </c>
      <c r="AX50" s="703">
        <f t="shared" si="43"/>
        <v>440</v>
      </c>
      <c r="AY50" s="703">
        <f t="shared" si="43"/>
        <v>3000</v>
      </c>
      <c r="AZ50" s="703">
        <f t="shared" si="43"/>
        <v>440</v>
      </c>
      <c r="BA50" s="703">
        <f t="shared" si="43"/>
        <v>1000</v>
      </c>
      <c r="BB50" s="703">
        <f t="shared" si="43"/>
        <v>50</v>
      </c>
      <c r="BC50" s="703">
        <f t="shared" si="43"/>
        <v>22000</v>
      </c>
      <c r="BD50" s="703">
        <f t="shared" si="43"/>
        <v>1</v>
      </c>
    </row>
    <row r="51" spans="1:56" s="207" customFormat="1" ht="33" customHeight="1" x14ac:dyDescent="0.25">
      <c r="A51" s="199">
        <v>41</v>
      </c>
      <c r="B51" s="200"/>
      <c r="C51" s="219" t="s">
        <v>261</v>
      </c>
      <c r="D51" s="193">
        <v>16</v>
      </c>
      <c r="E51" s="194">
        <v>39672</v>
      </c>
      <c r="F51" s="194">
        <f t="shared" ref="F51:F67" si="44">IF(H51&gt;0,100,0)</f>
        <v>100</v>
      </c>
      <c r="G51" s="194">
        <f t="shared" ref="G51:G67" si="45">+ROUND(H51*12%,2)</f>
        <v>4760.6400000000003</v>
      </c>
      <c r="H51" s="234">
        <f t="shared" ref="H51:H67" si="46">ROUND(IF(AX51&gt;22,0,IF(AX51=22,E51,IF(AX51&lt;22,E51*(AX51/AZ51),IF(OR(AX51=0,AX51=" ")=TRUE,0)))),2)</f>
        <v>39672</v>
      </c>
      <c r="I51" s="234">
        <f t="shared" ref="I51:I67" si="47">ROUND(IF(AND(H51&gt;0,AX51=22)=TRUE,2000,IF(AND(H51&gt;0,AX51&lt;22,AX51&gt;0)=TRUE,2000*(AX51/AZ51),IF(AX51&lt;0,0,0))),2)</f>
        <v>2000</v>
      </c>
      <c r="J51" s="234">
        <f t="shared" ref="J51:J67" si="48">IF(H51&gt;0,BC51-BB51,0)</f>
        <v>1100</v>
      </c>
      <c r="K51" s="195">
        <f>IF(AND(H51&gt;0,AX51&gt;11)=TRUE,150,0)</f>
        <v>150</v>
      </c>
      <c r="L51" s="195">
        <f>ROUND(IF(AND($H51&gt;0,AX51&gt;11)=TRUE,$AW51*$E51,0),2)</f>
        <v>9918</v>
      </c>
      <c r="M51" s="234">
        <f t="shared" ref="M51:M67" si="49">ROUND(SUM(H51:L51),2)</f>
        <v>52840</v>
      </c>
      <c r="N51" s="234">
        <v>12868.3</v>
      </c>
      <c r="O51" s="195">
        <f t="shared" ref="O51:O66" si="50">E51*0.04/2</f>
        <v>793.44</v>
      </c>
      <c r="P51" s="233">
        <f t="shared" ref="P51:P77" si="51">ROUND($H51*9%,2)</f>
        <v>3570.48</v>
      </c>
      <c r="Q51" s="196"/>
      <c r="R51" s="196"/>
      <c r="S51" s="196"/>
      <c r="T51" s="196"/>
      <c r="U51" s="196"/>
      <c r="V51" s="196"/>
      <c r="W51" s="196"/>
      <c r="X51" s="196"/>
      <c r="Y51" s="196"/>
      <c r="Z51" s="233">
        <f t="shared" ref="Z51:Z67" si="52">ROUND(IF(H51&gt;0,100,0),2)</f>
        <v>100</v>
      </c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233">
        <f t="shared" ref="AL51:AL67" si="53">SUM(N51:AK51)</f>
        <v>17332.22</v>
      </c>
      <c r="AM51" s="235">
        <f t="shared" ref="AM51:AM67" si="54">ROUND(M51-AL51,2)</f>
        <v>35507.78</v>
      </c>
      <c r="AN51" s="708"/>
      <c r="AO51" s="236"/>
      <c r="AP51" s="237"/>
      <c r="AQ51" s="238">
        <f t="shared" ref="AQ51:AQ67" si="55">SUM(AO51:AP51)</f>
        <v>0</v>
      </c>
      <c r="AR51" s="239">
        <f t="shared" ref="AR51:AR67" si="56">+AM51-AQ51</f>
        <v>35507.78</v>
      </c>
      <c r="AS51" s="239"/>
      <c r="AT51" s="239"/>
      <c r="AU51" s="239">
        <f t="shared" ref="AU51:AU67" si="57">IF(E51=0,0,IF(E51&lt;=10000,137.5,IF(AND(E51&gt;10000,E51&lt;40000)=TRUE,E51*2.75%*50%,IF(E51&gt;=40000,550,0))))</f>
        <v>545.49</v>
      </c>
      <c r="AV51" s="205"/>
      <c r="AW51" s="205" t="str">
        <f t="shared" ref="AW51:AW77" si="58">IF(AND($D51&gt;=1,$D51&lt;=19)=TRUE,"25%",IF($D51=20,"15%",IF($D51=21,"13%",IF($D51=22,"12%",IF($D51=23,"11%",IF(OR($D51=24,$D51=25)=TRUE,"10%",IF($D51=26,"9%",IF($D51=27,"8%",IF($D51=28,"7%",IF(OR($D51=29,$D51=30)=TRUE,"6%",IF($D51=31,"5%","0%")))))))))))</f>
        <v>25%</v>
      </c>
      <c r="AX51" s="205">
        <v>22</v>
      </c>
      <c r="AY51" s="239">
        <v>150</v>
      </c>
      <c r="AZ51" s="205">
        <v>22</v>
      </c>
      <c r="BA51" s="239">
        <v>50</v>
      </c>
      <c r="BB51" s="239">
        <f t="shared" ref="BB51:BB67" si="59">IF(AX51&gt;0,(AZ51-AX51+BD51)*BA51,0)</f>
        <v>0</v>
      </c>
      <c r="BC51" s="239">
        <f t="shared" ref="BC51:BC67" si="60">IF(AX51&gt;0,1100,0)</f>
        <v>1100</v>
      </c>
      <c r="BD51" s="205"/>
    </row>
    <row r="52" spans="1:56" s="207" customFormat="1" ht="33" customHeight="1" x14ac:dyDescent="0.25">
      <c r="A52" s="199">
        <v>42</v>
      </c>
      <c r="B52" s="200"/>
      <c r="C52" s="219" t="s">
        <v>262</v>
      </c>
      <c r="D52" s="193">
        <v>16</v>
      </c>
      <c r="E52" s="194">
        <v>39672</v>
      </c>
      <c r="F52" s="194">
        <f t="shared" si="44"/>
        <v>100</v>
      </c>
      <c r="G52" s="194">
        <f t="shared" si="45"/>
        <v>4760.6400000000003</v>
      </c>
      <c r="H52" s="195">
        <f t="shared" si="46"/>
        <v>39672</v>
      </c>
      <c r="I52" s="195">
        <f t="shared" si="47"/>
        <v>2000</v>
      </c>
      <c r="J52" s="195">
        <f t="shared" si="48"/>
        <v>1100</v>
      </c>
      <c r="K52" s="195">
        <f>IF(AND(H52&gt;0,AX52&gt;11)=TRUE,150,0)</f>
        <v>150</v>
      </c>
      <c r="L52" s="195">
        <f>ROUND(IF(AND($H52&gt;0,AX52&gt;11)=TRUE,$AW52*$E52,0),2)</f>
        <v>9918</v>
      </c>
      <c r="M52" s="195">
        <f t="shared" si="49"/>
        <v>52840</v>
      </c>
      <c r="N52" s="195">
        <v>12412.7</v>
      </c>
      <c r="O52" s="195">
        <f t="shared" si="50"/>
        <v>793.44</v>
      </c>
      <c r="P52" s="196">
        <f t="shared" si="51"/>
        <v>3570.48</v>
      </c>
      <c r="Q52" s="196"/>
      <c r="R52" s="196"/>
      <c r="S52" s="196"/>
      <c r="T52" s="196"/>
      <c r="U52" s="196"/>
      <c r="V52" s="196"/>
      <c r="W52" s="196"/>
      <c r="X52" s="196"/>
      <c r="Y52" s="196"/>
      <c r="Z52" s="196">
        <f t="shared" si="52"/>
        <v>100</v>
      </c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>
        <f t="shared" si="53"/>
        <v>16876.620000000003</v>
      </c>
      <c r="AM52" s="197">
        <f t="shared" si="54"/>
        <v>35963.379999999997</v>
      </c>
      <c r="AN52" s="708"/>
      <c r="AO52" s="201"/>
      <c r="AP52" s="198"/>
      <c r="AQ52" s="202">
        <f t="shared" si="55"/>
        <v>0</v>
      </c>
      <c r="AR52" s="203">
        <f t="shared" si="56"/>
        <v>35963.379999999997</v>
      </c>
      <c r="AS52" s="203"/>
      <c r="AT52" s="203"/>
      <c r="AU52" s="203">
        <f t="shared" si="57"/>
        <v>545.49</v>
      </c>
      <c r="AV52" s="204"/>
      <c r="AW52" s="204" t="str">
        <f t="shared" si="58"/>
        <v>25%</v>
      </c>
      <c r="AX52" s="205">
        <v>22</v>
      </c>
      <c r="AY52" s="203">
        <v>150</v>
      </c>
      <c r="AZ52" s="204">
        <v>22</v>
      </c>
      <c r="BA52" s="203">
        <v>50</v>
      </c>
      <c r="BB52" s="203">
        <f t="shared" si="59"/>
        <v>0</v>
      </c>
      <c r="BC52" s="203">
        <f t="shared" si="60"/>
        <v>1100</v>
      </c>
      <c r="BD52" s="205"/>
    </row>
    <row r="53" spans="1:56" s="207" customFormat="1" ht="33" customHeight="1" x14ac:dyDescent="0.25">
      <c r="A53" s="199">
        <v>43</v>
      </c>
      <c r="B53" s="200"/>
      <c r="C53" s="219" t="s">
        <v>263</v>
      </c>
      <c r="D53" s="193">
        <v>16</v>
      </c>
      <c r="E53" s="194">
        <v>39672</v>
      </c>
      <c r="F53" s="194">
        <f t="shared" si="44"/>
        <v>100</v>
      </c>
      <c r="G53" s="194">
        <f t="shared" si="45"/>
        <v>4760.6400000000003</v>
      </c>
      <c r="H53" s="195">
        <f t="shared" si="46"/>
        <v>39672</v>
      </c>
      <c r="I53" s="195">
        <f t="shared" si="47"/>
        <v>2000</v>
      </c>
      <c r="J53" s="195">
        <f t="shared" si="48"/>
        <v>1100</v>
      </c>
      <c r="K53" s="195">
        <f t="shared" ref="K53:K67" si="61">IF(AND(H53&gt;0,AX53&gt;11)=TRUE,150,0)</f>
        <v>150</v>
      </c>
      <c r="L53" s="195">
        <f t="shared" ref="L53:L67" si="62">ROUND(IF(AND($H53&gt;0,AX53&gt;11)=TRUE,$AW53*$E53,0),2)</f>
        <v>9918</v>
      </c>
      <c r="M53" s="195">
        <f t="shared" si="49"/>
        <v>52840</v>
      </c>
      <c r="N53" s="195">
        <v>12868.3</v>
      </c>
      <c r="O53" s="195">
        <f t="shared" si="50"/>
        <v>793.44</v>
      </c>
      <c r="P53" s="196">
        <f t="shared" si="51"/>
        <v>3570.48</v>
      </c>
      <c r="Q53" s="196"/>
      <c r="R53" s="196"/>
      <c r="S53" s="196"/>
      <c r="T53" s="196"/>
      <c r="U53" s="196"/>
      <c r="V53" s="196"/>
      <c r="W53" s="196"/>
      <c r="X53" s="196"/>
      <c r="Y53" s="196"/>
      <c r="Z53" s="196">
        <f t="shared" si="52"/>
        <v>100</v>
      </c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>
        <f t="shared" si="53"/>
        <v>17332.22</v>
      </c>
      <c r="AM53" s="197">
        <f t="shared" si="54"/>
        <v>35507.78</v>
      </c>
      <c r="AN53" s="708"/>
      <c r="AO53" s="201"/>
      <c r="AP53" s="198"/>
      <c r="AQ53" s="202">
        <f t="shared" si="55"/>
        <v>0</v>
      </c>
      <c r="AR53" s="203">
        <f t="shared" si="56"/>
        <v>35507.78</v>
      </c>
      <c r="AS53" s="203"/>
      <c r="AT53" s="203"/>
      <c r="AU53" s="203">
        <f t="shared" si="57"/>
        <v>545.49</v>
      </c>
      <c r="AV53" s="204"/>
      <c r="AW53" s="204" t="str">
        <f t="shared" si="58"/>
        <v>25%</v>
      </c>
      <c r="AX53" s="205">
        <v>22</v>
      </c>
      <c r="AY53" s="203">
        <v>150</v>
      </c>
      <c r="AZ53" s="204">
        <v>22</v>
      </c>
      <c r="BA53" s="203">
        <v>50</v>
      </c>
      <c r="BB53" s="203">
        <f t="shared" si="59"/>
        <v>0</v>
      </c>
      <c r="BC53" s="203">
        <f t="shared" si="60"/>
        <v>1100</v>
      </c>
      <c r="BD53" s="205"/>
    </row>
    <row r="54" spans="1:56" s="207" customFormat="1" ht="33" customHeight="1" x14ac:dyDescent="0.25">
      <c r="A54" s="199">
        <v>44</v>
      </c>
      <c r="B54" s="200"/>
      <c r="C54" s="219" t="s">
        <v>264</v>
      </c>
      <c r="D54" s="193">
        <v>16</v>
      </c>
      <c r="E54" s="194">
        <v>39672</v>
      </c>
      <c r="F54" s="233">
        <f t="shared" si="44"/>
        <v>100</v>
      </c>
      <c r="G54" s="233">
        <f t="shared" si="45"/>
        <v>4760.6400000000003</v>
      </c>
      <c r="H54" s="234">
        <f t="shared" si="46"/>
        <v>39672</v>
      </c>
      <c r="I54" s="234">
        <f t="shared" si="47"/>
        <v>2000</v>
      </c>
      <c r="J54" s="234">
        <f t="shared" si="48"/>
        <v>1100</v>
      </c>
      <c r="K54" s="234">
        <f t="shared" si="61"/>
        <v>150</v>
      </c>
      <c r="L54" s="234">
        <f t="shared" si="62"/>
        <v>9918</v>
      </c>
      <c r="M54" s="234">
        <f t="shared" si="49"/>
        <v>52840</v>
      </c>
      <c r="N54" s="234">
        <v>12868.3</v>
      </c>
      <c r="O54" s="195">
        <f t="shared" si="50"/>
        <v>793.44</v>
      </c>
      <c r="P54" s="233">
        <f t="shared" si="51"/>
        <v>3570.48</v>
      </c>
      <c r="Q54" s="233"/>
      <c r="R54" s="233"/>
      <c r="S54" s="233"/>
      <c r="T54" s="233"/>
      <c r="U54" s="233"/>
      <c r="V54" s="233"/>
      <c r="W54" s="233"/>
      <c r="X54" s="233"/>
      <c r="Y54" s="233"/>
      <c r="Z54" s="233">
        <f t="shared" si="52"/>
        <v>100</v>
      </c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>
        <f t="shared" si="53"/>
        <v>17332.22</v>
      </c>
      <c r="AM54" s="235">
        <f t="shared" si="54"/>
        <v>35507.78</v>
      </c>
      <c r="AN54" s="708"/>
      <c r="AO54" s="236"/>
      <c r="AP54" s="237"/>
      <c r="AQ54" s="238">
        <f t="shared" si="55"/>
        <v>0</v>
      </c>
      <c r="AR54" s="239">
        <f t="shared" si="56"/>
        <v>35507.78</v>
      </c>
      <c r="AS54" s="239"/>
      <c r="AT54" s="239"/>
      <c r="AU54" s="239">
        <f t="shared" si="57"/>
        <v>545.49</v>
      </c>
      <c r="AV54" s="205"/>
      <c r="AW54" s="205" t="str">
        <f t="shared" si="58"/>
        <v>25%</v>
      </c>
      <c r="AX54" s="205">
        <v>22</v>
      </c>
      <c r="AY54" s="239">
        <v>150</v>
      </c>
      <c r="AZ54" s="205">
        <v>22</v>
      </c>
      <c r="BA54" s="239">
        <v>50</v>
      </c>
      <c r="BB54" s="239">
        <f t="shared" si="59"/>
        <v>0</v>
      </c>
      <c r="BC54" s="239">
        <f t="shared" si="60"/>
        <v>1100</v>
      </c>
      <c r="BD54" s="205"/>
    </row>
    <row r="55" spans="1:56" s="207" customFormat="1" ht="33" customHeight="1" x14ac:dyDescent="0.25">
      <c r="A55" s="199">
        <v>45</v>
      </c>
      <c r="B55" s="200"/>
      <c r="C55" s="219" t="s">
        <v>310</v>
      </c>
      <c r="D55" s="193">
        <v>16</v>
      </c>
      <c r="E55" s="194">
        <v>39672</v>
      </c>
      <c r="F55" s="194">
        <f t="shared" si="44"/>
        <v>100</v>
      </c>
      <c r="G55" s="194">
        <f t="shared" si="45"/>
        <v>4760.6400000000003</v>
      </c>
      <c r="H55" s="195">
        <f t="shared" si="46"/>
        <v>39672</v>
      </c>
      <c r="I55" s="195">
        <f t="shared" si="47"/>
        <v>2000</v>
      </c>
      <c r="J55" s="195">
        <f t="shared" si="48"/>
        <v>1100</v>
      </c>
      <c r="K55" s="195">
        <f t="shared" si="61"/>
        <v>150</v>
      </c>
      <c r="L55" s="195">
        <f t="shared" si="62"/>
        <v>9918</v>
      </c>
      <c r="M55" s="195">
        <f t="shared" si="49"/>
        <v>52840</v>
      </c>
      <c r="N55" s="195">
        <v>12568.3</v>
      </c>
      <c r="O55" s="195">
        <f t="shared" si="50"/>
        <v>793.44</v>
      </c>
      <c r="P55" s="196">
        <f t="shared" si="51"/>
        <v>3570.48</v>
      </c>
      <c r="Q55" s="196"/>
      <c r="R55" s="196"/>
      <c r="S55" s="196"/>
      <c r="T55" s="196"/>
      <c r="U55" s="196"/>
      <c r="V55" s="196"/>
      <c r="W55" s="196"/>
      <c r="X55" s="196"/>
      <c r="Y55" s="196"/>
      <c r="Z55" s="196">
        <f t="shared" si="52"/>
        <v>100</v>
      </c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>
        <f t="shared" si="53"/>
        <v>17032.22</v>
      </c>
      <c r="AM55" s="197">
        <f t="shared" si="54"/>
        <v>35807.78</v>
      </c>
      <c r="AN55" s="708"/>
      <c r="AO55" s="201"/>
      <c r="AP55" s="198"/>
      <c r="AQ55" s="202">
        <f t="shared" si="55"/>
        <v>0</v>
      </c>
      <c r="AR55" s="203">
        <f t="shared" si="56"/>
        <v>35807.78</v>
      </c>
      <c r="AS55" s="203"/>
      <c r="AT55" s="203"/>
      <c r="AU55" s="203">
        <f t="shared" si="57"/>
        <v>545.49</v>
      </c>
      <c r="AV55" s="204"/>
      <c r="AW55" s="204" t="str">
        <f t="shared" si="58"/>
        <v>25%</v>
      </c>
      <c r="AX55" s="205">
        <v>22</v>
      </c>
      <c r="AY55" s="203">
        <v>150</v>
      </c>
      <c r="AZ55" s="204">
        <v>22</v>
      </c>
      <c r="BA55" s="203">
        <v>50</v>
      </c>
      <c r="BB55" s="203">
        <f t="shared" si="59"/>
        <v>0</v>
      </c>
      <c r="BC55" s="203">
        <f t="shared" si="60"/>
        <v>1100</v>
      </c>
      <c r="BD55" s="205"/>
    </row>
    <row r="56" spans="1:56" s="207" customFormat="1" ht="33" customHeight="1" x14ac:dyDescent="0.25">
      <c r="A56" s="199">
        <v>46</v>
      </c>
      <c r="B56" s="200"/>
      <c r="C56" s="232" t="s">
        <v>265</v>
      </c>
      <c r="D56" s="193">
        <v>16</v>
      </c>
      <c r="E56" s="194">
        <v>39672</v>
      </c>
      <c r="F56" s="194">
        <f t="shared" si="44"/>
        <v>100</v>
      </c>
      <c r="G56" s="194">
        <f t="shared" si="45"/>
        <v>4760.6400000000003</v>
      </c>
      <c r="H56" s="195">
        <f t="shared" si="46"/>
        <v>39672</v>
      </c>
      <c r="I56" s="195">
        <f t="shared" si="47"/>
        <v>2000</v>
      </c>
      <c r="J56" s="195">
        <f t="shared" si="48"/>
        <v>1100</v>
      </c>
      <c r="K56" s="195">
        <f t="shared" ref="K56" si="63">IF(AND(H56&gt;0,AX56&gt;11)=TRUE,150,0)</f>
        <v>150</v>
      </c>
      <c r="L56" s="195">
        <f t="shared" ref="L56" si="64">ROUND(IF(AND($H56&gt;0,AX56&gt;11)=TRUE,$AW56*$E56,0),2)</f>
        <v>9918</v>
      </c>
      <c r="M56" s="195">
        <f t="shared" si="49"/>
        <v>52840</v>
      </c>
      <c r="N56" s="195">
        <v>12818.3</v>
      </c>
      <c r="O56" s="195">
        <f t="shared" si="50"/>
        <v>793.44</v>
      </c>
      <c r="P56" s="196">
        <f t="shared" si="51"/>
        <v>3570.48</v>
      </c>
      <c r="Q56" s="196"/>
      <c r="R56" s="196"/>
      <c r="S56" s="196"/>
      <c r="T56" s="196"/>
      <c r="U56" s="196"/>
      <c r="V56" s="196"/>
      <c r="W56" s="196"/>
      <c r="X56" s="196"/>
      <c r="Y56" s="196"/>
      <c r="Z56" s="196">
        <f t="shared" si="52"/>
        <v>100</v>
      </c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>
        <f t="shared" si="53"/>
        <v>17282.22</v>
      </c>
      <c r="AM56" s="197">
        <f t="shared" si="54"/>
        <v>35557.78</v>
      </c>
      <c r="AN56" s="708"/>
      <c r="AO56" s="201"/>
      <c r="AP56" s="198"/>
      <c r="AQ56" s="202">
        <f t="shared" si="55"/>
        <v>0</v>
      </c>
      <c r="AR56" s="203">
        <f t="shared" si="56"/>
        <v>35557.78</v>
      </c>
      <c r="AS56" s="203"/>
      <c r="AT56" s="203"/>
      <c r="AU56" s="203">
        <f t="shared" si="57"/>
        <v>545.49</v>
      </c>
      <c r="AV56" s="204"/>
      <c r="AW56" s="204" t="str">
        <f t="shared" si="58"/>
        <v>25%</v>
      </c>
      <c r="AX56" s="205">
        <v>22</v>
      </c>
      <c r="AY56" s="203">
        <v>150</v>
      </c>
      <c r="AZ56" s="204">
        <v>22</v>
      </c>
      <c r="BA56" s="203">
        <v>50</v>
      </c>
      <c r="BB56" s="203">
        <f t="shared" si="59"/>
        <v>0</v>
      </c>
      <c r="BC56" s="203">
        <f t="shared" si="60"/>
        <v>1100</v>
      </c>
      <c r="BD56" s="205"/>
    </row>
    <row r="57" spans="1:56" s="207" customFormat="1" ht="33" customHeight="1" x14ac:dyDescent="0.25">
      <c r="A57" s="199">
        <v>47</v>
      </c>
      <c r="B57" s="200"/>
      <c r="C57" s="219" t="s">
        <v>266</v>
      </c>
      <c r="D57" s="193">
        <v>16</v>
      </c>
      <c r="E57" s="194">
        <v>39672</v>
      </c>
      <c r="F57" s="194">
        <f t="shared" si="44"/>
        <v>100</v>
      </c>
      <c r="G57" s="194">
        <f t="shared" si="45"/>
        <v>4760.6400000000003</v>
      </c>
      <c r="H57" s="195">
        <f t="shared" si="46"/>
        <v>39672</v>
      </c>
      <c r="I57" s="195">
        <f t="shared" si="47"/>
        <v>2000</v>
      </c>
      <c r="J57" s="195">
        <f t="shared" si="48"/>
        <v>1100</v>
      </c>
      <c r="K57" s="195">
        <f t="shared" si="61"/>
        <v>150</v>
      </c>
      <c r="L57" s="195">
        <f t="shared" si="62"/>
        <v>9918</v>
      </c>
      <c r="M57" s="195">
        <f t="shared" si="49"/>
        <v>52840</v>
      </c>
      <c r="N57" s="195">
        <v>12843.3</v>
      </c>
      <c r="O57" s="195">
        <f t="shared" si="50"/>
        <v>793.44</v>
      </c>
      <c r="P57" s="196">
        <f t="shared" si="51"/>
        <v>3570.48</v>
      </c>
      <c r="Q57" s="196"/>
      <c r="R57" s="196"/>
      <c r="S57" s="196"/>
      <c r="T57" s="196"/>
      <c r="U57" s="196"/>
      <c r="V57" s="196"/>
      <c r="W57" s="196"/>
      <c r="X57" s="196"/>
      <c r="Y57" s="196"/>
      <c r="Z57" s="196">
        <f t="shared" si="52"/>
        <v>100</v>
      </c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>
        <f t="shared" si="53"/>
        <v>17307.22</v>
      </c>
      <c r="AM57" s="197">
        <f t="shared" si="54"/>
        <v>35532.78</v>
      </c>
      <c r="AN57" s="708"/>
      <c r="AO57" s="201"/>
      <c r="AP57" s="198"/>
      <c r="AQ57" s="202">
        <f t="shared" si="55"/>
        <v>0</v>
      </c>
      <c r="AR57" s="203">
        <f t="shared" si="56"/>
        <v>35532.78</v>
      </c>
      <c r="AS57" s="203"/>
      <c r="AT57" s="203"/>
      <c r="AU57" s="203">
        <f t="shared" si="57"/>
        <v>545.49</v>
      </c>
      <c r="AV57" s="204"/>
      <c r="AW57" s="204" t="str">
        <f t="shared" si="58"/>
        <v>25%</v>
      </c>
      <c r="AX57" s="205">
        <v>22</v>
      </c>
      <c r="AY57" s="203">
        <v>150</v>
      </c>
      <c r="AZ57" s="204">
        <v>22</v>
      </c>
      <c r="BA57" s="203">
        <v>50</v>
      </c>
      <c r="BB57" s="203">
        <f t="shared" si="59"/>
        <v>0</v>
      </c>
      <c r="BC57" s="203">
        <f t="shared" si="60"/>
        <v>1100</v>
      </c>
      <c r="BD57" s="205"/>
    </row>
    <row r="58" spans="1:56" s="207" customFormat="1" ht="33" customHeight="1" x14ac:dyDescent="0.25">
      <c r="A58" s="199">
        <v>48</v>
      </c>
      <c r="B58" s="200"/>
      <c r="C58" s="219" t="s">
        <v>267</v>
      </c>
      <c r="D58" s="193">
        <v>16</v>
      </c>
      <c r="E58" s="194">
        <v>39672</v>
      </c>
      <c r="F58" s="194">
        <f t="shared" si="44"/>
        <v>100</v>
      </c>
      <c r="G58" s="194">
        <f t="shared" si="45"/>
        <v>4760.6400000000003</v>
      </c>
      <c r="H58" s="195">
        <f t="shared" si="46"/>
        <v>39672</v>
      </c>
      <c r="I58" s="195">
        <f t="shared" si="47"/>
        <v>2000</v>
      </c>
      <c r="J58" s="195">
        <f t="shared" si="48"/>
        <v>1100</v>
      </c>
      <c r="K58" s="195">
        <f t="shared" si="61"/>
        <v>150</v>
      </c>
      <c r="L58" s="195">
        <f t="shared" si="62"/>
        <v>9918</v>
      </c>
      <c r="M58" s="195">
        <f t="shared" si="49"/>
        <v>52840</v>
      </c>
      <c r="N58" s="320">
        <v>12868.3</v>
      </c>
      <c r="O58" s="195">
        <f t="shared" si="50"/>
        <v>793.44</v>
      </c>
      <c r="P58" s="196">
        <f t="shared" si="51"/>
        <v>3570.48</v>
      </c>
      <c r="Q58" s="196"/>
      <c r="R58" s="196"/>
      <c r="S58" s="196"/>
      <c r="T58" s="196"/>
      <c r="U58" s="196"/>
      <c r="V58" s="196"/>
      <c r="W58" s="196"/>
      <c r="X58" s="196"/>
      <c r="Y58" s="196"/>
      <c r="Z58" s="196">
        <f t="shared" si="52"/>
        <v>100</v>
      </c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>
        <f t="shared" si="53"/>
        <v>17332.22</v>
      </c>
      <c r="AM58" s="197">
        <f t="shared" si="54"/>
        <v>35507.78</v>
      </c>
      <c r="AN58" s="708"/>
      <c r="AO58" s="201"/>
      <c r="AP58" s="198"/>
      <c r="AQ58" s="202">
        <f t="shared" si="55"/>
        <v>0</v>
      </c>
      <c r="AR58" s="203">
        <f t="shared" si="56"/>
        <v>35507.78</v>
      </c>
      <c r="AS58" s="203"/>
      <c r="AT58" s="203"/>
      <c r="AU58" s="203">
        <f t="shared" si="57"/>
        <v>545.49</v>
      </c>
      <c r="AV58" s="204"/>
      <c r="AW58" s="204" t="str">
        <f t="shared" si="58"/>
        <v>25%</v>
      </c>
      <c r="AX58" s="205">
        <v>22</v>
      </c>
      <c r="AY58" s="203">
        <v>150</v>
      </c>
      <c r="AZ58" s="204">
        <v>22</v>
      </c>
      <c r="BA58" s="203">
        <v>50</v>
      </c>
      <c r="BB58" s="203">
        <f t="shared" si="59"/>
        <v>0</v>
      </c>
      <c r="BC58" s="203">
        <f t="shared" si="60"/>
        <v>1100</v>
      </c>
      <c r="BD58" s="205"/>
    </row>
    <row r="59" spans="1:56" s="207" customFormat="1" ht="33" customHeight="1" x14ac:dyDescent="0.25">
      <c r="A59" s="199">
        <v>49</v>
      </c>
      <c r="B59" s="200"/>
      <c r="C59" s="323" t="s">
        <v>268</v>
      </c>
      <c r="D59" s="193">
        <v>16</v>
      </c>
      <c r="E59" s="194">
        <v>39672</v>
      </c>
      <c r="F59" s="194">
        <f t="shared" si="44"/>
        <v>100</v>
      </c>
      <c r="G59" s="194">
        <f t="shared" si="45"/>
        <v>4760.6400000000003</v>
      </c>
      <c r="H59" s="195">
        <f t="shared" si="46"/>
        <v>39672</v>
      </c>
      <c r="I59" s="195">
        <f t="shared" si="47"/>
        <v>2000</v>
      </c>
      <c r="J59" s="195">
        <f t="shared" si="48"/>
        <v>1100</v>
      </c>
      <c r="K59" s="195">
        <f t="shared" si="61"/>
        <v>150</v>
      </c>
      <c r="L59" s="195">
        <f t="shared" si="62"/>
        <v>9918</v>
      </c>
      <c r="M59" s="195">
        <f t="shared" si="49"/>
        <v>52840</v>
      </c>
      <c r="N59" s="195">
        <v>11968.3</v>
      </c>
      <c r="O59" s="195">
        <f t="shared" si="50"/>
        <v>793.44</v>
      </c>
      <c r="P59" s="196">
        <f t="shared" si="51"/>
        <v>3570.48</v>
      </c>
      <c r="Q59" s="196"/>
      <c r="R59" s="196"/>
      <c r="S59" s="196"/>
      <c r="T59" s="196"/>
      <c r="U59" s="196"/>
      <c r="V59" s="196"/>
      <c r="W59" s="196"/>
      <c r="X59" s="196"/>
      <c r="Y59" s="196"/>
      <c r="Z59" s="196">
        <f t="shared" si="52"/>
        <v>100</v>
      </c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>
        <f t="shared" si="53"/>
        <v>16432.22</v>
      </c>
      <c r="AM59" s="197">
        <f t="shared" si="54"/>
        <v>36407.78</v>
      </c>
      <c r="AN59" s="708"/>
      <c r="AO59" s="201"/>
      <c r="AP59" s="198"/>
      <c r="AQ59" s="202">
        <f t="shared" si="55"/>
        <v>0</v>
      </c>
      <c r="AR59" s="203">
        <f t="shared" si="56"/>
        <v>36407.78</v>
      </c>
      <c r="AS59" s="203"/>
      <c r="AT59" s="203"/>
      <c r="AU59" s="203">
        <f t="shared" si="57"/>
        <v>545.49</v>
      </c>
      <c r="AV59" s="204"/>
      <c r="AW59" s="204" t="str">
        <f t="shared" si="58"/>
        <v>25%</v>
      </c>
      <c r="AX59" s="205">
        <v>22</v>
      </c>
      <c r="AY59" s="203">
        <v>150</v>
      </c>
      <c r="AZ59" s="204">
        <v>22</v>
      </c>
      <c r="BA59" s="203">
        <v>50</v>
      </c>
      <c r="BB59" s="203">
        <f t="shared" si="59"/>
        <v>0</v>
      </c>
      <c r="BC59" s="203">
        <f t="shared" si="60"/>
        <v>1100</v>
      </c>
      <c r="BD59" s="205"/>
    </row>
    <row r="60" spans="1:56" s="207" customFormat="1" ht="33" customHeight="1" x14ac:dyDescent="0.25">
      <c r="A60" s="199">
        <v>50</v>
      </c>
      <c r="B60" s="200"/>
      <c r="C60" s="219" t="s">
        <v>269</v>
      </c>
      <c r="D60" s="193">
        <v>16</v>
      </c>
      <c r="E60" s="194">
        <v>39672</v>
      </c>
      <c r="F60" s="194">
        <f t="shared" si="44"/>
        <v>100</v>
      </c>
      <c r="G60" s="194">
        <f t="shared" si="45"/>
        <v>4760.6400000000003</v>
      </c>
      <c r="H60" s="195">
        <f t="shared" si="46"/>
        <v>39672</v>
      </c>
      <c r="I60" s="195">
        <f t="shared" si="47"/>
        <v>2000</v>
      </c>
      <c r="J60" s="195">
        <f t="shared" si="48"/>
        <v>1100</v>
      </c>
      <c r="K60" s="195">
        <f t="shared" si="61"/>
        <v>150</v>
      </c>
      <c r="L60" s="195">
        <f t="shared" si="62"/>
        <v>9918</v>
      </c>
      <c r="M60" s="195">
        <f t="shared" si="49"/>
        <v>52840</v>
      </c>
      <c r="N60" s="195">
        <v>8710.4699999999993</v>
      </c>
      <c r="O60" s="195">
        <f t="shared" si="50"/>
        <v>793.44</v>
      </c>
      <c r="P60" s="196">
        <f t="shared" si="51"/>
        <v>3570.48</v>
      </c>
      <c r="Q60" s="196"/>
      <c r="R60" s="196"/>
      <c r="S60" s="196"/>
      <c r="T60" s="196"/>
      <c r="U60" s="196"/>
      <c r="V60" s="196"/>
      <c r="W60" s="196"/>
      <c r="X60" s="196"/>
      <c r="Y60" s="196"/>
      <c r="Z60" s="196">
        <f t="shared" si="52"/>
        <v>100</v>
      </c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>
        <f t="shared" si="53"/>
        <v>13174.39</v>
      </c>
      <c r="AM60" s="197">
        <f t="shared" si="54"/>
        <v>39665.61</v>
      </c>
      <c r="AN60" s="708"/>
      <c r="AO60" s="201"/>
      <c r="AP60" s="198"/>
      <c r="AQ60" s="202">
        <f t="shared" si="55"/>
        <v>0</v>
      </c>
      <c r="AR60" s="203">
        <f t="shared" si="56"/>
        <v>39665.61</v>
      </c>
      <c r="AS60" s="203"/>
      <c r="AT60" s="203"/>
      <c r="AU60" s="203">
        <f t="shared" si="57"/>
        <v>545.49</v>
      </c>
      <c r="AV60" s="204"/>
      <c r="AW60" s="204" t="str">
        <f t="shared" si="58"/>
        <v>25%</v>
      </c>
      <c r="AX60" s="205">
        <v>22</v>
      </c>
      <c r="AY60" s="203">
        <v>150</v>
      </c>
      <c r="AZ60" s="204">
        <v>22</v>
      </c>
      <c r="BA60" s="203">
        <v>50</v>
      </c>
      <c r="BB60" s="203">
        <f t="shared" si="59"/>
        <v>0</v>
      </c>
      <c r="BC60" s="203">
        <f t="shared" si="60"/>
        <v>1100</v>
      </c>
      <c r="BD60" s="205"/>
    </row>
    <row r="61" spans="1:56" s="207" customFormat="1" ht="33" customHeight="1" x14ac:dyDescent="0.25">
      <c r="A61" s="199">
        <v>51</v>
      </c>
      <c r="B61" s="200"/>
      <c r="C61" s="219" t="s">
        <v>270</v>
      </c>
      <c r="D61" s="193">
        <v>16</v>
      </c>
      <c r="E61" s="194">
        <v>39672</v>
      </c>
      <c r="F61" s="194">
        <f t="shared" si="44"/>
        <v>100</v>
      </c>
      <c r="G61" s="194">
        <f t="shared" si="45"/>
        <v>4760.6400000000003</v>
      </c>
      <c r="H61" s="195">
        <f t="shared" si="46"/>
        <v>39672</v>
      </c>
      <c r="I61" s="195">
        <f t="shared" si="47"/>
        <v>2000</v>
      </c>
      <c r="J61" s="195">
        <f t="shared" si="48"/>
        <v>1100</v>
      </c>
      <c r="K61" s="195">
        <f t="shared" si="61"/>
        <v>150</v>
      </c>
      <c r="L61" s="195">
        <f t="shared" si="62"/>
        <v>9918</v>
      </c>
      <c r="M61" s="195">
        <f t="shared" si="49"/>
        <v>52840</v>
      </c>
      <c r="N61" s="195">
        <v>12755.76</v>
      </c>
      <c r="O61" s="195">
        <f t="shared" si="50"/>
        <v>793.44</v>
      </c>
      <c r="P61" s="196">
        <f t="shared" si="51"/>
        <v>3570.48</v>
      </c>
      <c r="Q61" s="196"/>
      <c r="R61" s="196"/>
      <c r="S61" s="196"/>
      <c r="T61" s="196"/>
      <c r="U61" s="196"/>
      <c r="V61" s="196"/>
      <c r="W61" s="196"/>
      <c r="X61" s="196"/>
      <c r="Y61" s="196"/>
      <c r="Z61" s="196">
        <f t="shared" si="52"/>
        <v>100</v>
      </c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>
        <f t="shared" si="53"/>
        <v>17219.68</v>
      </c>
      <c r="AM61" s="197">
        <f t="shared" si="54"/>
        <v>35620.32</v>
      </c>
      <c r="AN61" s="708"/>
      <c r="AO61" s="201"/>
      <c r="AP61" s="198"/>
      <c r="AQ61" s="202">
        <f t="shared" si="55"/>
        <v>0</v>
      </c>
      <c r="AR61" s="203">
        <f t="shared" si="56"/>
        <v>35620.32</v>
      </c>
      <c r="AS61" s="203"/>
      <c r="AT61" s="203"/>
      <c r="AU61" s="203">
        <f t="shared" si="57"/>
        <v>545.49</v>
      </c>
      <c r="AV61" s="204"/>
      <c r="AW61" s="204" t="str">
        <f t="shared" si="58"/>
        <v>25%</v>
      </c>
      <c r="AX61" s="205">
        <v>22</v>
      </c>
      <c r="AY61" s="203">
        <v>150</v>
      </c>
      <c r="AZ61" s="204">
        <v>22</v>
      </c>
      <c r="BA61" s="203">
        <v>50</v>
      </c>
      <c r="BB61" s="203">
        <f t="shared" si="59"/>
        <v>0</v>
      </c>
      <c r="BC61" s="203">
        <f t="shared" si="60"/>
        <v>1100</v>
      </c>
      <c r="BD61" s="205"/>
    </row>
    <row r="62" spans="1:56" s="207" customFormat="1" ht="33" customHeight="1" x14ac:dyDescent="0.25">
      <c r="A62" s="199"/>
      <c r="B62" s="200"/>
      <c r="C62" s="219" t="s">
        <v>338</v>
      </c>
      <c r="D62" s="193">
        <v>16</v>
      </c>
      <c r="E62" s="194"/>
      <c r="F62" s="194">
        <f>IF(H62&gt;0,100,0)</f>
        <v>0</v>
      </c>
      <c r="G62" s="194">
        <f>+ROUND(H62*12%,2)</f>
        <v>0</v>
      </c>
      <c r="H62" s="195">
        <f>ROUND(IF(AX62&gt;22,0,IF(AX62=22,E62,IF(AX62&lt;22,E62*(AX62/AZ62),IF(OR(AX62=0,AX62=" ")=TRUE,0)))),2)</f>
        <v>0</v>
      </c>
      <c r="I62" s="195">
        <f>ROUND(IF(AND(H62&gt;0,AX62=22)=TRUE,2000,IF(AND(H62&gt;0,AX62&lt;22,AX62&gt;0)=TRUE,2000*(AX62/AZ62),IF(AX62&lt;0,0,0))),2)</f>
        <v>0</v>
      </c>
      <c r="J62" s="195">
        <f>IF(H62&gt;0,BC62-BB62,0)</f>
        <v>0</v>
      </c>
      <c r="K62" s="195">
        <f>IF(AND(H62&gt;0,AX62&gt;11)=TRUE,150,0)</f>
        <v>0</v>
      </c>
      <c r="L62" s="195">
        <f>ROUND(IF(AND($H62&gt;0,AX62&gt;11)=TRUE,$AW62*$E62,0),2)</f>
        <v>0</v>
      </c>
      <c r="M62" s="195">
        <f>ROUND(SUM(H62:L62),2)</f>
        <v>0</v>
      </c>
      <c r="N62" s="320"/>
      <c r="O62" s="195">
        <f>E62*0.04/2</f>
        <v>0</v>
      </c>
      <c r="P62" s="196">
        <f>ROUND($H62*9%,2)</f>
        <v>0</v>
      </c>
      <c r="Q62" s="196"/>
      <c r="R62" s="196"/>
      <c r="S62" s="196"/>
      <c r="T62" s="196"/>
      <c r="U62" s="196"/>
      <c r="V62" s="196"/>
      <c r="W62" s="196"/>
      <c r="X62" s="196"/>
      <c r="Y62" s="196"/>
      <c r="Z62" s="196">
        <f>ROUND(IF(H62&gt;0,100,0),2)</f>
        <v>0</v>
      </c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>
        <f>SUM(N62:AK62)</f>
        <v>0</v>
      </c>
      <c r="AM62" s="197">
        <f>ROUND(M62-AL62,2)</f>
        <v>0</v>
      </c>
      <c r="AN62" s="708" t="s">
        <v>349</v>
      </c>
      <c r="AO62" s="201"/>
      <c r="AP62" s="198"/>
      <c r="AQ62" s="202">
        <f>SUM(AO62:AP62)</f>
        <v>0</v>
      </c>
      <c r="AR62" s="203">
        <f>+AM62-AQ62</f>
        <v>0</v>
      </c>
      <c r="AS62" s="203"/>
      <c r="AT62" s="203"/>
      <c r="AU62" s="203">
        <f>IF(E62=0,0,IF(E62&lt;=10000,137.5,IF(AND(E62&gt;10000,E62&lt;40000)=TRUE,E62*2.75%*50%,IF(E62&gt;=40000,550,0))))</f>
        <v>0</v>
      </c>
      <c r="AV62" s="204"/>
      <c r="AW62" s="204" t="str">
        <f>IF(AND($D62&gt;=1,$D62&lt;=19)=TRUE,"25%",IF($D62=20,"15%",IF($D62=21,"13%",IF($D62=22,"12%",IF($D62=23,"11%",IF(OR($D62=24,$D62=25)=TRUE,"10%",IF($D62=26,"9%",IF($D62=27,"8%",IF($D62=28,"7%",IF(OR($D62=29,$D62=30)=TRUE,"6%",IF($D62=31,"5%","0%")))))))))))</f>
        <v>25%</v>
      </c>
      <c r="AX62" s="205"/>
      <c r="AY62" s="203">
        <v>150</v>
      </c>
      <c r="AZ62" s="204">
        <v>22</v>
      </c>
      <c r="BA62" s="203">
        <v>50</v>
      </c>
      <c r="BB62" s="203">
        <f>IF(AX62&gt;0,(AZ62-AX62+BD62)*BA62,0)</f>
        <v>0</v>
      </c>
      <c r="BC62" s="203">
        <f>IF(AX62&gt;0,1100,0)</f>
        <v>0</v>
      </c>
      <c r="BD62" s="205"/>
    </row>
    <row r="63" spans="1:56" s="207" customFormat="1" ht="33" customHeight="1" x14ac:dyDescent="0.25">
      <c r="A63" s="199">
        <v>52</v>
      </c>
      <c r="B63" s="200"/>
      <c r="C63" s="219" t="s">
        <v>271</v>
      </c>
      <c r="D63" s="193">
        <v>16</v>
      </c>
      <c r="E63" s="194">
        <v>39672</v>
      </c>
      <c r="F63" s="194">
        <f t="shared" si="44"/>
        <v>100</v>
      </c>
      <c r="G63" s="194">
        <f t="shared" si="45"/>
        <v>4760.6400000000003</v>
      </c>
      <c r="H63" s="195">
        <f t="shared" si="46"/>
        <v>39672</v>
      </c>
      <c r="I63" s="195">
        <f t="shared" si="47"/>
        <v>2000</v>
      </c>
      <c r="J63" s="195">
        <f t="shared" si="48"/>
        <v>1100</v>
      </c>
      <c r="K63" s="195">
        <f t="shared" si="61"/>
        <v>150</v>
      </c>
      <c r="L63" s="195">
        <f t="shared" si="62"/>
        <v>9918</v>
      </c>
      <c r="M63" s="195">
        <f t="shared" si="49"/>
        <v>52840</v>
      </c>
      <c r="N63" s="195">
        <v>12868.3</v>
      </c>
      <c r="O63" s="195">
        <f t="shared" si="50"/>
        <v>793.44</v>
      </c>
      <c r="P63" s="196">
        <f t="shared" si="51"/>
        <v>3570.48</v>
      </c>
      <c r="Q63" s="196"/>
      <c r="R63" s="196"/>
      <c r="S63" s="196"/>
      <c r="T63" s="196"/>
      <c r="U63" s="196"/>
      <c r="V63" s="196"/>
      <c r="W63" s="196"/>
      <c r="X63" s="196"/>
      <c r="Y63" s="196"/>
      <c r="Z63" s="196">
        <f t="shared" si="52"/>
        <v>100</v>
      </c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>
        <f t="shared" si="53"/>
        <v>17332.22</v>
      </c>
      <c r="AM63" s="197">
        <f t="shared" si="54"/>
        <v>35507.78</v>
      </c>
      <c r="AN63" s="708"/>
      <c r="AO63" s="201"/>
      <c r="AP63" s="198"/>
      <c r="AQ63" s="202">
        <f t="shared" si="55"/>
        <v>0</v>
      </c>
      <c r="AR63" s="203">
        <f t="shared" si="56"/>
        <v>35507.78</v>
      </c>
      <c r="AS63" s="203"/>
      <c r="AT63" s="203"/>
      <c r="AU63" s="203">
        <f t="shared" si="57"/>
        <v>545.49</v>
      </c>
      <c r="AV63" s="204"/>
      <c r="AW63" s="204" t="str">
        <f t="shared" si="58"/>
        <v>25%</v>
      </c>
      <c r="AX63" s="205">
        <v>22</v>
      </c>
      <c r="AY63" s="203">
        <v>150</v>
      </c>
      <c r="AZ63" s="204">
        <v>22</v>
      </c>
      <c r="BA63" s="203">
        <v>50</v>
      </c>
      <c r="BB63" s="203">
        <f t="shared" si="59"/>
        <v>0</v>
      </c>
      <c r="BC63" s="203">
        <f t="shared" si="60"/>
        <v>1100</v>
      </c>
      <c r="BD63" s="205"/>
    </row>
    <row r="64" spans="1:56" s="207" customFormat="1" ht="33" customHeight="1" x14ac:dyDescent="0.25">
      <c r="A64" s="199">
        <v>53</v>
      </c>
      <c r="B64" s="200"/>
      <c r="C64" s="219" t="s">
        <v>272</v>
      </c>
      <c r="D64" s="193">
        <v>16</v>
      </c>
      <c r="E64" s="194">
        <v>39672</v>
      </c>
      <c r="F64" s="194">
        <f t="shared" si="44"/>
        <v>100</v>
      </c>
      <c r="G64" s="194">
        <f t="shared" si="45"/>
        <v>4760.6400000000003</v>
      </c>
      <c r="H64" s="195">
        <f t="shared" si="46"/>
        <v>39672</v>
      </c>
      <c r="I64" s="195">
        <f t="shared" si="47"/>
        <v>2000</v>
      </c>
      <c r="J64" s="195">
        <f t="shared" si="48"/>
        <v>1100</v>
      </c>
      <c r="K64" s="195">
        <f t="shared" si="61"/>
        <v>150</v>
      </c>
      <c r="L64" s="195">
        <f t="shared" si="62"/>
        <v>9918</v>
      </c>
      <c r="M64" s="195">
        <f t="shared" si="49"/>
        <v>52840</v>
      </c>
      <c r="N64" s="195">
        <v>12868.3</v>
      </c>
      <c r="O64" s="195">
        <f t="shared" si="50"/>
        <v>793.44</v>
      </c>
      <c r="P64" s="196">
        <f t="shared" si="51"/>
        <v>3570.48</v>
      </c>
      <c r="Q64" s="196"/>
      <c r="R64" s="196"/>
      <c r="S64" s="196"/>
      <c r="T64" s="196"/>
      <c r="U64" s="196"/>
      <c r="V64" s="196"/>
      <c r="W64" s="196"/>
      <c r="X64" s="196"/>
      <c r="Y64" s="196"/>
      <c r="Z64" s="196">
        <f t="shared" si="52"/>
        <v>100</v>
      </c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>
        <f t="shared" si="53"/>
        <v>17332.22</v>
      </c>
      <c r="AM64" s="197">
        <f t="shared" si="54"/>
        <v>35507.78</v>
      </c>
      <c r="AN64" s="708"/>
      <c r="AO64" s="201"/>
      <c r="AP64" s="198"/>
      <c r="AQ64" s="202">
        <f t="shared" si="55"/>
        <v>0</v>
      </c>
      <c r="AR64" s="203">
        <f t="shared" si="56"/>
        <v>35507.78</v>
      </c>
      <c r="AS64" s="203"/>
      <c r="AT64" s="203"/>
      <c r="AU64" s="203">
        <f t="shared" si="57"/>
        <v>545.49</v>
      </c>
      <c r="AV64" s="204"/>
      <c r="AW64" s="204" t="str">
        <f t="shared" si="58"/>
        <v>25%</v>
      </c>
      <c r="AX64" s="205">
        <v>22</v>
      </c>
      <c r="AY64" s="203">
        <v>150</v>
      </c>
      <c r="AZ64" s="204">
        <v>22</v>
      </c>
      <c r="BA64" s="203">
        <v>50</v>
      </c>
      <c r="BB64" s="203">
        <f t="shared" si="59"/>
        <v>0</v>
      </c>
      <c r="BC64" s="203">
        <f t="shared" si="60"/>
        <v>1100</v>
      </c>
      <c r="BD64" s="205"/>
    </row>
    <row r="65" spans="1:58" s="207" customFormat="1" ht="33" customHeight="1" x14ac:dyDescent="0.25">
      <c r="A65" s="199">
        <v>54</v>
      </c>
      <c r="B65" s="200"/>
      <c r="C65" s="219" t="s">
        <v>273</v>
      </c>
      <c r="D65" s="193">
        <v>16</v>
      </c>
      <c r="E65" s="194">
        <v>39672</v>
      </c>
      <c r="F65" s="194">
        <f t="shared" si="44"/>
        <v>100</v>
      </c>
      <c r="G65" s="194">
        <f t="shared" si="45"/>
        <v>4760.6400000000003</v>
      </c>
      <c r="H65" s="195">
        <f t="shared" si="46"/>
        <v>39672</v>
      </c>
      <c r="I65" s="195">
        <f t="shared" si="47"/>
        <v>2000</v>
      </c>
      <c r="J65" s="195">
        <f t="shared" si="48"/>
        <v>1100</v>
      </c>
      <c r="K65" s="195">
        <f t="shared" si="61"/>
        <v>150</v>
      </c>
      <c r="L65" s="195">
        <f t="shared" si="62"/>
        <v>9918</v>
      </c>
      <c r="M65" s="195">
        <f t="shared" si="49"/>
        <v>52840</v>
      </c>
      <c r="N65" s="195">
        <v>11343.3</v>
      </c>
      <c r="O65" s="195">
        <f t="shared" si="50"/>
        <v>793.44</v>
      </c>
      <c r="P65" s="196">
        <f t="shared" si="51"/>
        <v>3570.48</v>
      </c>
      <c r="Q65" s="196"/>
      <c r="R65" s="196"/>
      <c r="S65" s="196"/>
      <c r="T65" s="196"/>
      <c r="U65" s="196"/>
      <c r="V65" s="196"/>
      <c r="W65" s="196"/>
      <c r="X65" s="196"/>
      <c r="Y65" s="196"/>
      <c r="Z65" s="196">
        <f t="shared" si="52"/>
        <v>100</v>
      </c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>
        <f t="shared" si="53"/>
        <v>15807.22</v>
      </c>
      <c r="AM65" s="197">
        <f t="shared" si="54"/>
        <v>37032.78</v>
      </c>
      <c r="AN65" s="708"/>
      <c r="AO65" s="201"/>
      <c r="AP65" s="198"/>
      <c r="AQ65" s="202">
        <f t="shared" si="55"/>
        <v>0</v>
      </c>
      <c r="AR65" s="203">
        <f t="shared" si="56"/>
        <v>37032.78</v>
      </c>
      <c r="AS65" s="203"/>
      <c r="AT65" s="203"/>
      <c r="AU65" s="203">
        <f t="shared" si="57"/>
        <v>545.49</v>
      </c>
      <c r="AV65" s="204"/>
      <c r="AW65" s="204" t="str">
        <f t="shared" si="58"/>
        <v>25%</v>
      </c>
      <c r="AX65" s="205">
        <v>22</v>
      </c>
      <c r="AY65" s="203">
        <v>150</v>
      </c>
      <c r="AZ65" s="204">
        <v>22</v>
      </c>
      <c r="BA65" s="203">
        <v>50</v>
      </c>
      <c r="BB65" s="203">
        <f t="shared" si="59"/>
        <v>0</v>
      </c>
      <c r="BC65" s="203">
        <f t="shared" si="60"/>
        <v>1100</v>
      </c>
      <c r="BD65" s="205"/>
    </row>
    <row r="66" spans="1:58" s="207" customFormat="1" ht="33" customHeight="1" x14ac:dyDescent="0.25">
      <c r="A66" s="199">
        <v>55</v>
      </c>
      <c r="B66" s="200"/>
      <c r="C66" s="219" t="s">
        <v>274</v>
      </c>
      <c r="D66" s="193">
        <v>16</v>
      </c>
      <c r="E66" s="194">
        <v>39672</v>
      </c>
      <c r="F66" s="194">
        <f t="shared" si="44"/>
        <v>100</v>
      </c>
      <c r="G66" s="194">
        <f t="shared" si="45"/>
        <v>4760.6400000000003</v>
      </c>
      <c r="H66" s="195">
        <f t="shared" si="46"/>
        <v>39672</v>
      </c>
      <c r="I66" s="195">
        <f t="shared" si="47"/>
        <v>2000</v>
      </c>
      <c r="J66" s="195">
        <f t="shared" si="48"/>
        <v>1100</v>
      </c>
      <c r="K66" s="195">
        <f t="shared" si="61"/>
        <v>150</v>
      </c>
      <c r="L66" s="195">
        <f t="shared" si="62"/>
        <v>9918</v>
      </c>
      <c r="M66" s="195">
        <f t="shared" si="49"/>
        <v>52840</v>
      </c>
      <c r="N66" s="195">
        <v>12649.49</v>
      </c>
      <c r="O66" s="195">
        <f t="shared" si="50"/>
        <v>793.44</v>
      </c>
      <c r="P66" s="196">
        <f t="shared" si="51"/>
        <v>3570.48</v>
      </c>
      <c r="Q66" s="196"/>
      <c r="R66" s="196"/>
      <c r="S66" s="196"/>
      <c r="T66" s="196"/>
      <c r="U66" s="196"/>
      <c r="V66" s="196"/>
      <c r="W66" s="196"/>
      <c r="X66" s="196"/>
      <c r="Y66" s="196"/>
      <c r="Z66" s="196">
        <f t="shared" si="52"/>
        <v>100</v>
      </c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>
        <f t="shared" si="53"/>
        <v>17113.41</v>
      </c>
      <c r="AM66" s="197">
        <f t="shared" si="54"/>
        <v>35726.589999999997</v>
      </c>
      <c r="AN66" s="708"/>
      <c r="AO66" s="201"/>
      <c r="AP66" s="198"/>
      <c r="AQ66" s="202">
        <f t="shared" si="55"/>
        <v>0</v>
      </c>
      <c r="AR66" s="203">
        <f t="shared" si="56"/>
        <v>35726.589999999997</v>
      </c>
      <c r="AS66" s="203"/>
      <c r="AT66" s="203"/>
      <c r="AU66" s="203">
        <f t="shared" si="57"/>
        <v>545.49</v>
      </c>
      <c r="AV66" s="204"/>
      <c r="AW66" s="204" t="str">
        <f t="shared" si="58"/>
        <v>25%</v>
      </c>
      <c r="AX66" s="205">
        <v>22</v>
      </c>
      <c r="AY66" s="203">
        <v>150</v>
      </c>
      <c r="AZ66" s="204">
        <v>22</v>
      </c>
      <c r="BA66" s="203">
        <v>50</v>
      </c>
      <c r="BB66" s="203">
        <f t="shared" si="59"/>
        <v>0</v>
      </c>
      <c r="BC66" s="203">
        <f t="shared" si="60"/>
        <v>1100</v>
      </c>
      <c r="BD66" s="205"/>
    </row>
    <row r="67" spans="1:58" s="207" customFormat="1" ht="33" customHeight="1" x14ac:dyDescent="0.25">
      <c r="A67" s="199">
        <v>56</v>
      </c>
      <c r="B67" s="200"/>
      <c r="C67" s="219" t="s">
        <v>275</v>
      </c>
      <c r="D67" s="193">
        <v>16</v>
      </c>
      <c r="E67" s="194">
        <v>39672</v>
      </c>
      <c r="F67" s="194">
        <f t="shared" si="44"/>
        <v>100</v>
      </c>
      <c r="G67" s="194">
        <f t="shared" si="45"/>
        <v>4760.6400000000003</v>
      </c>
      <c r="H67" s="195">
        <f t="shared" si="46"/>
        <v>39672</v>
      </c>
      <c r="I67" s="195">
        <f t="shared" si="47"/>
        <v>2000</v>
      </c>
      <c r="J67" s="195">
        <f t="shared" si="48"/>
        <v>1100</v>
      </c>
      <c r="K67" s="195">
        <f t="shared" si="61"/>
        <v>150</v>
      </c>
      <c r="L67" s="195">
        <f t="shared" si="62"/>
        <v>9918</v>
      </c>
      <c r="M67" s="195">
        <f t="shared" si="49"/>
        <v>52840</v>
      </c>
      <c r="N67" s="320">
        <v>12568.3</v>
      </c>
      <c r="O67" s="195">
        <v>763</v>
      </c>
      <c r="P67" s="196">
        <f t="shared" si="51"/>
        <v>3570.48</v>
      </c>
      <c r="Q67" s="196"/>
      <c r="R67" s="196"/>
      <c r="S67" s="196"/>
      <c r="T67" s="196"/>
      <c r="U67" s="196"/>
      <c r="V67" s="196"/>
      <c r="W67" s="196"/>
      <c r="X67" s="196"/>
      <c r="Y67" s="196"/>
      <c r="Z67" s="196">
        <f t="shared" si="52"/>
        <v>100</v>
      </c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>
        <f t="shared" si="53"/>
        <v>17001.78</v>
      </c>
      <c r="AM67" s="197">
        <f t="shared" si="54"/>
        <v>35838.22</v>
      </c>
      <c r="AN67" s="708"/>
      <c r="AO67" s="201"/>
      <c r="AP67" s="198"/>
      <c r="AQ67" s="202">
        <f t="shared" si="55"/>
        <v>0</v>
      </c>
      <c r="AR67" s="203">
        <f t="shared" si="56"/>
        <v>35838.22</v>
      </c>
      <c r="AS67" s="203"/>
      <c r="AT67" s="203"/>
      <c r="AU67" s="203">
        <f t="shared" si="57"/>
        <v>545.49</v>
      </c>
      <c r="AV67" s="204"/>
      <c r="AW67" s="204" t="str">
        <f t="shared" si="58"/>
        <v>25%</v>
      </c>
      <c r="AX67" s="205">
        <v>22</v>
      </c>
      <c r="AY67" s="203">
        <v>150</v>
      </c>
      <c r="AZ67" s="204">
        <v>22</v>
      </c>
      <c r="BA67" s="203">
        <v>50</v>
      </c>
      <c r="BB67" s="203">
        <f t="shared" si="59"/>
        <v>0</v>
      </c>
      <c r="BC67" s="203">
        <f t="shared" si="60"/>
        <v>1100</v>
      </c>
      <c r="BD67" s="205"/>
    </row>
    <row r="68" spans="1:58" s="207" customFormat="1" ht="33" customHeight="1" x14ac:dyDescent="0.25">
      <c r="A68" s="199">
        <v>57</v>
      </c>
      <c r="B68" s="200"/>
      <c r="C68" s="219" t="s">
        <v>276</v>
      </c>
      <c r="D68" s="193">
        <v>16</v>
      </c>
      <c r="E68" s="194">
        <v>39672</v>
      </c>
      <c r="F68" s="194">
        <f>IF(H68&gt;0,100,0)</f>
        <v>100</v>
      </c>
      <c r="G68" s="194">
        <f>+ROUND(H68*12%,2)</f>
        <v>4760.6400000000003</v>
      </c>
      <c r="H68" s="195">
        <f>ROUND(IF(AX68&gt;22,0,IF(AX68=22,E68,IF(AX68&lt;22,E68*(AX68/AZ68),IF(OR(AX68=0,AX68=" ")=TRUE,0)))),2)</f>
        <v>39672</v>
      </c>
      <c r="I68" s="195">
        <f>ROUND(IF(AND(H68&gt;0,AX68=22)=TRUE,2000,IF(AND(H68&gt;0,AX68&lt;22,AX68&gt;0)=TRUE,2000*(AX68/AZ68),IF(AX68&lt;0,0,0))),2)</f>
        <v>2000</v>
      </c>
      <c r="J68" s="195">
        <f>IF(H68&gt;0,BC68-BB68,0)</f>
        <v>1100</v>
      </c>
      <c r="K68" s="195">
        <f>IF(AND(H68&gt;0,AX68&gt;11)=TRUE,150,0)</f>
        <v>150</v>
      </c>
      <c r="L68" s="195">
        <f>ROUND(IF(AND($H68&gt;0,AX68&gt;11)=TRUE,$AW68*$E68,0),2)</f>
        <v>9918</v>
      </c>
      <c r="M68" s="195">
        <f>ROUND(SUM(H68:L68),2)</f>
        <v>52840</v>
      </c>
      <c r="N68" s="320">
        <v>12868.3</v>
      </c>
      <c r="O68" s="195">
        <v>763</v>
      </c>
      <c r="P68" s="196">
        <f>ROUND($H68*9%,2)</f>
        <v>3570.48</v>
      </c>
      <c r="Q68" s="196"/>
      <c r="R68" s="196"/>
      <c r="S68" s="196"/>
      <c r="T68" s="196"/>
      <c r="U68" s="196"/>
      <c r="V68" s="196"/>
      <c r="W68" s="196"/>
      <c r="X68" s="196"/>
      <c r="Y68" s="196"/>
      <c r="Z68" s="196">
        <f>ROUND(IF(H68&gt;0,100,0),2)</f>
        <v>100</v>
      </c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>
        <f>SUM(N68:AK68)</f>
        <v>17301.78</v>
      </c>
      <c r="AM68" s="197">
        <f>ROUND(M68-AL68,2)</f>
        <v>35538.22</v>
      </c>
      <c r="AN68" s="708"/>
      <c r="AO68" s="201"/>
      <c r="AP68" s="198"/>
      <c r="AQ68" s="202">
        <f>SUM(AO68:AP68)</f>
        <v>0</v>
      </c>
      <c r="AR68" s="203">
        <f>+AM68-AQ68</f>
        <v>35538.22</v>
      </c>
      <c r="AS68" s="203"/>
      <c r="AT68" s="203"/>
      <c r="AU68" s="203">
        <f>IF(E68=0,0,IF(E68&lt;=10000,137.5,IF(AND(E68&gt;10000,E68&lt;40000)=TRUE,E68*2.75%*50%,IF(E68&gt;=40000,550,0))))</f>
        <v>545.49</v>
      </c>
      <c r="AV68" s="204"/>
      <c r="AW68" s="204" t="str">
        <f>IF(AND($D68&gt;=1,$D68&lt;=19)=TRUE,"25%",IF($D68=20,"15%",IF($D68=21,"13%",IF($D68=22,"12%",IF($D68=23,"11%",IF(OR($D68=24,$D68=25)=TRUE,"10%",IF($D68=26,"9%",IF($D68=27,"8%",IF($D68=28,"7%",IF(OR($D68=29,$D68=30)=TRUE,"6%",IF($D68=31,"5%","0%")))))))))))</f>
        <v>25%</v>
      </c>
      <c r="AX68" s="205">
        <v>22</v>
      </c>
      <c r="AY68" s="203">
        <v>150</v>
      </c>
      <c r="AZ68" s="204">
        <v>22</v>
      </c>
      <c r="BA68" s="203">
        <v>50</v>
      </c>
      <c r="BB68" s="203">
        <f>IF(AX68&gt;0,(AZ68-AX68+BD68)*BA68,0)</f>
        <v>0</v>
      </c>
      <c r="BC68" s="203">
        <f>IF(AX68&gt;0,1100,0)</f>
        <v>1100</v>
      </c>
      <c r="BD68" s="205"/>
    </row>
    <row r="69" spans="1:58" s="207" customFormat="1" ht="33" customHeight="1" x14ac:dyDescent="0.25">
      <c r="A69" s="199">
        <v>58</v>
      </c>
      <c r="B69" s="200"/>
      <c r="C69" s="219" t="s">
        <v>311</v>
      </c>
      <c r="D69" s="193">
        <v>16</v>
      </c>
      <c r="E69" s="194">
        <v>39672</v>
      </c>
      <c r="F69" s="194">
        <f>IF(H69&gt;0,100,0)</f>
        <v>100</v>
      </c>
      <c r="G69" s="194">
        <f>+ROUND(H69*12%,2)</f>
        <v>4760.6400000000003</v>
      </c>
      <c r="H69" s="195">
        <f>ROUND(IF(AX69&gt;22,0,IF(AX69=22,E69,IF(AX69&lt;22,E69*(AX69/AZ69),IF(OR(AX69=0,AX69=" ")=TRUE,0)))),2)</f>
        <v>39672</v>
      </c>
      <c r="I69" s="195">
        <f>ROUND(IF(AND(H69&gt;0,AX69=22)=TRUE,2000,IF(AND(H69&gt;0,AX69&lt;22,AX69&gt;0)=TRUE,2000*(AX69/AZ69),IF(AX69&lt;0,0,0))),2)</f>
        <v>2000</v>
      </c>
      <c r="J69" s="195">
        <f>IF(H69&gt;0,BC69-BB69,0)</f>
        <v>700</v>
      </c>
      <c r="K69" s="195">
        <f>IF(AND(H69&gt;0,AX69&gt;11)=TRUE,150,0)</f>
        <v>150</v>
      </c>
      <c r="L69" s="195">
        <f>ROUND(IF(AND($H69&gt;0,AX69&gt;11)=TRUE,$AW69*$E69,0),2)</f>
        <v>9918</v>
      </c>
      <c r="M69" s="195">
        <f>ROUND(SUM(H69:L69),2)</f>
        <v>52440</v>
      </c>
      <c r="N69" s="320">
        <v>12568.3</v>
      </c>
      <c r="O69" s="195">
        <v>763</v>
      </c>
      <c r="P69" s="196">
        <f>ROUND($H69*9%,2)</f>
        <v>3570.48</v>
      </c>
      <c r="Q69" s="196"/>
      <c r="R69" s="196"/>
      <c r="S69" s="196"/>
      <c r="T69" s="196"/>
      <c r="U69" s="196"/>
      <c r="V69" s="196"/>
      <c r="W69" s="196"/>
      <c r="X69" s="196"/>
      <c r="Y69" s="196"/>
      <c r="Z69" s="196">
        <f>ROUND(IF(H69&gt;0,100,0),2)</f>
        <v>100</v>
      </c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>
        <f>SUM(N69:AK69)</f>
        <v>17001.78</v>
      </c>
      <c r="AM69" s="197">
        <f>ROUND(M69-AL69,2)</f>
        <v>35438.22</v>
      </c>
      <c r="AN69" s="708" t="s">
        <v>358</v>
      </c>
      <c r="AO69" s="201"/>
      <c r="AP69" s="198"/>
      <c r="AQ69" s="202">
        <f>SUM(AO69:AP69)</f>
        <v>0</v>
      </c>
      <c r="AR69" s="203">
        <f>+AM69-AQ69</f>
        <v>35438.22</v>
      </c>
      <c r="AS69" s="203"/>
      <c r="AT69" s="203"/>
      <c r="AU69" s="203">
        <f>IF(E69=0,0,IF(E69&lt;=10000,137.5,IF(AND(E69&gt;10000,E69&lt;40000)=TRUE,E69*2.75%*50%,IF(E69&gt;=40000,550,0))))</f>
        <v>545.49</v>
      </c>
      <c r="AV69" s="204"/>
      <c r="AW69" s="204" t="str">
        <f>IF(AND($D69&gt;=1,$D69&lt;=19)=TRUE,"25%",IF($D69=20,"15%",IF($D69=21,"13%",IF($D69=22,"12%",IF($D69=23,"11%",IF(OR($D69=24,$D69=25)=TRUE,"10%",IF($D69=26,"9%",IF($D69=27,"8%",IF($D69=28,"7%",IF(OR($D69=29,$D69=30)=TRUE,"6%",IF($D69=31,"5%","0%")))))))))))</f>
        <v>25%</v>
      </c>
      <c r="AX69" s="205">
        <v>22</v>
      </c>
      <c r="AY69" s="203">
        <v>150</v>
      </c>
      <c r="AZ69" s="204">
        <v>22</v>
      </c>
      <c r="BA69" s="203">
        <v>50</v>
      </c>
      <c r="BB69" s="203">
        <f>IF(AX69&gt;0,(AZ69-AX69+BD69)*BA69,0)</f>
        <v>400</v>
      </c>
      <c r="BC69" s="203">
        <f>IF(AX69&gt;0,1100,0)</f>
        <v>1100</v>
      </c>
      <c r="BD69" s="205">
        <v>8</v>
      </c>
    </row>
    <row r="70" spans="1:58" s="207" customFormat="1" ht="33" customHeight="1" x14ac:dyDescent="0.25">
      <c r="A70" s="199">
        <v>59</v>
      </c>
      <c r="B70" s="200"/>
      <c r="C70" s="219" t="s">
        <v>312</v>
      </c>
      <c r="D70" s="193">
        <v>16</v>
      </c>
      <c r="E70" s="194">
        <v>39672</v>
      </c>
      <c r="F70" s="194">
        <f>IF(H70&gt;0,100,0)</f>
        <v>100</v>
      </c>
      <c r="G70" s="194">
        <f>+ROUND(H70*12%,2)</f>
        <v>4760.6400000000003</v>
      </c>
      <c r="H70" s="195">
        <f>ROUND(IF(AX70&gt;22,0,IF(AX70=22,E70,IF(AX70&lt;22,E70*(AX70/AZ70),IF(OR(AX70=0,AX70=" ")=TRUE,0)))),2)</f>
        <v>39672</v>
      </c>
      <c r="I70" s="195">
        <f>ROUND(IF(AND(H70&gt;0,AX70=22)=TRUE,2000,IF(AND(H70&gt;0,AX70&lt;22,AX70&gt;0)=TRUE,2000*(AX70/AZ70),IF(AX70&lt;0,0,0))),2)</f>
        <v>2000</v>
      </c>
      <c r="J70" s="195">
        <f>IF(H70&gt;0,BC70-BB70,0)</f>
        <v>1100</v>
      </c>
      <c r="K70" s="195">
        <f>IF(AND(H70&gt;0,AX70&gt;11)=TRUE,150,0)</f>
        <v>150</v>
      </c>
      <c r="L70" s="195">
        <f>ROUND(IF(AND($H70&gt;0,AX70&gt;11)=TRUE,$AW70*$E70,0),2)</f>
        <v>9918</v>
      </c>
      <c r="M70" s="195">
        <f>ROUND(SUM(H70:L70),2)</f>
        <v>52840</v>
      </c>
      <c r="N70" s="195">
        <v>12793.3</v>
      </c>
      <c r="O70" s="195">
        <v>763</v>
      </c>
      <c r="P70" s="196">
        <f>ROUND($H70*9%,2)</f>
        <v>3570.48</v>
      </c>
      <c r="Q70" s="196"/>
      <c r="R70" s="196"/>
      <c r="S70" s="196"/>
      <c r="T70" s="196"/>
      <c r="U70" s="196"/>
      <c r="V70" s="196"/>
      <c r="W70" s="196"/>
      <c r="X70" s="196"/>
      <c r="Y70" s="196"/>
      <c r="Z70" s="196">
        <f>ROUND(IF(H70&gt;0,100,0),2)</f>
        <v>100</v>
      </c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>
        <f>SUM(N70:AK70)</f>
        <v>17226.78</v>
      </c>
      <c r="AM70" s="197">
        <f>ROUND(M70-AL70,2)</f>
        <v>35613.22</v>
      </c>
      <c r="AN70" s="708"/>
      <c r="AO70" s="201"/>
      <c r="AP70" s="198"/>
      <c r="AQ70" s="202">
        <f>SUM(AO70:AP70)</f>
        <v>0</v>
      </c>
      <c r="AR70" s="203">
        <f>+AM70-AQ70</f>
        <v>35613.22</v>
      </c>
      <c r="AS70" s="203"/>
      <c r="AT70" s="203"/>
      <c r="AU70" s="203">
        <f>IF(E70=0,0,IF(E70&lt;=10000,137.5,IF(AND(E70&gt;10000,E70&lt;40000)=TRUE,E70*2.75%*50%,IF(E70&gt;=40000,550,0))))</f>
        <v>545.49</v>
      </c>
      <c r="AV70" s="204"/>
      <c r="AW70" s="204" t="str">
        <f>IF(AND($D70&gt;=1,$D70&lt;=19)=TRUE,"25%",IF($D70=20,"15%",IF($D70=21,"13%",IF($D70=22,"12%",IF($D70=23,"11%",IF(OR($D70=24,$D70=25)=TRUE,"10%",IF($D70=26,"9%",IF($D70=27,"8%",IF($D70=28,"7%",IF(OR($D70=29,$D70=30)=TRUE,"6%",IF($D70=31,"5%","0%")))))))))))</f>
        <v>25%</v>
      </c>
      <c r="AX70" s="205">
        <v>22</v>
      </c>
      <c r="AY70" s="203">
        <v>150</v>
      </c>
      <c r="AZ70" s="204">
        <v>22</v>
      </c>
      <c r="BA70" s="203">
        <v>50</v>
      </c>
      <c r="BB70" s="203">
        <f>IF(AX70&gt;0,(AZ70-AX70+BD70)*BA70,0)</f>
        <v>0</v>
      </c>
      <c r="BC70" s="203">
        <f>IF(AX70&gt;0,1100,0)</f>
        <v>1100</v>
      </c>
      <c r="BD70" s="205"/>
    </row>
    <row r="71" spans="1:58" s="207" customFormat="1" ht="33" customHeight="1" x14ac:dyDescent="0.25">
      <c r="A71" s="199">
        <v>60</v>
      </c>
      <c r="B71" s="200"/>
      <c r="C71" s="240" t="s">
        <v>313</v>
      </c>
      <c r="D71" s="193">
        <v>16</v>
      </c>
      <c r="E71" s="194">
        <v>39672</v>
      </c>
      <c r="F71" s="194">
        <f>IF(H71&gt;0,100,0)</f>
        <v>100</v>
      </c>
      <c r="G71" s="194">
        <f>+ROUND(H71*12%,2)</f>
        <v>4760.6400000000003</v>
      </c>
      <c r="H71" s="195">
        <f>ROUND(IF(AX71&gt;22,0,IF(AX71=22,E71,IF(AX71&lt;22,E71*(AX71/AZ71),IF(OR(AX71=0,AX71=" ")=TRUE,0)))),2)</f>
        <v>39672</v>
      </c>
      <c r="I71" s="195">
        <f>ROUND(IF(AND(H71&gt;0,AX71=22)=TRUE,2000,IF(AND(H71&gt;0,AX71&lt;22,AX71&gt;0)=TRUE,2000*(AX71/AZ71),IF(AX71&lt;0,0,0))),2)</f>
        <v>2000</v>
      </c>
      <c r="J71" s="195">
        <f>IF(H71&gt;0,BC71-BB71,0)</f>
        <v>1100</v>
      </c>
      <c r="K71" s="195">
        <f>IF(AND(H71&gt;0,AX71&gt;11)=TRUE,150,0)</f>
        <v>150</v>
      </c>
      <c r="L71" s="195">
        <f>ROUND(IF(AND($H71&gt;0,AX71&gt;11)=TRUE,$AW71*$E71,0),2)</f>
        <v>9918</v>
      </c>
      <c r="M71" s="195">
        <f>ROUND(SUM(H71:L71),2)</f>
        <v>52840</v>
      </c>
      <c r="N71" s="195">
        <v>12568.3</v>
      </c>
      <c r="O71" s="195">
        <v>763</v>
      </c>
      <c r="P71" s="196">
        <f>ROUND($H71*9%,2)</f>
        <v>3570.48</v>
      </c>
      <c r="Q71" s="196"/>
      <c r="R71" s="196"/>
      <c r="S71" s="196"/>
      <c r="T71" s="196"/>
      <c r="U71" s="196"/>
      <c r="V71" s="196"/>
      <c r="W71" s="196"/>
      <c r="X71" s="196"/>
      <c r="Y71" s="196"/>
      <c r="Z71" s="196">
        <f>ROUND(IF(H71&gt;0,100,0),2)</f>
        <v>100</v>
      </c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>
        <f>SUM(N71:AK71)</f>
        <v>17001.78</v>
      </c>
      <c r="AM71" s="197">
        <f>ROUND(M71-AL71,2)</f>
        <v>35838.22</v>
      </c>
      <c r="AN71" s="708"/>
      <c r="AO71" s="230"/>
      <c r="AP71" s="198"/>
      <c r="AQ71" s="202">
        <f>SUM(AO71:AP71)</f>
        <v>0</v>
      </c>
      <c r="AR71" s="203">
        <f>+AM71-AQ71</f>
        <v>35838.22</v>
      </c>
      <c r="AS71" s="203"/>
      <c r="AT71" s="203"/>
      <c r="AU71" s="203">
        <f>IF(E71=0,0,IF(E71&lt;=10000,137.5,IF(AND(E71&gt;10000,E71&lt;40000)=TRUE,E71*2.75%*50%,IF(E71&gt;=40000,550,0))))</f>
        <v>545.49</v>
      </c>
      <c r="AV71" s="204"/>
      <c r="AW71" s="204" t="str">
        <f>IF(AND($D71&gt;=1,$D71&lt;=19)=TRUE,"25%",IF($D71=20,"15%",IF($D71=21,"13%",IF($D71=22,"12%",IF($D71=23,"11%",IF(OR($D71=24,$D71=25)=TRUE,"10%",IF($D71=26,"9%",IF($D71=27,"8%",IF($D71=28,"7%",IF(OR($D71=29,$D71=30)=TRUE,"6%",IF($D71=31,"5%","0%")))))))))))</f>
        <v>25%</v>
      </c>
      <c r="AX71" s="205">
        <v>22</v>
      </c>
      <c r="AY71" s="203">
        <v>150</v>
      </c>
      <c r="AZ71" s="204">
        <v>22</v>
      </c>
      <c r="BA71" s="203">
        <v>50</v>
      </c>
      <c r="BB71" s="203">
        <f>IF(AX71&gt;0,(AZ71-AX71+BD71)*BA71,0)</f>
        <v>0</v>
      </c>
      <c r="BC71" s="203">
        <f>IF(AX71&gt;0,1100,0)</f>
        <v>1100</v>
      </c>
      <c r="BD71" s="205"/>
    </row>
    <row r="72" spans="1:58" s="707" customFormat="1" ht="33" customHeight="1" x14ac:dyDescent="0.25">
      <c r="A72" s="705"/>
      <c r="B72" s="706"/>
      <c r="C72" s="695" t="s">
        <v>102</v>
      </c>
      <c r="D72" s="696"/>
      <c r="E72" s="697">
        <f>ROUND(SUM(E51:E71),2)</f>
        <v>793440</v>
      </c>
      <c r="F72" s="697">
        <f t="shared" ref="F72:BD72" si="65">ROUND(SUM(F51:F71),2)</f>
        <v>2000</v>
      </c>
      <c r="G72" s="697">
        <f t="shared" si="65"/>
        <v>95212.800000000003</v>
      </c>
      <c r="H72" s="697">
        <f t="shared" si="65"/>
        <v>793440</v>
      </c>
      <c r="I72" s="697">
        <f t="shared" si="65"/>
        <v>40000</v>
      </c>
      <c r="J72" s="712">
        <f t="shared" si="65"/>
        <v>21600</v>
      </c>
      <c r="K72" s="697">
        <f t="shared" si="65"/>
        <v>3000</v>
      </c>
      <c r="L72" s="697">
        <f t="shared" si="65"/>
        <v>198360</v>
      </c>
      <c r="M72" s="697">
        <f>ROUND(SUM(M51:M71),2)</f>
        <v>1056400</v>
      </c>
      <c r="N72" s="697">
        <f t="shared" si="65"/>
        <v>248646.22</v>
      </c>
      <c r="O72" s="697">
        <f t="shared" si="65"/>
        <v>15716.6</v>
      </c>
      <c r="P72" s="697">
        <f t="shared" si="65"/>
        <v>71409.600000000006</v>
      </c>
      <c r="Q72" s="697">
        <f t="shared" si="65"/>
        <v>0</v>
      </c>
      <c r="R72" s="697">
        <f t="shared" si="65"/>
        <v>0</v>
      </c>
      <c r="S72" s="697">
        <f t="shared" si="65"/>
        <v>0</v>
      </c>
      <c r="T72" s="697">
        <f t="shared" si="65"/>
        <v>0</v>
      </c>
      <c r="U72" s="697">
        <f t="shared" si="65"/>
        <v>0</v>
      </c>
      <c r="V72" s="697">
        <f t="shared" si="65"/>
        <v>0</v>
      </c>
      <c r="W72" s="697">
        <f t="shared" si="65"/>
        <v>0</v>
      </c>
      <c r="X72" s="697">
        <f t="shared" si="65"/>
        <v>0</v>
      </c>
      <c r="Y72" s="697">
        <f t="shared" si="65"/>
        <v>0</v>
      </c>
      <c r="Z72" s="697">
        <f t="shared" si="65"/>
        <v>2000</v>
      </c>
      <c r="AA72" s="697">
        <f t="shared" si="65"/>
        <v>0</v>
      </c>
      <c r="AB72" s="697">
        <f t="shared" si="65"/>
        <v>0</v>
      </c>
      <c r="AC72" s="697">
        <f t="shared" si="65"/>
        <v>0</v>
      </c>
      <c r="AD72" s="697">
        <f t="shared" si="65"/>
        <v>0</v>
      </c>
      <c r="AE72" s="697">
        <f t="shared" si="65"/>
        <v>0</v>
      </c>
      <c r="AF72" s="697">
        <f t="shared" si="65"/>
        <v>0</v>
      </c>
      <c r="AG72" s="697">
        <f t="shared" si="65"/>
        <v>0</v>
      </c>
      <c r="AH72" s="697">
        <f t="shared" si="65"/>
        <v>0</v>
      </c>
      <c r="AI72" s="697">
        <f t="shared" si="65"/>
        <v>0</v>
      </c>
      <c r="AJ72" s="697">
        <f t="shared" si="65"/>
        <v>0</v>
      </c>
      <c r="AK72" s="697">
        <f t="shared" si="65"/>
        <v>0</v>
      </c>
      <c r="AL72" s="697">
        <f t="shared" si="65"/>
        <v>337772.42</v>
      </c>
      <c r="AM72" s="697">
        <f t="shared" si="65"/>
        <v>718627.58</v>
      </c>
      <c r="AN72" s="711">
        <f t="shared" si="65"/>
        <v>0</v>
      </c>
      <c r="AO72" s="697">
        <f t="shared" si="65"/>
        <v>0</v>
      </c>
      <c r="AP72" s="697">
        <f t="shared" si="65"/>
        <v>0</v>
      </c>
      <c r="AQ72" s="697">
        <f t="shared" si="65"/>
        <v>0</v>
      </c>
      <c r="AR72" s="697">
        <f t="shared" si="65"/>
        <v>718627.58</v>
      </c>
      <c r="AS72" s="697">
        <f t="shared" si="65"/>
        <v>0</v>
      </c>
      <c r="AT72" s="697">
        <f t="shared" si="65"/>
        <v>0</v>
      </c>
      <c r="AU72" s="697">
        <f t="shared" si="65"/>
        <v>10909.8</v>
      </c>
      <c r="AV72" s="697">
        <f t="shared" si="65"/>
        <v>0</v>
      </c>
      <c r="AW72" s="697">
        <f t="shared" si="65"/>
        <v>0</v>
      </c>
      <c r="AX72" s="697">
        <f t="shared" si="65"/>
        <v>440</v>
      </c>
      <c r="AY72" s="697">
        <f t="shared" si="65"/>
        <v>3150</v>
      </c>
      <c r="AZ72" s="697">
        <f t="shared" si="65"/>
        <v>462</v>
      </c>
      <c r="BA72" s="697">
        <f t="shared" si="65"/>
        <v>1050</v>
      </c>
      <c r="BB72" s="697">
        <f t="shared" si="65"/>
        <v>400</v>
      </c>
      <c r="BC72" s="697">
        <f t="shared" si="65"/>
        <v>22000</v>
      </c>
      <c r="BD72" s="697">
        <f t="shared" si="65"/>
        <v>8</v>
      </c>
      <c r="BE72" s="697"/>
    </row>
    <row r="73" spans="1:58" s="207" customFormat="1" ht="35.1" customHeight="1" x14ac:dyDescent="0.25">
      <c r="A73" s="199">
        <v>61</v>
      </c>
      <c r="B73" s="200"/>
      <c r="C73" s="219" t="s">
        <v>314</v>
      </c>
      <c r="D73" s="193">
        <v>16</v>
      </c>
      <c r="E73" s="194">
        <v>39672</v>
      </c>
      <c r="F73" s="194">
        <f t="shared" ref="F73:F75" si="66">IF(H73&gt;0,100,0)</f>
        <v>100</v>
      </c>
      <c r="G73" s="194">
        <f t="shared" ref="G73:G75" si="67">+ROUND(H73*12%,2)</f>
        <v>4760.6400000000003</v>
      </c>
      <c r="H73" s="195">
        <f t="shared" ref="H73:H75" si="68">ROUND(IF(AX73&gt;22,0,IF(AX73=22,E73,IF(AX73&lt;22,E73*(AX73/AZ73),IF(OR(AX73=0,AX73=" ")=TRUE,0)))),2)</f>
        <v>39672</v>
      </c>
      <c r="I73" s="195">
        <f t="shared" ref="I73:I75" si="69">ROUND(IF(AND(H73&gt;0,AX73=22)=TRUE,2000,IF(AND(H73&gt;0,AX73&lt;22,AX73&gt;0)=TRUE,2000*(AX73/AZ73),IF(AX73&lt;0,0,0))),2)</f>
        <v>2000</v>
      </c>
      <c r="J73" s="195">
        <f t="shared" ref="J73:J75" si="70">IF(H73&gt;0,BC73-BB73,0)</f>
        <v>1100</v>
      </c>
      <c r="K73" s="195">
        <f t="shared" ref="K73:K76" si="71">IF(AND(H73&gt;0,AX73&gt;11)=TRUE,150,0)</f>
        <v>150</v>
      </c>
      <c r="L73" s="195">
        <f t="shared" ref="L73:L76" si="72">ROUND(IF(AND($H73&gt;0,AX73&gt;11)=TRUE,$AW73*$E73,0),2)</f>
        <v>9918</v>
      </c>
      <c r="M73" s="195">
        <f t="shared" ref="M73:M75" si="73">ROUND(SUM(H73:L73),2)</f>
        <v>52840</v>
      </c>
      <c r="N73" s="320">
        <v>12868.3</v>
      </c>
      <c r="O73" s="195">
        <v>763</v>
      </c>
      <c r="P73" s="196">
        <f t="shared" si="51"/>
        <v>3570.48</v>
      </c>
      <c r="Q73" s="196"/>
      <c r="R73" s="196"/>
      <c r="S73" s="196"/>
      <c r="T73" s="196"/>
      <c r="U73" s="196"/>
      <c r="V73" s="196"/>
      <c r="W73" s="196"/>
      <c r="X73" s="196"/>
      <c r="Y73" s="196"/>
      <c r="Z73" s="196">
        <f t="shared" ref="Z73:Z75" si="74">ROUND(IF(H73&gt;0,100,0),2)</f>
        <v>100</v>
      </c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>
        <f t="shared" ref="AL73:AL75" si="75">SUM(N73:AK73)</f>
        <v>17301.78</v>
      </c>
      <c r="AM73" s="197">
        <f t="shared" ref="AM73:AM75" si="76">ROUND(M73-AL73,2)</f>
        <v>35538.22</v>
      </c>
      <c r="AN73" s="708"/>
      <c r="AO73" s="201"/>
      <c r="AP73" s="198"/>
      <c r="AQ73" s="202">
        <f t="shared" ref="AQ73:AQ75" si="77">SUM(AO73:AP73)</f>
        <v>0</v>
      </c>
      <c r="AR73" s="203">
        <f t="shared" ref="AR73:AR75" si="78">+AM73-AQ73</f>
        <v>35538.22</v>
      </c>
      <c r="AS73" s="203"/>
      <c r="AT73" s="203"/>
      <c r="AU73" s="203">
        <f t="shared" ref="AU73:AU75" si="79">IF(E73=0,0,IF(E73&lt;=10000,137.5,IF(AND(E73&gt;10000,E73&lt;40000)=TRUE,E73*2.75%*50%,IF(E73&gt;=40000,550,0))))</f>
        <v>545.49</v>
      </c>
      <c r="AV73" s="204"/>
      <c r="AW73" s="204" t="str">
        <f t="shared" si="58"/>
        <v>25%</v>
      </c>
      <c r="AX73" s="205">
        <v>22</v>
      </c>
      <c r="AY73" s="203">
        <v>150</v>
      </c>
      <c r="AZ73" s="204">
        <v>22</v>
      </c>
      <c r="BA73" s="203">
        <v>50</v>
      </c>
      <c r="BB73" s="203">
        <f t="shared" ref="BB73:BB75" si="80">IF(AX73&gt;0,(AZ73-AX73+BD73)*BA73,0)</f>
        <v>0</v>
      </c>
      <c r="BC73" s="203">
        <f t="shared" ref="BC73:BC75" si="81">IF(AX73&gt;0,1100,0)</f>
        <v>1100</v>
      </c>
      <c r="BD73" s="205"/>
    </row>
    <row r="74" spans="1:58" s="207" customFormat="1" ht="35.1" customHeight="1" x14ac:dyDescent="0.25">
      <c r="A74" s="199">
        <v>62</v>
      </c>
      <c r="B74" s="200"/>
      <c r="C74" s="322" t="s">
        <v>315</v>
      </c>
      <c r="D74" s="193">
        <v>16</v>
      </c>
      <c r="E74" s="194">
        <v>39672</v>
      </c>
      <c r="F74" s="194">
        <f t="shared" si="66"/>
        <v>100</v>
      </c>
      <c r="G74" s="194">
        <f t="shared" si="67"/>
        <v>4760.6400000000003</v>
      </c>
      <c r="H74" s="195">
        <f t="shared" si="68"/>
        <v>39672</v>
      </c>
      <c r="I74" s="195">
        <f t="shared" si="69"/>
        <v>2000</v>
      </c>
      <c r="J74" s="195">
        <f t="shared" si="70"/>
        <v>900</v>
      </c>
      <c r="K74" s="195">
        <f t="shared" ref="K74" si="82">IF(AND(H74&gt;0,AX74&gt;11)=TRUE,150,0)</f>
        <v>150</v>
      </c>
      <c r="L74" s="195">
        <f t="shared" ref="L74" si="83">ROUND(IF(AND($H74&gt;0,AX74&gt;11)=TRUE,$AW74*$E74,0),2)</f>
        <v>9918</v>
      </c>
      <c r="M74" s="195">
        <f t="shared" si="73"/>
        <v>52640</v>
      </c>
      <c r="N74" s="195">
        <v>12237.7</v>
      </c>
      <c r="O74" s="195">
        <v>763</v>
      </c>
      <c r="P74" s="196">
        <f t="shared" si="51"/>
        <v>3570.48</v>
      </c>
      <c r="Q74" s="196"/>
      <c r="R74" s="196"/>
      <c r="S74" s="196"/>
      <c r="T74" s="196"/>
      <c r="U74" s="196"/>
      <c r="V74" s="196"/>
      <c r="W74" s="196"/>
      <c r="X74" s="196"/>
      <c r="Y74" s="196"/>
      <c r="Z74" s="196">
        <f t="shared" si="74"/>
        <v>100</v>
      </c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>
        <f t="shared" si="75"/>
        <v>16671.18</v>
      </c>
      <c r="AM74" s="197">
        <f t="shared" si="76"/>
        <v>35968.82</v>
      </c>
      <c r="AN74" s="708" t="s">
        <v>359</v>
      </c>
      <c r="AO74" s="201"/>
      <c r="AP74" s="198"/>
      <c r="AQ74" s="202">
        <f t="shared" si="77"/>
        <v>0</v>
      </c>
      <c r="AR74" s="203">
        <f t="shared" si="78"/>
        <v>35968.82</v>
      </c>
      <c r="AS74" s="203"/>
      <c r="AT74" s="203"/>
      <c r="AU74" s="203">
        <f t="shared" si="79"/>
        <v>545.49</v>
      </c>
      <c r="AV74" s="204"/>
      <c r="AW74" s="204" t="str">
        <f t="shared" si="58"/>
        <v>25%</v>
      </c>
      <c r="AX74" s="205">
        <v>22</v>
      </c>
      <c r="AY74" s="203">
        <v>150</v>
      </c>
      <c r="AZ74" s="204">
        <v>22</v>
      </c>
      <c r="BA74" s="203">
        <v>50</v>
      </c>
      <c r="BB74" s="203">
        <f t="shared" si="80"/>
        <v>200</v>
      </c>
      <c r="BC74" s="203">
        <f t="shared" si="81"/>
        <v>1100</v>
      </c>
      <c r="BD74" s="205">
        <v>4</v>
      </c>
    </row>
    <row r="75" spans="1:58" s="207" customFormat="1" ht="35.1" customHeight="1" x14ac:dyDescent="0.25">
      <c r="A75" s="199">
        <v>63</v>
      </c>
      <c r="B75" s="200"/>
      <c r="C75" s="219" t="s">
        <v>316</v>
      </c>
      <c r="D75" s="193">
        <v>16</v>
      </c>
      <c r="E75" s="194">
        <v>39672</v>
      </c>
      <c r="F75" s="194">
        <f t="shared" si="66"/>
        <v>100</v>
      </c>
      <c r="G75" s="194">
        <f t="shared" si="67"/>
        <v>4760.6400000000003</v>
      </c>
      <c r="H75" s="195">
        <f t="shared" si="68"/>
        <v>39672</v>
      </c>
      <c r="I75" s="195">
        <f t="shared" si="69"/>
        <v>2000</v>
      </c>
      <c r="J75" s="195">
        <f t="shared" si="70"/>
        <v>1100</v>
      </c>
      <c r="K75" s="195">
        <f t="shared" si="71"/>
        <v>150</v>
      </c>
      <c r="L75" s="195">
        <f t="shared" si="72"/>
        <v>9918</v>
      </c>
      <c r="M75" s="195">
        <f t="shared" si="73"/>
        <v>52840</v>
      </c>
      <c r="N75" s="195">
        <v>10821.93</v>
      </c>
      <c r="O75" s="195">
        <v>763</v>
      </c>
      <c r="P75" s="196">
        <f t="shared" si="51"/>
        <v>3570.48</v>
      </c>
      <c r="Q75" s="196"/>
      <c r="R75" s="196"/>
      <c r="S75" s="196"/>
      <c r="T75" s="196"/>
      <c r="U75" s="196"/>
      <c r="V75" s="196"/>
      <c r="W75" s="196"/>
      <c r="X75" s="196"/>
      <c r="Y75" s="196"/>
      <c r="Z75" s="196">
        <f t="shared" si="74"/>
        <v>100</v>
      </c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>
        <f t="shared" si="75"/>
        <v>15255.41</v>
      </c>
      <c r="AM75" s="197">
        <f t="shared" si="76"/>
        <v>37584.589999999997</v>
      </c>
      <c r="AN75" s="708"/>
      <c r="AO75" s="201"/>
      <c r="AP75" s="198"/>
      <c r="AQ75" s="202">
        <f t="shared" si="77"/>
        <v>0</v>
      </c>
      <c r="AR75" s="203">
        <f t="shared" si="78"/>
        <v>37584.589999999997</v>
      </c>
      <c r="AS75" s="203"/>
      <c r="AT75" s="203"/>
      <c r="AU75" s="203">
        <f t="shared" si="79"/>
        <v>545.49</v>
      </c>
      <c r="AV75" s="204"/>
      <c r="AW75" s="204" t="str">
        <f t="shared" si="58"/>
        <v>25%</v>
      </c>
      <c r="AX75" s="205">
        <v>22</v>
      </c>
      <c r="AY75" s="203">
        <v>150</v>
      </c>
      <c r="AZ75" s="204">
        <v>22</v>
      </c>
      <c r="BA75" s="203">
        <v>50</v>
      </c>
      <c r="BB75" s="203">
        <f t="shared" si="80"/>
        <v>0</v>
      </c>
      <c r="BC75" s="203">
        <f t="shared" si="81"/>
        <v>1100</v>
      </c>
      <c r="BD75" s="205"/>
    </row>
    <row r="76" spans="1:58" s="207" customFormat="1" ht="35.1" customHeight="1" x14ac:dyDescent="0.25">
      <c r="A76" s="199">
        <v>64</v>
      </c>
      <c r="B76" s="200"/>
      <c r="C76" s="240" t="s">
        <v>350</v>
      </c>
      <c r="D76" s="193">
        <v>16</v>
      </c>
      <c r="E76" s="194">
        <v>39672</v>
      </c>
      <c r="F76" s="194">
        <f t="shared" ref="F76:F77" si="84">IF(H76&gt;0,100,0)</f>
        <v>100</v>
      </c>
      <c r="G76" s="194">
        <f t="shared" ref="G76:G77" si="85">+ROUND(H76*12%,2)</f>
        <v>4760.6400000000003</v>
      </c>
      <c r="H76" s="195">
        <f t="shared" ref="H76:H77" si="86">ROUND(IF(AX76&gt;22,0,IF(AX76=22,E76,IF(AX76&lt;22,E76*(AX76/AZ76),IF(OR(AX76=0,AX76=" ")=TRUE,0)))),2)</f>
        <v>39672</v>
      </c>
      <c r="I76" s="195">
        <f t="shared" ref="I76:I77" si="87">ROUND(IF(AND(H76&gt;0,AX76=22)=TRUE,2000,IF(AND(H76&gt;0,AX76&lt;22,AX76&gt;0)=TRUE,2000*(AX76/AZ76),IF(AX76&lt;0,0,0))),2)</f>
        <v>2000</v>
      </c>
      <c r="J76" s="195">
        <f t="shared" ref="J76:J77" si="88">IF(H76&gt;0,BC76-BB76,0)</f>
        <v>1100</v>
      </c>
      <c r="K76" s="195">
        <f t="shared" si="71"/>
        <v>150</v>
      </c>
      <c r="L76" s="195">
        <f t="shared" si="72"/>
        <v>9918</v>
      </c>
      <c r="M76" s="195">
        <f t="shared" ref="M76:M77" si="89">ROUND(SUM(H76:L76),2)</f>
        <v>52840</v>
      </c>
      <c r="N76" s="195"/>
      <c r="O76" s="195">
        <v>763</v>
      </c>
      <c r="P76" s="196">
        <f t="shared" si="51"/>
        <v>3570.48</v>
      </c>
      <c r="Q76" s="196"/>
      <c r="R76" s="196"/>
      <c r="S76" s="196"/>
      <c r="T76" s="196"/>
      <c r="U76" s="196"/>
      <c r="V76" s="196"/>
      <c r="W76" s="196"/>
      <c r="X76" s="196"/>
      <c r="Y76" s="196"/>
      <c r="Z76" s="196">
        <f t="shared" ref="Z76:Z77" si="90">ROUND(IF(H76&gt;0,100,0),2)</f>
        <v>100</v>
      </c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>
        <f t="shared" ref="AL76:AL77" si="91">SUM(N76:AK76)</f>
        <v>4433.4799999999996</v>
      </c>
      <c r="AM76" s="197">
        <f t="shared" ref="AM76:AM77" si="92">ROUND(M76-AL76,2)</f>
        <v>48406.52</v>
      </c>
      <c r="AN76" s="708" t="s">
        <v>354</v>
      </c>
      <c r="AO76" s="201"/>
      <c r="AP76" s="198"/>
      <c r="AQ76" s="202">
        <f t="shared" ref="AQ76:AQ77" si="93">SUM(AO76:AP76)</f>
        <v>0</v>
      </c>
      <c r="AR76" s="203">
        <f t="shared" ref="AR76:AR77" si="94">+AM76-AQ76</f>
        <v>48406.52</v>
      </c>
      <c r="AS76" s="203"/>
      <c r="AT76" s="203"/>
      <c r="AU76" s="203">
        <f t="shared" ref="AU76:AU77" si="95">IF(E76=0,0,IF(E76&lt;=10000,137.5,IF(AND(E76&gt;10000,E76&lt;40000)=TRUE,E76*2.75%*50%,IF(E76&gt;=40000,550,0))))</f>
        <v>545.49</v>
      </c>
      <c r="AV76" s="204"/>
      <c r="AW76" s="204" t="str">
        <f t="shared" si="58"/>
        <v>25%</v>
      </c>
      <c r="AX76" s="205">
        <v>22</v>
      </c>
      <c r="AY76" s="203">
        <v>150</v>
      </c>
      <c r="AZ76" s="204">
        <v>22</v>
      </c>
      <c r="BA76" s="203">
        <v>50</v>
      </c>
      <c r="BB76" s="203">
        <f t="shared" ref="BB76:BB77" si="96">IF(AX76&gt;0,(AZ76-AX76+BD76)*BA76,0)</f>
        <v>0</v>
      </c>
      <c r="BC76" s="203">
        <f t="shared" ref="BC76:BC77" si="97">IF(AX76&gt;0,1100,0)</f>
        <v>1100</v>
      </c>
      <c r="BD76" s="205"/>
    </row>
    <row r="77" spans="1:58" s="207" customFormat="1" ht="35.1" customHeight="1" x14ac:dyDescent="0.25">
      <c r="A77" s="199">
        <v>65</v>
      </c>
      <c r="B77" s="200"/>
      <c r="C77" s="240" t="s">
        <v>351</v>
      </c>
      <c r="D77" s="193">
        <v>16</v>
      </c>
      <c r="E77" s="194">
        <v>39672</v>
      </c>
      <c r="F77" s="194">
        <f t="shared" si="84"/>
        <v>100</v>
      </c>
      <c r="G77" s="194">
        <f t="shared" si="85"/>
        <v>4760.6400000000003</v>
      </c>
      <c r="H77" s="195">
        <f t="shared" si="86"/>
        <v>39672</v>
      </c>
      <c r="I77" s="195">
        <f t="shared" si="87"/>
        <v>2000</v>
      </c>
      <c r="J77" s="195">
        <f t="shared" si="88"/>
        <v>1100</v>
      </c>
      <c r="K77" s="195">
        <f t="shared" ref="K77" si="98">IF(AND(H77&gt;0,AX77&gt;11)=TRUE,150,0)</f>
        <v>150</v>
      </c>
      <c r="L77" s="195">
        <f t="shared" ref="L77" si="99">ROUND(IF(AND($H77&gt;0,AX77&gt;11)=TRUE,$AW77*$E77,0),2)</f>
        <v>9918</v>
      </c>
      <c r="M77" s="195">
        <f t="shared" si="89"/>
        <v>52840</v>
      </c>
      <c r="N77" s="195"/>
      <c r="O77" s="195">
        <v>763</v>
      </c>
      <c r="P77" s="196">
        <f t="shared" si="51"/>
        <v>3570.48</v>
      </c>
      <c r="Q77" s="196"/>
      <c r="R77" s="196"/>
      <c r="S77" s="196"/>
      <c r="T77" s="196"/>
      <c r="U77" s="196"/>
      <c r="V77" s="196"/>
      <c r="W77" s="196"/>
      <c r="X77" s="196"/>
      <c r="Y77" s="196"/>
      <c r="Z77" s="196">
        <f t="shared" si="90"/>
        <v>100</v>
      </c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>
        <f t="shared" si="91"/>
        <v>4433.4799999999996</v>
      </c>
      <c r="AM77" s="197">
        <f t="shared" si="92"/>
        <v>48406.52</v>
      </c>
      <c r="AN77" s="708" t="s">
        <v>354</v>
      </c>
      <c r="AO77" s="201"/>
      <c r="AP77" s="198"/>
      <c r="AQ77" s="202">
        <f t="shared" si="93"/>
        <v>0</v>
      </c>
      <c r="AR77" s="203">
        <f t="shared" si="94"/>
        <v>48406.52</v>
      </c>
      <c r="AS77" s="203"/>
      <c r="AT77" s="203"/>
      <c r="AU77" s="203">
        <f t="shared" si="95"/>
        <v>545.49</v>
      </c>
      <c r="AV77" s="204"/>
      <c r="AW77" s="204" t="str">
        <f t="shared" si="58"/>
        <v>25%</v>
      </c>
      <c r="AX77" s="205">
        <v>22</v>
      </c>
      <c r="AY77" s="203">
        <v>150</v>
      </c>
      <c r="AZ77" s="204">
        <v>22</v>
      </c>
      <c r="BA77" s="203">
        <v>50</v>
      </c>
      <c r="BB77" s="203">
        <f t="shared" si="96"/>
        <v>0</v>
      </c>
      <c r="BC77" s="203">
        <f t="shared" si="97"/>
        <v>1100</v>
      </c>
      <c r="BD77" s="205"/>
    </row>
    <row r="78" spans="1:58" s="332" customFormat="1" ht="37.5" customHeight="1" x14ac:dyDescent="0.25">
      <c r="A78" s="328"/>
      <c r="B78" s="329"/>
      <c r="C78" s="326" t="s">
        <v>102</v>
      </c>
      <c r="D78" s="330"/>
      <c r="E78" s="331">
        <f>ROUND(SUM(E73:E77),2)</f>
        <v>198360</v>
      </c>
      <c r="F78" s="331">
        <f t="shared" ref="F78:BD78" si="100">ROUND(SUM(F73:F77),2)</f>
        <v>500</v>
      </c>
      <c r="G78" s="331">
        <f t="shared" si="100"/>
        <v>23803.200000000001</v>
      </c>
      <c r="H78" s="331">
        <f t="shared" si="100"/>
        <v>198360</v>
      </c>
      <c r="I78" s="331">
        <f t="shared" si="100"/>
        <v>10000</v>
      </c>
      <c r="J78" s="331">
        <f t="shared" si="100"/>
        <v>5300</v>
      </c>
      <c r="K78" s="331">
        <f t="shared" si="100"/>
        <v>750</v>
      </c>
      <c r="L78" s="331">
        <f t="shared" si="100"/>
        <v>49590</v>
      </c>
      <c r="M78" s="331">
        <f t="shared" si="100"/>
        <v>264000</v>
      </c>
      <c r="N78" s="331">
        <f>ROUND(SUM(N73:N77),2)</f>
        <v>35927.93</v>
      </c>
      <c r="O78" s="331">
        <f t="shared" si="100"/>
        <v>3815</v>
      </c>
      <c r="P78" s="331">
        <f t="shared" si="100"/>
        <v>17852.400000000001</v>
      </c>
      <c r="Q78" s="331">
        <f t="shared" si="100"/>
        <v>0</v>
      </c>
      <c r="R78" s="331">
        <f t="shared" si="100"/>
        <v>0</v>
      </c>
      <c r="S78" s="331">
        <f t="shared" si="100"/>
        <v>0</v>
      </c>
      <c r="T78" s="331">
        <f t="shared" si="100"/>
        <v>0</v>
      </c>
      <c r="U78" s="331">
        <f t="shared" si="100"/>
        <v>0</v>
      </c>
      <c r="V78" s="331">
        <f t="shared" si="100"/>
        <v>0</v>
      </c>
      <c r="W78" s="331">
        <f t="shared" si="100"/>
        <v>0</v>
      </c>
      <c r="X78" s="331">
        <f t="shared" si="100"/>
        <v>0</v>
      </c>
      <c r="Y78" s="331">
        <f t="shared" si="100"/>
        <v>0</v>
      </c>
      <c r="Z78" s="331">
        <f t="shared" si="100"/>
        <v>500</v>
      </c>
      <c r="AA78" s="331">
        <f t="shared" si="100"/>
        <v>0</v>
      </c>
      <c r="AB78" s="331">
        <f t="shared" si="100"/>
        <v>0</v>
      </c>
      <c r="AC78" s="331">
        <f t="shared" si="100"/>
        <v>0</v>
      </c>
      <c r="AD78" s="331">
        <f t="shared" si="100"/>
        <v>0</v>
      </c>
      <c r="AE78" s="331">
        <f t="shared" si="100"/>
        <v>0</v>
      </c>
      <c r="AF78" s="331">
        <f t="shared" si="100"/>
        <v>0</v>
      </c>
      <c r="AG78" s="331">
        <f t="shared" si="100"/>
        <v>0</v>
      </c>
      <c r="AH78" s="331">
        <f t="shared" si="100"/>
        <v>0</v>
      </c>
      <c r="AI78" s="331">
        <f t="shared" si="100"/>
        <v>0</v>
      </c>
      <c r="AJ78" s="331">
        <f t="shared" si="100"/>
        <v>0</v>
      </c>
      <c r="AK78" s="331">
        <f t="shared" si="100"/>
        <v>0</v>
      </c>
      <c r="AL78" s="331">
        <f t="shared" si="100"/>
        <v>58095.33</v>
      </c>
      <c r="AM78" s="331">
        <f t="shared" si="100"/>
        <v>205904.67</v>
      </c>
      <c r="AN78" s="331">
        <f t="shared" si="100"/>
        <v>0</v>
      </c>
      <c r="AO78" s="331">
        <f t="shared" si="100"/>
        <v>0</v>
      </c>
      <c r="AP78" s="331">
        <f t="shared" si="100"/>
        <v>0</v>
      </c>
      <c r="AQ78" s="331">
        <f t="shared" si="100"/>
        <v>0</v>
      </c>
      <c r="AR78" s="331">
        <f t="shared" si="100"/>
        <v>205904.67</v>
      </c>
      <c r="AS78" s="331">
        <f t="shared" si="100"/>
        <v>0</v>
      </c>
      <c r="AT78" s="331">
        <f t="shared" si="100"/>
        <v>0</v>
      </c>
      <c r="AU78" s="331">
        <f t="shared" si="100"/>
        <v>2727.45</v>
      </c>
      <c r="AV78" s="331">
        <f t="shared" si="100"/>
        <v>0</v>
      </c>
      <c r="AW78" s="331">
        <f t="shared" si="100"/>
        <v>0</v>
      </c>
      <c r="AX78" s="331">
        <f t="shared" si="100"/>
        <v>110</v>
      </c>
      <c r="AY78" s="331">
        <f t="shared" si="100"/>
        <v>750</v>
      </c>
      <c r="AZ78" s="331">
        <f t="shared" si="100"/>
        <v>110</v>
      </c>
      <c r="BA78" s="331">
        <f t="shared" si="100"/>
        <v>250</v>
      </c>
      <c r="BB78" s="331">
        <f t="shared" si="100"/>
        <v>200</v>
      </c>
      <c r="BC78" s="331">
        <f t="shared" si="100"/>
        <v>5500</v>
      </c>
      <c r="BD78" s="331">
        <f t="shared" si="100"/>
        <v>4</v>
      </c>
      <c r="BE78" s="331"/>
      <c r="BF78" s="331"/>
    </row>
    <row r="79" spans="1:58" ht="38.25" customHeight="1" thickBot="1" x14ac:dyDescent="0.3">
      <c r="A79" s="333"/>
      <c r="B79" s="327"/>
      <c r="C79" s="231" t="s">
        <v>103</v>
      </c>
      <c r="D79" s="225"/>
      <c r="E79" s="226">
        <f t="shared" ref="E79:AJ79" si="101">ROUND(SUM(E29,E50,E72,E78),2)</f>
        <v>2578680</v>
      </c>
      <c r="F79" s="226">
        <f t="shared" si="101"/>
        <v>6500</v>
      </c>
      <c r="G79" s="226">
        <f t="shared" si="101"/>
        <v>309441.59999999998</v>
      </c>
      <c r="H79" s="226">
        <f>ROUND(SUM(H29,H50,H72,H78),2)</f>
        <v>2578680</v>
      </c>
      <c r="I79" s="226">
        <f t="shared" si="101"/>
        <v>130000</v>
      </c>
      <c r="J79" s="226">
        <f t="shared" si="101"/>
        <v>70600</v>
      </c>
      <c r="K79" s="226">
        <f t="shared" si="101"/>
        <v>9750</v>
      </c>
      <c r="L79" s="226">
        <f t="shared" si="101"/>
        <v>644670</v>
      </c>
      <c r="M79" s="226">
        <f t="shared" si="101"/>
        <v>3433700</v>
      </c>
      <c r="N79" s="226">
        <f t="shared" si="101"/>
        <v>778568.85</v>
      </c>
      <c r="O79" s="226">
        <f t="shared" si="101"/>
        <v>51269.2</v>
      </c>
      <c r="P79" s="226">
        <f t="shared" si="101"/>
        <v>232081.2</v>
      </c>
      <c r="Q79" s="226">
        <f t="shared" si="101"/>
        <v>0</v>
      </c>
      <c r="R79" s="226">
        <f t="shared" si="101"/>
        <v>0</v>
      </c>
      <c r="S79" s="226">
        <f t="shared" si="101"/>
        <v>0</v>
      </c>
      <c r="T79" s="226">
        <f t="shared" si="101"/>
        <v>0</v>
      </c>
      <c r="U79" s="226">
        <f t="shared" si="101"/>
        <v>0</v>
      </c>
      <c r="V79" s="226">
        <f t="shared" si="101"/>
        <v>0</v>
      </c>
      <c r="W79" s="226">
        <f t="shared" si="101"/>
        <v>0</v>
      </c>
      <c r="X79" s="226">
        <f t="shared" si="101"/>
        <v>0</v>
      </c>
      <c r="Y79" s="226">
        <f t="shared" si="101"/>
        <v>0</v>
      </c>
      <c r="Z79" s="226">
        <f t="shared" si="101"/>
        <v>6500</v>
      </c>
      <c r="AA79" s="226">
        <f t="shared" si="101"/>
        <v>0</v>
      </c>
      <c r="AB79" s="226">
        <f t="shared" si="101"/>
        <v>0</v>
      </c>
      <c r="AC79" s="226">
        <f t="shared" si="101"/>
        <v>0</v>
      </c>
      <c r="AD79" s="226">
        <f t="shared" si="101"/>
        <v>0</v>
      </c>
      <c r="AE79" s="226">
        <f t="shared" si="101"/>
        <v>0</v>
      </c>
      <c r="AF79" s="226">
        <f t="shared" si="101"/>
        <v>0</v>
      </c>
      <c r="AG79" s="226">
        <f t="shared" si="101"/>
        <v>0</v>
      </c>
      <c r="AH79" s="226">
        <f t="shared" si="101"/>
        <v>0</v>
      </c>
      <c r="AI79" s="226">
        <f t="shared" si="101"/>
        <v>0</v>
      </c>
      <c r="AJ79" s="226">
        <f t="shared" si="101"/>
        <v>0</v>
      </c>
      <c r="AK79" s="226">
        <f t="shared" ref="AK79:BP79" si="102">ROUND(SUM(AK29,AK50,AK72,AK78),2)</f>
        <v>0</v>
      </c>
      <c r="AL79" s="226">
        <f t="shared" si="102"/>
        <v>1068419.25</v>
      </c>
      <c r="AM79" s="226">
        <f t="shared" si="102"/>
        <v>2365280.75</v>
      </c>
      <c r="AN79" s="226">
        <f t="shared" si="102"/>
        <v>0</v>
      </c>
      <c r="AO79" s="226">
        <f t="shared" si="102"/>
        <v>0</v>
      </c>
      <c r="AP79" s="226">
        <f t="shared" si="102"/>
        <v>0</v>
      </c>
      <c r="AQ79" s="226">
        <f t="shared" si="102"/>
        <v>0</v>
      </c>
      <c r="AR79" s="226">
        <f t="shared" si="102"/>
        <v>2365280.75</v>
      </c>
      <c r="AS79" s="226">
        <f t="shared" si="102"/>
        <v>0</v>
      </c>
      <c r="AT79" s="226">
        <f t="shared" si="102"/>
        <v>0</v>
      </c>
      <c r="AU79" s="226">
        <f t="shared" si="102"/>
        <v>35456.85</v>
      </c>
      <c r="AV79" s="226">
        <f t="shared" si="102"/>
        <v>0</v>
      </c>
      <c r="AW79" s="226">
        <f t="shared" si="102"/>
        <v>0</v>
      </c>
      <c r="AX79" s="226">
        <f t="shared" si="102"/>
        <v>1430</v>
      </c>
      <c r="AY79" s="226">
        <f t="shared" si="102"/>
        <v>9900</v>
      </c>
      <c r="AZ79" s="226">
        <f t="shared" si="102"/>
        <v>1452</v>
      </c>
      <c r="BA79" s="226">
        <f t="shared" si="102"/>
        <v>3300</v>
      </c>
      <c r="BB79" s="226">
        <f t="shared" si="102"/>
        <v>900</v>
      </c>
      <c r="BC79" s="226">
        <f t="shared" si="102"/>
        <v>71500</v>
      </c>
      <c r="BD79" s="226">
        <f t="shared" si="102"/>
        <v>18</v>
      </c>
      <c r="BE79" s="226"/>
      <c r="BF79" s="226"/>
    </row>
    <row r="80" spans="1:58" ht="25.5" customHeight="1" x14ac:dyDescent="0.2">
      <c r="A80" s="128" t="s">
        <v>111</v>
      </c>
      <c r="B80" s="99"/>
      <c r="C80" s="209"/>
      <c r="D80" s="100"/>
      <c r="E80" s="100"/>
      <c r="F80" s="100"/>
      <c r="G80" s="100"/>
      <c r="H80" s="100"/>
      <c r="I80" s="101"/>
      <c r="J80" s="102" t="s">
        <v>112</v>
      </c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3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3"/>
      <c r="AM80" s="103"/>
      <c r="AN80" s="120"/>
      <c r="AO80" s="1"/>
      <c r="AP80" s="5"/>
      <c r="AQ80" s="5"/>
      <c r="AR80" s="5"/>
      <c r="AS80" s="242"/>
      <c r="AT80" s="1"/>
      <c r="AU80" s="242"/>
      <c r="AV80" s="5"/>
      <c r="AW80" s="242"/>
      <c r="AX80" s="1"/>
      <c r="AY80" s="1"/>
      <c r="AZ80" s="5"/>
      <c r="BC80" s="1"/>
    </row>
    <row r="81" spans="1:55" x14ac:dyDescent="0.2">
      <c r="A81" s="241"/>
      <c r="I81" s="104" t="s">
        <v>216</v>
      </c>
      <c r="J81" s="105" t="s">
        <v>113</v>
      </c>
      <c r="AL81" s="4"/>
      <c r="AM81" s="4"/>
      <c r="AN81" s="121"/>
      <c r="AO81" s="1"/>
      <c r="AP81" s="5"/>
      <c r="AQ81" s="5"/>
      <c r="AR81" s="5"/>
      <c r="AS81" s="242"/>
      <c r="AT81" s="1"/>
      <c r="AU81" s="242"/>
      <c r="AV81" s="5"/>
      <c r="AW81" s="242"/>
      <c r="AX81" s="1"/>
      <c r="AY81" s="1"/>
      <c r="AZ81" s="5"/>
      <c r="BC81" s="1"/>
    </row>
    <row r="82" spans="1:55" x14ac:dyDescent="0.2">
      <c r="A82" s="241"/>
      <c r="I82" s="104"/>
      <c r="J82" s="105"/>
      <c r="AL82" s="4"/>
      <c r="AM82" s="4"/>
      <c r="AN82" s="121"/>
      <c r="AO82" s="1"/>
      <c r="AP82" s="5"/>
      <c r="AQ82" s="5"/>
      <c r="AR82" s="5"/>
      <c r="AS82" s="242"/>
      <c r="AT82" s="1"/>
      <c r="AU82" s="242"/>
      <c r="AV82" s="5"/>
      <c r="AW82" s="242"/>
      <c r="AX82" s="1"/>
      <c r="AY82" s="1"/>
      <c r="AZ82" s="5"/>
      <c r="BC82" s="1"/>
    </row>
    <row r="83" spans="1:55" ht="12.75" customHeight="1" x14ac:dyDescent="0.2">
      <c r="A83" s="241"/>
      <c r="I83" s="104"/>
      <c r="J83" s="105" t="s">
        <v>223</v>
      </c>
      <c r="X83" s="1"/>
      <c r="AL83" s="1"/>
      <c r="AM83" s="1"/>
      <c r="AN83" s="104"/>
      <c r="AO83" s="1"/>
      <c r="AQ83" s="5"/>
      <c r="AR83" s="5"/>
      <c r="AS83" s="242"/>
      <c r="AT83" s="1"/>
      <c r="AU83" s="242"/>
      <c r="AV83" s="5"/>
      <c r="AW83" s="242"/>
      <c r="AX83" s="1"/>
      <c r="AY83" s="1"/>
      <c r="AZ83" s="5"/>
      <c r="BC83" s="1"/>
    </row>
    <row r="84" spans="1:55" x14ac:dyDescent="0.2">
      <c r="A84" s="635" t="s">
        <v>114</v>
      </c>
      <c r="B84" s="636"/>
      <c r="C84" s="636"/>
      <c r="D84" s="636"/>
      <c r="E84" s="636"/>
      <c r="F84" s="636"/>
      <c r="I84" s="104"/>
      <c r="J84" s="631" t="s">
        <v>307</v>
      </c>
      <c r="K84" s="632"/>
      <c r="L84" s="632"/>
      <c r="M84" s="632"/>
      <c r="N84" s="632"/>
      <c r="O84" s="632"/>
      <c r="P84" s="632"/>
      <c r="Q84" s="632"/>
      <c r="R84" s="632"/>
      <c r="S84" s="632"/>
      <c r="T84" s="632"/>
      <c r="U84" s="632"/>
      <c r="V84" s="632"/>
      <c r="W84" s="632"/>
      <c r="X84" s="632"/>
      <c r="Y84" s="632"/>
      <c r="Z84" s="632"/>
      <c r="AA84" s="632"/>
      <c r="AB84" s="632"/>
      <c r="AC84" s="632"/>
      <c r="AD84" s="632"/>
      <c r="AE84" s="632"/>
      <c r="AF84" s="632"/>
      <c r="AG84" s="632"/>
      <c r="AH84" s="632"/>
      <c r="AI84" s="632"/>
      <c r="AJ84" s="632"/>
      <c r="AK84" s="632"/>
      <c r="AL84" s="632"/>
      <c r="AM84" s="632"/>
      <c r="AN84" s="637"/>
      <c r="AO84" s="1"/>
      <c r="AP84" s="5"/>
      <c r="AQ84" s="5"/>
      <c r="AR84" s="5"/>
      <c r="AS84" s="242"/>
      <c r="AT84" s="1"/>
      <c r="AU84" s="242"/>
      <c r="AV84" s="5"/>
      <c r="AW84" s="242"/>
      <c r="AX84" s="1" t="s">
        <v>218</v>
      </c>
      <c r="AY84" s="1"/>
      <c r="AZ84" s="5"/>
      <c r="BC84" s="1"/>
    </row>
    <row r="85" spans="1:55" x14ac:dyDescent="0.2">
      <c r="A85" s="629" t="s">
        <v>209</v>
      </c>
      <c r="B85" s="630"/>
      <c r="C85" s="630"/>
      <c r="D85" s="630"/>
      <c r="E85" s="630"/>
      <c r="F85" s="630"/>
      <c r="I85" s="104"/>
      <c r="J85" s="638" t="s">
        <v>224</v>
      </c>
      <c r="K85" s="639"/>
      <c r="L85" s="639"/>
      <c r="M85" s="639"/>
      <c r="N85" s="639"/>
      <c r="O85" s="639"/>
      <c r="P85" s="639"/>
      <c r="Q85" s="639"/>
      <c r="R85" s="639"/>
      <c r="S85" s="639"/>
      <c r="T85" s="639"/>
      <c r="U85" s="639"/>
      <c r="V85" s="639"/>
      <c r="W85" s="639"/>
      <c r="X85" s="639"/>
      <c r="Y85" s="639"/>
      <c r="Z85" s="639"/>
      <c r="AA85" s="639"/>
      <c r="AB85" s="639"/>
      <c r="AC85" s="639"/>
      <c r="AD85" s="639"/>
      <c r="AE85" s="639"/>
      <c r="AF85" s="639"/>
      <c r="AG85" s="639"/>
      <c r="AH85" s="639"/>
      <c r="AI85" s="639"/>
      <c r="AJ85" s="639"/>
      <c r="AK85" s="639"/>
      <c r="AL85" s="639"/>
      <c r="AM85" s="639"/>
      <c r="AN85" s="640"/>
      <c r="AO85" s="1"/>
      <c r="AP85" s="5"/>
      <c r="AQ85" s="5"/>
      <c r="AR85" s="5"/>
      <c r="AS85" s="242"/>
      <c r="AT85" s="1"/>
      <c r="AU85" s="242"/>
      <c r="AV85" s="5"/>
      <c r="AW85" s="242"/>
      <c r="AX85" s="1"/>
      <c r="AY85" s="1"/>
      <c r="AZ85" s="5"/>
      <c r="BC85" s="1"/>
    </row>
    <row r="86" spans="1:55" ht="16.5" thickBot="1" x14ac:dyDescent="0.25">
      <c r="A86" s="641" t="s">
        <v>115</v>
      </c>
      <c r="B86" s="642"/>
      <c r="C86" s="642"/>
      <c r="D86" s="642"/>
      <c r="E86" s="642"/>
      <c r="F86" s="642"/>
      <c r="I86" s="104"/>
      <c r="J86" s="627" t="s">
        <v>115</v>
      </c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28"/>
      <c r="AB86" s="628"/>
      <c r="AC86" s="628"/>
      <c r="AD86" s="628"/>
      <c r="AE86" s="628"/>
      <c r="AF86" s="628"/>
      <c r="AG86" s="628"/>
      <c r="AH86" s="628"/>
      <c r="AI86" s="628"/>
      <c r="AJ86" s="628"/>
      <c r="AK86" s="628"/>
      <c r="AL86" s="628"/>
      <c r="AM86" s="628"/>
      <c r="AN86" s="643"/>
      <c r="AO86" s="1"/>
      <c r="AP86" s="5"/>
      <c r="AQ86" s="5"/>
      <c r="AR86" s="5"/>
      <c r="AS86" s="242"/>
      <c r="AT86" s="1"/>
      <c r="AU86" s="242"/>
      <c r="AV86" s="5"/>
      <c r="AW86" s="242"/>
      <c r="AX86" s="1"/>
      <c r="AY86" s="1"/>
      <c r="AZ86" s="5"/>
      <c r="BC86" s="1"/>
    </row>
    <row r="87" spans="1:55" x14ac:dyDescent="0.2">
      <c r="A87" s="106" t="s">
        <v>116</v>
      </c>
      <c r="B87" s="107"/>
      <c r="C87" s="211"/>
      <c r="D87" s="243"/>
      <c r="E87" s="108"/>
      <c r="F87" s="108"/>
      <c r="G87" s="108"/>
      <c r="H87" s="108"/>
      <c r="I87" s="109"/>
      <c r="J87" s="105" t="s">
        <v>222</v>
      </c>
      <c r="AL87" s="110"/>
      <c r="AM87" s="4"/>
      <c r="AN87" s="121"/>
      <c r="AO87" s="1"/>
      <c r="AP87" s="5"/>
      <c r="AQ87" s="5"/>
      <c r="AR87" s="5"/>
      <c r="AS87" s="242"/>
      <c r="AT87" s="1"/>
      <c r="AU87" s="242"/>
      <c r="AV87" s="5"/>
      <c r="AW87" s="242"/>
      <c r="AX87" s="1"/>
      <c r="AY87" s="1"/>
      <c r="AZ87" s="5"/>
      <c r="BC87" s="1"/>
    </row>
    <row r="88" spans="1:55" x14ac:dyDescent="0.2">
      <c r="A88" s="105" t="s">
        <v>118</v>
      </c>
      <c r="B88" s="1"/>
      <c r="I88" s="104"/>
      <c r="J88" s="105" t="s">
        <v>119</v>
      </c>
      <c r="Q88" s="1" t="s">
        <v>120</v>
      </c>
      <c r="AL88" s="110"/>
      <c r="AM88" s="4"/>
      <c r="AN88" s="121"/>
      <c r="AO88" s="1"/>
      <c r="AP88" s="5"/>
      <c r="AQ88" s="5"/>
      <c r="AR88" s="5"/>
      <c r="AS88" s="242"/>
      <c r="AT88" s="1"/>
      <c r="AU88" s="242"/>
      <c r="AV88" s="5"/>
      <c r="AW88" s="242"/>
      <c r="AX88" s="1"/>
      <c r="AY88" s="1"/>
      <c r="AZ88" s="5"/>
      <c r="BC88" s="1"/>
    </row>
    <row r="89" spans="1:55" x14ac:dyDescent="0.2">
      <c r="A89" s="105"/>
      <c r="B89" s="1"/>
      <c r="I89" s="104"/>
      <c r="J89" s="105"/>
      <c r="AL89" s="111" t="s">
        <v>121</v>
      </c>
      <c r="AM89" s="112"/>
      <c r="AN89" s="122"/>
      <c r="AO89" s="1"/>
      <c r="AP89" s="5"/>
      <c r="AQ89" s="5"/>
      <c r="AR89" s="5"/>
      <c r="AS89" s="242"/>
      <c r="AT89" s="1"/>
      <c r="AU89" s="242"/>
      <c r="AV89" s="5"/>
      <c r="AW89" s="242"/>
      <c r="AX89" s="1"/>
      <c r="AY89" s="1"/>
      <c r="AZ89" s="5"/>
      <c r="BC89" s="1"/>
    </row>
    <row r="90" spans="1:55" x14ac:dyDescent="0.2">
      <c r="A90" s="241"/>
      <c r="I90" s="104"/>
      <c r="J90" s="105"/>
      <c r="Q90" s="1" t="s">
        <v>122</v>
      </c>
      <c r="AL90" s="111" t="s">
        <v>123</v>
      </c>
      <c r="AM90" s="112"/>
      <c r="AN90" s="122"/>
      <c r="AO90" s="1"/>
      <c r="AP90" s="5"/>
      <c r="AQ90" s="5"/>
      <c r="AR90" s="5"/>
      <c r="AS90" s="242"/>
      <c r="AT90" s="1"/>
      <c r="AU90" s="242"/>
      <c r="AV90" s="5"/>
      <c r="AW90" s="242"/>
      <c r="AX90" s="1"/>
      <c r="AY90" s="1"/>
      <c r="AZ90" s="5"/>
      <c r="BC90" s="1"/>
    </row>
    <row r="91" spans="1:55" x14ac:dyDescent="0.2">
      <c r="A91" s="629" t="s">
        <v>124</v>
      </c>
      <c r="B91" s="630"/>
      <c r="C91" s="630"/>
      <c r="D91" s="1"/>
      <c r="H91" s="113"/>
      <c r="I91" s="104"/>
      <c r="J91" s="631" t="s">
        <v>125</v>
      </c>
      <c r="K91" s="632"/>
      <c r="L91" s="632"/>
      <c r="M91" s="632"/>
      <c r="P91" s="114"/>
      <c r="Q91" s="114" t="s">
        <v>126</v>
      </c>
      <c r="R91" s="114"/>
      <c r="S91" s="114"/>
      <c r="T91" s="114"/>
      <c r="U91" s="114"/>
      <c r="V91" s="114"/>
      <c r="W91" s="114"/>
      <c r="X91" s="115"/>
      <c r="Y91" s="114"/>
      <c r="Z91" s="114"/>
      <c r="AL91" s="111" t="s">
        <v>127</v>
      </c>
      <c r="AM91" s="112"/>
      <c r="AN91" s="122"/>
      <c r="AO91" s="1"/>
      <c r="AP91" s="5"/>
      <c r="AQ91" s="5"/>
      <c r="AR91" s="5"/>
      <c r="AS91" s="242"/>
      <c r="AT91" s="1"/>
      <c r="AU91" s="242"/>
      <c r="AV91" s="5"/>
      <c r="AW91" s="242"/>
      <c r="AX91" s="1"/>
      <c r="AY91" s="1"/>
      <c r="AZ91" s="5"/>
      <c r="BC91" s="1"/>
    </row>
    <row r="92" spans="1:55" x14ac:dyDescent="0.2">
      <c r="A92" s="629" t="s">
        <v>128</v>
      </c>
      <c r="B92" s="630"/>
      <c r="C92" s="630"/>
      <c r="D92" s="1"/>
      <c r="H92" s="633" t="s">
        <v>129</v>
      </c>
      <c r="I92" s="634"/>
      <c r="J92" s="629" t="s">
        <v>130</v>
      </c>
      <c r="K92" s="630"/>
      <c r="L92" s="630"/>
      <c r="M92" s="630"/>
      <c r="P92" s="633" t="s">
        <v>131</v>
      </c>
      <c r="Q92" s="633"/>
      <c r="R92" s="633"/>
      <c r="S92" s="633"/>
      <c r="T92" s="633"/>
      <c r="U92" s="633"/>
      <c r="V92" s="633"/>
      <c r="W92" s="633"/>
      <c r="X92" s="633"/>
      <c r="Y92" s="633"/>
      <c r="Z92" s="633"/>
      <c r="AL92" s="111" t="s">
        <v>123</v>
      </c>
      <c r="AM92" s="112"/>
      <c r="AN92" s="122"/>
      <c r="AO92" s="1"/>
      <c r="AP92" s="5"/>
      <c r="AQ92" s="5"/>
      <c r="AR92" s="5"/>
      <c r="AS92" s="242"/>
      <c r="AT92" s="1"/>
      <c r="AU92" s="242"/>
      <c r="AV92" s="5"/>
      <c r="AW92" s="242"/>
      <c r="AX92" s="1"/>
      <c r="AY92" s="1"/>
      <c r="AZ92" s="5"/>
      <c r="BC92" s="1"/>
    </row>
    <row r="93" spans="1:55" ht="22.5" customHeight="1" thickBot="1" x14ac:dyDescent="0.25">
      <c r="A93" s="625" t="s">
        <v>208</v>
      </c>
      <c r="B93" s="626"/>
      <c r="C93" s="626"/>
      <c r="D93" s="116"/>
      <c r="E93" s="116"/>
      <c r="F93" s="116"/>
      <c r="G93" s="116"/>
      <c r="H93" s="116"/>
      <c r="I93" s="117"/>
      <c r="J93" s="627" t="s">
        <v>132</v>
      </c>
      <c r="K93" s="628"/>
      <c r="L93" s="628"/>
      <c r="M93" s="628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8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9"/>
      <c r="AM93" s="118"/>
      <c r="AN93" s="123"/>
      <c r="AO93" s="1"/>
      <c r="AP93" s="5"/>
      <c r="AQ93" s="5"/>
      <c r="AR93" s="5"/>
      <c r="AS93" s="242"/>
      <c r="AT93" s="1"/>
      <c r="AU93" s="242"/>
      <c r="AV93" s="5"/>
      <c r="AW93" s="242"/>
      <c r="AX93" s="1"/>
      <c r="AY93" s="1"/>
      <c r="AZ93" s="5"/>
      <c r="BC93" s="1"/>
    </row>
  </sheetData>
  <autoFilter ref="A8:AU80"/>
  <mergeCells count="20">
    <mergeCell ref="A7:T7"/>
    <mergeCell ref="A1:AN1"/>
    <mergeCell ref="A2:AN2"/>
    <mergeCell ref="A3:AN3"/>
    <mergeCell ref="A4:AN4"/>
    <mergeCell ref="A5:AN5"/>
    <mergeCell ref="P92:Z92"/>
    <mergeCell ref="A84:F84"/>
    <mergeCell ref="J84:AN84"/>
    <mergeCell ref="A85:F85"/>
    <mergeCell ref="J85:AN85"/>
    <mergeCell ref="A86:F86"/>
    <mergeCell ref="J86:AN86"/>
    <mergeCell ref="A93:C93"/>
    <mergeCell ref="J93:M93"/>
    <mergeCell ref="A91:C91"/>
    <mergeCell ref="J91:M91"/>
    <mergeCell ref="A92:C92"/>
    <mergeCell ref="H92:I92"/>
    <mergeCell ref="J92:M92"/>
  </mergeCells>
  <phoneticPr fontId="60" type="noConversion"/>
  <conditionalFormatting sqref="B79">
    <cfRule type="duplicateValues" dxfId="33" priority="15"/>
  </conditionalFormatting>
  <conditionalFormatting sqref="B90 B81:B83">
    <cfRule type="duplicateValues" dxfId="32" priority="14"/>
  </conditionalFormatting>
  <conditionalFormatting sqref="B29">
    <cfRule type="duplicateValues" dxfId="31" priority="13"/>
  </conditionalFormatting>
  <conditionalFormatting sqref="B57:B61">
    <cfRule type="duplicateValues" dxfId="30" priority="12"/>
  </conditionalFormatting>
  <conditionalFormatting sqref="B63">
    <cfRule type="duplicateValues" dxfId="29" priority="18"/>
  </conditionalFormatting>
  <conditionalFormatting sqref="B42:B47">
    <cfRule type="duplicateValues" dxfId="28" priority="23"/>
  </conditionalFormatting>
  <conditionalFormatting sqref="B66:B68">
    <cfRule type="duplicateValues" dxfId="27" priority="28"/>
  </conditionalFormatting>
  <conditionalFormatting sqref="B51:B52 B48:B49 B13">
    <cfRule type="duplicateValues" dxfId="26" priority="33"/>
  </conditionalFormatting>
  <conditionalFormatting sqref="B40:B41">
    <cfRule type="duplicateValues" dxfId="25" priority="42"/>
  </conditionalFormatting>
  <conditionalFormatting sqref="B69 B72">
    <cfRule type="duplicateValues" dxfId="24" priority="57"/>
  </conditionalFormatting>
  <conditionalFormatting sqref="B75">
    <cfRule type="duplicateValues" dxfId="23" priority="61"/>
  </conditionalFormatting>
  <conditionalFormatting sqref="B78">
    <cfRule type="duplicateValues" dxfId="22" priority="62"/>
  </conditionalFormatting>
  <conditionalFormatting sqref="B94:B1048576 B79 B8:B12 B14:B28 B30:B39">
    <cfRule type="duplicateValues" dxfId="21" priority="64"/>
  </conditionalFormatting>
  <conditionalFormatting sqref="B62:B65">
    <cfRule type="duplicateValues" dxfId="20" priority="66"/>
  </conditionalFormatting>
  <conditionalFormatting sqref="B76">
    <cfRule type="duplicateValues" dxfId="19" priority="1"/>
  </conditionalFormatting>
  <conditionalFormatting sqref="B77">
    <cfRule type="duplicateValues" dxfId="18" priority="2"/>
  </conditionalFormatting>
  <conditionalFormatting sqref="B53:B56 B50">
    <cfRule type="duplicateValues" dxfId="17" priority="69"/>
  </conditionalFormatting>
  <conditionalFormatting sqref="B73:B74 B70:B71">
    <cfRule type="duplicateValues" dxfId="16" priority="70"/>
  </conditionalFormatting>
  <pageMargins left="0" right="0" top="0" bottom="0" header="0" footer="0"/>
  <pageSetup paperSize="119" scale="65" fitToWidth="0" fitToHeight="0" orientation="landscape" blackAndWhite="1" errors="NA" r:id="rId1"/>
  <headerFooter scaleWithDoc="0" alignWithMargins="0">
    <oddFooter>Page &amp;P of &amp;N</oddFooter>
  </headerFooter>
  <rowBreaks count="3" manualBreakCount="3">
    <brk id="29" max="39" man="1"/>
    <brk id="50" max="39" man="1"/>
    <brk id="72" max="3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E43"/>
  <sheetViews>
    <sheetView view="pageBreakPreview" zoomScale="80" zoomScaleNormal="100" zoomScaleSheetLayoutView="80" workbookViewId="0">
      <pane xSplit="3" ySplit="8" topLeftCell="Z12" activePane="bottomRight" state="frozen"/>
      <selection activeCell="H2" sqref="H2"/>
      <selection pane="topRight" activeCell="H2" sqref="H2"/>
      <selection pane="bottomLeft" activeCell="H2" sqref="H2"/>
      <selection pane="bottomRight" activeCell="M29" sqref="M29"/>
    </sheetView>
  </sheetViews>
  <sheetFormatPr defaultColWidth="9.140625" defaultRowHeight="15.75" outlineLevelCol="1" x14ac:dyDescent="0.2"/>
  <cols>
    <col min="1" max="1" width="5.5703125" style="242" customWidth="1"/>
    <col min="2" max="2" width="14.42578125" style="242" hidden="1" customWidth="1"/>
    <col min="3" max="3" width="33.42578125" style="210" customWidth="1"/>
    <col min="4" max="4" width="7.140625" style="242" customWidth="1"/>
    <col min="5" max="5" width="16.42578125" style="1" hidden="1" customWidth="1"/>
    <col min="6" max="6" width="11.28515625" style="1" hidden="1" customWidth="1"/>
    <col min="7" max="7" width="13.7109375" style="1" hidden="1" customWidth="1"/>
    <col min="8" max="8" width="18.140625" style="1" customWidth="1"/>
    <col min="9" max="9" width="15.5703125" style="1" customWidth="1"/>
    <col min="10" max="10" width="15.7109375" style="1" customWidth="1"/>
    <col min="11" max="11" width="14.7109375" style="1" customWidth="1"/>
    <col min="12" max="12" width="16.7109375" style="1" customWidth="1"/>
    <col min="13" max="13" width="16" style="1" customWidth="1"/>
    <col min="14" max="14" width="14.5703125" style="1" customWidth="1"/>
    <col min="15" max="15" width="14.140625" style="1" customWidth="1"/>
    <col min="16" max="16" width="14.8554687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4" hidden="1" customWidth="1" outlineLevel="1"/>
    <col min="25" max="25" width="11.7109375" style="1" hidden="1" customWidth="1" outlineLevel="1"/>
    <col min="26" max="26" width="14.425781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6" style="2" customWidth="1" collapsed="1"/>
    <col min="39" max="39" width="17.5703125" style="2" customWidth="1"/>
    <col min="40" max="40" width="28.7109375" style="2" customWidth="1"/>
    <col min="41" max="41" width="18.85546875" style="2" hidden="1" customWidth="1" outlineLevel="1"/>
    <col min="42" max="42" width="16.28515625" style="1" hidden="1" customWidth="1" outlineLevel="1"/>
    <col min="43" max="43" width="17.85546875" style="1" hidden="1" customWidth="1" outlineLevel="1"/>
    <col min="44" max="44" width="17.42578125" style="1" customWidth="1" outlineLevel="1"/>
    <col min="45" max="46" width="16.28515625" style="5" hidden="1" customWidth="1" outlineLevel="1"/>
    <col min="47" max="47" width="16.28515625" style="5" customWidth="1" collapsed="1"/>
    <col min="48" max="48" width="11.42578125" style="242" hidden="1" customWidth="1"/>
    <col min="49" max="49" width="11.42578125" style="1" customWidth="1"/>
    <col min="50" max="50" width="11.85546875" style="242" customWidth="1"/>
    <col min="51" max="51" width="12" style="5" customWidth="1"/>
    <col min="52" max="52" width="9.85546875" style="242" customWidth="1"/>
    <col min="53" max="53" width="15.5703125" style="1" customWidth="1"/>
    <col min="54" max="54" width="17" style="1" customWidth="1"/>
    <col min="55" max="55" width="15.85546875" style="5" customWidth="1"/>
    <col min="56" max="56" width="11.42578125" style="1" customWidth="1"/>
    <col min="57" max="16384" width="9.140625" style="1"/>
  </cols>
  <sheetData>
    <row r="1" spans="1:57" ht="25.5" x14ac:dyDescent="0.35">
      <c r="A1" s="645" t="s">
        <v>105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45"/>
      <c r="R1" s="645"/>
      <c r="S1" s="645"/>
      <c r="T1" s="645"/>
      <c r="U1" s="645"/>
      <c r="V1" s="645"/>
      <c r="W1" s="645"/>
      <c r="X1" s="645"/>
      <c r="Y1" s="645"/>
      <c r="Z1" s="645"/>
      <c r="AA1" s="645"/>
      <c r="AB1" s="645"/>
      <c r="AC1" s="645"/>
      <c r="AD1" s="645"/>
      <c r="AE1" s="645"/>
      <c r="AF1" s="645"/>
      <c r="AG1" s="645"/>
      <c r="AH1" s="645"/>
      <c r="AI1" s="645"/>
      <c r="AJ1" s="645"/>
      <c r="AK1" s="645"/>
      <c r="AL1" s="645"/>
      <c r="AM1" s="645"/>
      <c r="AN1" s="645"/>
      <c r="AO1" s="95"/>
      <c r="AP1" s="95"/>
      <c r="AQ1" s="95"/>
    </row>
    <row r="2" spans="1:57" x14ac:dyDescent="0.25">
      <c r="A2" s="646" t="s">
        <v>106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96"/>
      <c r="AP2" s="96"/>
      <c r="AQ2" s="96"/>
    </row>
    <row r="3" spans="1:57" ht="13.5" customHeight="1" x14ac:dyDescent="0.2">
      <c r="A3" s="647" t="s">
        <v>107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  <c r="AM3" s="647"/>
      <c r="AN3" s="647"/>
      <c r="AO3" s="97"/>
      <c r="AP3" s="97"/>
      <c r="AQ3" s="97"/>
    </row>
    <row r="4" spans="1:57" x14ac:dyDescent="0.25">
      <c r="A4" s="648" t="s">
        <v>348</v>
      </c>
      <c r="B4" s="648"/>
      <c r="C4" s="648"/>
      <c r="D4" s="648"/>
      <c r="E4" s="648"/>
      <c r="F4" s="648"/>
      <c r="G4" s="648"/>
      <c r="H4" s="648"/>
      <c r="I4" s="648"/>
      <c r="J4" s="648"/>
      <c r="K4" s="648"/>
      <c r="L4" s="648"/>
      <c r="M4" s="648"/>
      <c r="N4" s="648"/>
      <c r="O4" s="648"/>
      <c r="P4" s="648"/>
      <c r="Q4" s="648"/>
      <c r="R4" s="648"/>
      <c r="S4" s="648"/>
      <c r="T4" s="648"/>
      <c r="U4" s="648"/>
      <c r="V4" s="648"/>
      <c r="W4" s="648"/>
      <c r="X4" s="648"/>
      <c r="Y4" s="648"/>
      <c r="Z4" s="648"/>
      <c r="AA4" s="648"/>
      <c r="AB4" s="648"/>
      <c r="AC4" s="648"/>
      <c r="AD4" s="648"/>
      <c r="AE4" s="648"/>
      <c r="AF4" s="648"/>
      <c r="AG4" s="648"/>
      <c r="AH4" s="648"/>
      <c r="AI4" s="648"/>
      <c r="AJ4" s="648"/>
      <c r="AK4" s="648"/>
      <c r="AL4" s="648"/>
      <c r="AM4" s="648"/>
      <c r="AN4" s="648"/>
      <c r="AO4" s="98"/>
      <c r="AP4" s="98"/>
      <c r="AQ4" s="98"/>
    </row>
    <row r="5" spans="1:57" x14ac:dyDescent="0.2">
      <c r="A5" s="647" t="s">
        <v>108</v>
      </c>
      <c r="B5" s="647"/>
      <c r="C5" s="647"/>
      <c r="D5" s="647"/>
      <c r="E5" s="647"/>
      <c r="F5" s="647"/>
      <c r="G5" s="647"/>
      <c r="H5" s="647"/>
      <c r="I5" s="647"/>
      <c r="J5" s="647"/>
      <c r="K5" s="647"/>
      <c r="L5" s="647"/>
      <c r="M5" s="647"/>
      <c r="N5" s="647"/>
      <c r="O5" s="647"/>
      <c r="P5" s="647"/>
      <c r="Q5" s="647"/>
      <c r="R5" s="647"/>
      <c r="S5" s="647"/>
      <c r="T5" s="647"/>
      <c r="U5" s="647"/>
      <c r="V5" s="647"/>
      <c r="W5" s="647"/>
      <c r="X5" s="647"/>
      <c r="Y5" s="647"/>
      <c r="Z5" s="647"/>
      <c r="AA5" s="647"/>
      <c r="AB5" s="647"/>
      <c r="AC5" s="647"/>
      <c r="AD5" s="647"/>
      <c r="AE5" s="647"/>
      <c r="AF5" s="647"/>
      <c r="AG5" s="647"/>
      <c r="AH5" s="647"/>
      <c r="AI5" s="647"/>
      <c r="AJ5" s="647"/>
      <c r="AK5" s="647"/>
      <c r="AL5" s="647"/>
      <c r="AM5" s="647"/>
      <c r="AN5" s="647"/>
      <c r="AO5" s="97"/>
      <c r="AP5" s="97"/>
      <c r="AQ5" s="97"/>
    </row>
    <row r="6" spans="1:57" ht="16.5" x14ac:dyDescent="0.3">
      <c r="A6" s="90" t="s">
        <v>109</v>
      </c>
      <c r="B6" s="90"/>
      <c r="C6" s="208"/>
      <c r="D6" s="91"/>
      <c r="E6" s="91"/>
      <c r="F6" s="92"/>
      <c r="G6" s="91"/>
      <c r="H6" s="91"/>
      <c r="I6" s="91"/>
      <c r="J6" s="91"/>
      <c r="K6" s="91"/>
      <c r="L6" s="90"/>
      <c r="M6" s="91"/>
      <c r="N6" s="91"/>
      <c r="O6" s="91"/>
      <c r="P6" s="91"/>
      <c r="Q6" s="91"/>
      <c r="R6" s="91"/>
      <c r="S6" s="93"/>
      <c r="T6" s="94"/>
      <c r="U6" s="93"/>
      <c r="AO6" s="1"/>
    </row>
    <row r="7" spans="1:57" ht="16.5" thickBot="1" x14ac:dyDescent="0.3">
      <c r="A7" s="644" t="s">
        <v>217</v>
      </c>
      <c r="B7" s="644"/>
      <c r="C7" s="644"/>
      <c r="D7" s="644"/>
      <c r="E7" s="644"/>
      <c r="F7" s="644"/>
      <c r="G7" s="644"/>
      <c r="H7" s="644"/>
      <c r="I7" s="644"/>
      <c r="J7" s="644"/>
      <c r="K7" s="644"/>
      <c r="L7" s="644"/>
      <c r="M7" s="644"/>
      <c r="N7" s="644"/>
      <c r="O7" s="644"/>
      <c r="P7" s="644"/>
      <c r="Q7" s="644"/>
      <c r="R7" s="644"/>
      <c r="S7" s="644"/>
      <c r="T7" s="644"/>
      <c r="U7" s="93"/>
      <c r="AO7" s="1"/>
    </row>
    <row r="8" spans="1:57" s="3" customFormat="1" ht="31.5" customHeight="1" x14ac:dyDescent="0.2">
      <c r="A8" s="125" t="s">
        <v>7</v>
      </c>
      <c r="B8" s="126" t="s">
        <v>100</v>
      </c>
      <c r="C8" s="189" t="s">
        <v>0</v>
      </c>
      <c r="D8" s="126" t="s">
        <v>6</v>
      </c>
      <c r="E8" s="127" t="s">
        <v>101</v>
      </c>
      <c r="F8" s="127" t="s">
        <v>8</v>
      </c>
      <c r="G8" s="127" t="s">
        <v>9</v>
      </c>
      <c r="H8" s="189" t="s">
        <v>28</v>
      </c>
      <c r="I8" s="189" t="s">
        <v>25</v>
      </c>
      <c r="J8" s="189" t="s">
        <v>41</v>
      </c>
      <c r="K8" s="189" t="s">
        <v>40</v>
      </c>
      <c r="L8" s="189" t="s">
        <v>39</v>
      </c>
      <c r="M8" s="189" t="s">
        <v>42</v>
      </c>
      <c r="N8" s="190" t="s">
        <v>133</v>
      </c>
      <c r="O8" s="190" t="s">
        <v>1</v>
      </c>
      <c r="P8" s="189" t="s">
        <v>29</v>
      </c>
      <c r="Q8" s="189" t="s">
        <v>23</v>
      </c>
      <c r="R8" s="189" t="s">
        <v>24</v>
      </c>
      <c r="S8" s="189" t="s">
        <v>2</v>
      </c>
      <c r="T8" s="189" t="s">
        <v>12</v>
      </c>
      <c r="U8" s="189" t="s">
        <v>13</v>
      </c>
      <c r="V8" s="189" t="s">
        <v>14</v>
      </c>
      <c r="W8" s="189" t="s">
        <v>3</v>
      </c>
      <c r="X8" s="189" t="s">
        <v>27</v>
      </c>
      <c r="Y8" s="189" t="s">
        <v>22</v>
      </c>
      <c r="Z8" s="191" t="s">
        <v>15</v>
      </c>
      <c r="AA8" s="189" t="s">
        <v>21</v>
      </c>
      <c r="AB8" s="189" t="s">
        <v>32</v>
      </c>
      <c r="AC8" s="189" t="s">
        <v>20</v>
      </c>
      <c r="AD8" s="191" t="s">
        <v>26</v>
      </c>
      <c r="AE8" s="191" t="s">
        <v>19</v>
      </c>
      <c r="AF8" s="191" t="s">
        <v>18</v>
      </c>
      <c r="AG8" s="191" t="s">
        <v>17</v>
      </c>
      <c r="AH8" s="191" t="s">
        <v>16</v>
      </c>
      <c r="AI8" s="191" t="s">
        <v>30</v>
      </c>
      <c r="AJ8" s="191" t="s">
        <v>5</v>
      </c>
      <c r="AK8" s="191" t="s">
        <v>31</v>
      </c>
      <c r="AL8" s="191" t="s">
        <v>4</v>
      </c>
      <c r="AM8" s="190" t="s">
        <v>10</v>
      </c>
      <c r="AN8" s="192" t="s">
        <v>110</v>
      </c>
      <c r="AO8" s="124" t="s">
        <v>34</v>
      </c>
      <c r="AP8" s="6" t="s">
        <v>35</v>
      </c>
      <c r="AQ8" s="6" t="s">
        <v>36</v>
      </c>
      <c r="AR8" s="7" t="s">
        <v>11</v>
      </c>
      <c r="AS8" s="6" t="s">
        <v>34</v>
      </c>
      <c r="AT8" s="6" t="s">
        <v>35</v>
      </c>
      <c r="AU8" s="8" t="s">
        <v>1</v>
      </c>
      <c r="AV8" s="7"/>
      <c r="AW8" s="7" t="s">
        <v>43</v>
      </c>
      <c r="AX8" s="337" t="s">
        <v>44</v>
      </c>
      <c r="AY8" s="338" t="s">
        <v>38</v>
      </c>
      <c r="AZ8" s="338" t="s">
        <v>45</v>
      </c>
      <c r="BA8" s="7" t="s">
        <v>46</v>
      </c>
      <c r="BB8" s="7" t="s">
        <v>47</v>
      </c>
      <c r="BC8" s="8" t="s">
        <v>48</v>
      </c>
      <c r="BD8" s="3" t="s">
        <v>104</v>
      </c>
    </row>
    <row r="9" spans="1:57" s="207" customFormat="1" ht="26.25" customHeight="1" x14ac:dyDescent="0.25">
      <c r="A9" s="199" t="s">
        <v>188</v>
      </c>
      <c r="B9" s="200"/>
      <c r="C9" s="219" t="s">
        <v>277</v>
      </c>
      <c r="D9" s="193">
        <v>11</v>
      </c>
      <c r="E9" s="194">
        <v>27000</v>
      </c>
      <c r="F9" s="194">
        <f>IF(H9&gt;0,100,0)</f>
        <v>100</v>
      </c>
      <c r="G9" s="194">
        <f>+ROUND(H9*12%,2)</f>
        <v>3240</v>
      </c>
      <c r="H9" s="195">
        <f>ROUND(IF(AX9&gt;22,0,IF(AX9=22,E9,IF(AX9&lt;22,E9*(AX9/AZ9),IF(OR(AX9=0,AX9=" ")=TRUE,0)))),2)</f>
        <v>27000</v>
      </c>
      <c r="I9" s="195">
        <f t="shared" ref="I9:I28" si="0">ROUND(IF(AND(H9&gt;0,AX9=22)=TRUE,2000,IF(AND(H9&gt;0,AX9&lt;22,AX9&gt;0)=TRUE,2000*(AX9/AZ9),IF(AX9&lt;0,0,0))),2)</f>
        <v>2000</v>
      </c>
      <c r="J9" s="195">
        <f t="shared" ref="J9:J28" si="1">IF(H9&gt;0,BC9-BB9,0)</f>
        <v>1100</v>
      </c>
      <c r="K9" s="195">
        <f t="shared" ref="K9:K28" si="2">IF(AND(H9&gt;0,AX9&gt;11)=TRUE,150,0)</f>
        <v>150</v>
      </c>
      <c r="L9" s="195">
        <f t="shared" ref="L9:L28" si="3">ROUND(IF(AND($H9&gt;0,AX9&gt;11)=TRUE,$AW9*$E9,0),2)</f>
        <v>6750</v>
      </c>
      <c r="M9" s="195">
        <f>ROUND(SUM(H9:L9),2)</f>
        <v>37000</v>
      </c>
      <c r="N9" s="320">
        <v>6793.67</v>
      </c>
      <c r="O9" s="195">
        <f>E9*0.04/2</f>
        <v>540</v>
      </c>
      <c r="P9" s="196">
        <f>ROUND($H9*9%,2)</f>
        <v>2430</v>
      </c>
      <c r="Q9" s="196"/>
      <c r="R9" s="196"/>
      <c r="S9" s="196"/>
      <c r="T9" s="196"/>
      <c r="U9" s="196"/>
      <c r="V9" s="196"/>
      <c r="W9" s="196"/>
      <c r="X9" s="196"/>
      <c r="Y9" s="196"/>
      <c r="Z9" s="196">
        <f>ROUND(IF(H9&gt;0,100,0),2)</f>
        <v>100</v>
      </c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>
        <f>SUM(N9:AK9)</f>
        <v>9863.67</v>
      </c>
      <c r="AM9" s="197">
        <f>ROUND(M9-AL9,2)</f>
        <v>27136.33</v>
      </c>
      <c r="AN9" s="713"/>
      <c r="AO9" s="201"/>
      <c r="AP9" s="198"/>
      <c r="AQ9" s="202">
        <f t="shared" ref="AQ9:AQ28" si="4">SUM(AO9:AP9)</f>
        <v>0</v>
      </c>
      <c r="AR9" s="203">
        <f t="shared" ref="AR9:AR28" si="5">+AM9-AQ9</f>
        <v>27136.33</v>
      </c>
      <c r="AS9" s="203"/>
      <c r="AT9" s="203"/>
      <c r="AU9" s="203">
        <f t="shared" ref="AU9:AU28" si="6">IF(E9=0,0,IF(E9&lt;=10000,137.5,IF(AND(E9&gt;10000,E9&lt;40000)=TRUE,E9*2.75%*50%,IF(E9&gt;=40000,550,0))))</f>
        <v>371.25</v>
      </c>
      <c r="AV9" s="204"/>
      <c r="AW9" s="204" t="str">
        <f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05">
        <v>22</v>
      </c>
      <c r="AY9" s="203">
        <v>150</v>
      </c>
      <c r="AZ9" s="204">
        <v>22</v>
      </c>
      <c r="BA9" s="203">
        <v>50</v>
      </c>
      <c r="BB9" s="203">
        <f>IF(AX9&gt;0,(AZ9-AX9+BD9)*BA9,0)</f>
        <v>0</v>
      </c>
      <c r="BC9" s="203">
        <f>IF(AX9&gt;0,1100,0)</f>
        <v>1100</v>
      </c>
      <c r="BD9" s="205"/>
      <c r="BE9" s="206"/>
    </row>
    <row r="10" spans="1:57" s="207" customFormat="1" ht="26.25" customHeight="1" x14ac:dyDescent="0.25">
      <c r="A10" s="199" t="s">
        <v>189</v>
      </c>
      <c r="B10" s="200"/>
      <c r="C10" s="219" t="s">
        <v>278</v>
      </c>
      <c r="D10" s="193">
        <v>11</v>
      </c>
      <c r="E10" s="194">
        <v>27000</v>
      </c>
      <c r="F10" s="194">
        <f t="shared" ref="F10:F13" si="7">IF(H10&gt;0,100,0)</f>
        <v>100</v>
      </c>
      <c r="G10" s="194">
        <f t="shared" ref="G10:G13" si="8">+ROUND(H10*12%,2)</f>
        <v>3240</v>
      </c>
      <c r="H10" s="195">
        <f t="shared" ref="H10:H13" si="9">ROUND(IF(AX10&gt;22,0,IF(AX10=22,E10,IF(AX10&lt;22,E10*(AX10/AZ10),IF(OR(AX10=0,AX10=" ")=TRUE,0)))),2)</f>
        <v>27000</v>
      </c>
      <c r="I10" s="195">
        <f t="shared" si="0"/>
        <v>2000</v>
      </c>
      <c r="J10" s="195">
        <f t="shared" si="1"/>
        <v>1100</v>
      </c>
      <c r="K10" s="195">
        <f t="shared" si="2"/>
        <v>150</v>
      </c>
      <c r="L10" s="195">
        <f t="shared" si="3"/>
        <v>6750</v>
      </c>
      <c r="M10" s="195">
        <f t="shared" ref="M10:M13" si="10">ROUND(SUM(H10:L10),2)</f>
        <v>37000</v>
      </c>
      <c r="N10" s="320">
        <v>6793.67</v>
      </c>
      <c r="O10" s="195">
        <f t="shared" ref="O10:O28" si="11">E10*0.04/2</f>
        <v>540</v>
      </c>
      <c r="P10" s="196">
        <f t="shared" ref="P10:P28" si="12">ROUND($H10*9%,2)</f>
        <v>2430</v>
      </c>
      <c r="Q10" s="196"/>
      <c r="R10" s="196"/>
      <c r="S10" s="196"/>
      <c r="T10" s="196"/>
      <c r="U10" s="196"/>
      <c r="V10" s="196"/>
      <c r="W10" s="196"/>
      <c r="X10" s="196"/>
      <c r="Y10" s="196"/>
      <c r="Z10" s="196">
        <f t="shared" ref="Z10:Z13" si="13">ROUND(IF(H10&gt;0,100,0),2)</f>
        <v>100</v>
      </c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>
        <f t="shared" ref="AL10:AL13" si="14">SUM(N10:AK10)</f>
        <v>9863.67</v>
      </c>
      <c r="AM10" s="197">
        <f t="shared" ref="AM10:AM13" si="15">ROUND(M10-AL10,2)</f>
        <v>27136.33</v>
      </c>
      <c r="AN10" s="713"/>
      <c r="AO10" s="201"/>
      <c r="AP10" s="198"/>
      <c r="AQ10" s="202">
        <f t="shared" si="4"/>
        <v>0</v>
      </c>
      <c r="AR10" s="203">
        <f t="shared" si="5"/>
        <v>27136.33</v>
      </c>
      <c r="AS10" s="203"/>
      <c r="AT10" s="203"/>
      <c r="AU10" s="203">
        <f t="shared" si="6"/>
        <v>371.25</v>
      </c>
      <c r="AV10" s="204"/>
      <c r="AW10" s="204" t="str">
        <f t="shared" ref="AW10:AW28" si="16">IF(AND($D10&gt;=1,$D10&lt;=19)=TRUE,"25%",IF($D10=20,"15%",IF($D10=21,"13%",IF($D10=22,"12%",IF($D10=23,"11%",IF(OR($D10=24,$D10=25)=TRUE,"10%",IF($D10=26,"9%",IF($D10=27,"8%",IF($D10=28,"7%",IF(OR($D10=29,$D10=30)=TRUE,"6%",IF($D10=31,"5%","0%")))))))))))</f>
        <v>25%</v>
      </c>
      <c r="AX10" s="205">
        <v>22</v>
      </c>
      <c r="AY10" s="203">
        <v>150</v>
      </c>
      <c r="AZ10" s="204">
        <v>22</v>
      </c>
      <c r="BA10" s="203">
        <v>50</v>
      </c>
      <c r="BB10" s="203">
        <f t="shared" ref="BB10:BB13" si="17">IF(AX10&gt;0,(AZ10-AX10+BD10)*BA10,0)</f>
        <v>0</v>
      </c>
      <c r="BC10" s="203">
        <f t="shared" ref="BC10:BC13" si="18">IF(AX10&gt;0,1100,0)</f>
        <v>1100</v>
      </c>
      <c r="BD10" s="205"/>
    </row>
    <row r="11" spans="1:57" s="207" customFormat="1" ht="26.25" customHeight="1" x14ac:dyDescent="0.25">
      <c r="A11" s="199" t="s">
        <v>190</v>
      </c>
      <c r="B11" s="200"/>
      <c r="C11" s="219" t="s">
        <v>279</v>
      </c>
      <c r="D11" s="193">
        <v>11</v>
      </c>
      <c r="E11" s="194">
        <v>27000</v>
      </c>
      <c r="F11" s="194">
        <f t="shared" si="7"/>
        <v>100</v>
      </c>
      <c r="G11" s="194">
        <f t="shared" si="8"/>
        <v>3240</v>
      </c>
      <c r="H11" s="195">
        <f t="shared" si="9"/>
        <v>27000</v>
      </c>
      <c r="I11" s="195">
        <f t="shared" si="0"/>
        <v>2000</v>
      </c>
      <c r="J11" s="195">
        <f t="shared" si="1"/>
        <v>1100</v>
      </c>
      <c r="K11" s="195">
        <f t="shared" si="2"/>
        <v>150</v>
      </c>
      <c r="L11" s="195">
        <f t="shared" si="3"/>
        <v>6750</v>
      </c>
      <c r="M11" s="195">
        <f t="shared" si="10"/>
        <v>37000</v>
      </c>
      <c r="N11" s="320">
        <v>6793.67</v>
      </c>
      <c r="O11" s="195">
        <f t="shared" si="11"/>
        <v>540</v>
      </c>
      <c r="P11" s="196">
        <f t="shared" si="12"/>
        <v>2430</v>
      </c>
      <c r="Q11" s="196"/>
      <c r="R11" s="196"/>
      <c r="S11" s="196"/>
      <c r="T11" s="196"/>
      <c r="U11" s="196"/>
      <c r="V11" s="196"/>
      <c r="W11" s="196"/>
      <c r="X11" s="196"/>
      <c r="Y11" s="196"/>
      <c r="Z11" s="196">
        <f t="shared" si="13"/>
        <v>100</v>
      </c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>
        <f t="shared" si="14"/>
        <v>9863.67</v>
      </c>
      <c r="AM11" s="197">
        <f t="shared" si="15"/>
        <v>27136.33</v>
      </c>
      <c r="AN11" s="713"/>
      <c r="AO11" s="201"/>
      <c r="AP11" s="198"/>
      <c r="AQ11" s="202">
        <f t="shared" si="4"/>
        <v>0</v>
      </c>
      <c r="AR11" s="203">
        <f t="shared" si="5"/>
        <v>27136.33</v>
      </c>
      <c r="AS11" s="203"/>
      <c r="AT11" s="203"/>
      <c r="AU11" s="203">
        <f t="shared" si="6"/>
        <v>371.25</v>
      </c>
      <c r="AV11" s="204"/>
      <c r="AW11" s="204" t="str">
        <f t="shared" si="16"/>
        <v>25%</v>
      </c>
      <c r="AX11" s="205">
        <v>22</v>
      </c>
      <c r="AY11" s="203">
        <v>150</v>
      </c>
      <c r="AZ11" s="204">
        <v>22</v>
      </c>
      <c r="BA11" s="203">
        <v>50</v>
      </c>
      <c r="BB11" s="203">
        <f t="shared" si="17"/>
        <v>0</v>
      </c>
      <c r="BC11" s="203">
        <f t="shared" si="18"/>
        <v>1100</v>
      </c>
      <c r="BD11" s="205"/>
    </row>
    <row r="12" spans="1:57" s="207" customFormat="1" ht="26.25" customHeight="1" x14ac:dyDescent="0.25">
      <c r="A12" s="199" t="s">
        <v>191</v>
      </c>
      <c r="B12" s="200"/>
      <c r="C12" s="219" t="s">
        <v>280</v>
      </c>
      <c r="D12" s="193">
        <v>11</v>
      </c>
      <c r="E12" s="194">
        <v>27000</v>
      </c>
      <c r="F12" s="194">
        <f t="shared" si="7"/>
        <v>100</v>
      </c>
      <c r="G12" s="194">
        <f t="shared" si="8"/>
        <v>3240</v>
      </c>
      <c r="H12" s="195">
        <f t="shared" si="9"/>
        <v>27000</v>
      </c>
      <c r="I12" s="195">
        <f t="shared" si="0"/>
        <v>2000</v>
      </c>
      <c r="J12" s="195">
        <f t="shared" si="1"/>
        <v>1100</v>
      </c>
      <c r="K12" s="195">
        <f t="shared" si="2"/>
        <v>150</v>
      </c>
      <c r="L12" s="195">
        <f t="shared" si="3"/>
        <v>6750</v>
      </c>
      <c r="M12" s="195">
        <f t="shared" si="10"/>
        <v>37000</v>
      </c>
      <c r="N12" s="320">
        <v>6567.07</v>
      </c>
      <c r="O12" s="195">
        <f t="shared" si="11"/>
        <v>540</v>
      </c>
      <c r="P12" s="196">
        <f t="shared" si="12"/>
        <v>2430</v>
      </c>
      <c r="Q12" s="196"/>
      <c r="R12" s="196"/>
      <c r="S12" s="196"/>
      <c r="T12" s="196"/>
      <c r="U12" s="196"/>
      <c r="V12" s="196"/>
      <c r="W12" s="196"/>
      <c r="X12" s="196"/>
      <c r="Y12" s="196"/>
      <c r="Z12" s="196">
        <f t="shared" si="13"/>
        <v>100</v>
      </c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>
        <f t="shared" si="14"/>
        <v>9637.07</v>
      </c>
      <c r="AM12" s="197">
        <f t="shared" si="15"/>
        <v>27362.93</v>
      </c>
      <c r="AN12" s="713"/>
      <c r="AO12" s="201"/>
      <c r="AP12" s="198"/>
      <c r="AQ12" s="202">
        <f t="shared" si="4"/>
        <v>0</v>
      </c>
      <c r="AR12" s="203">
        <f t="shared" si="5"/>
        <v>27362.93</v>
      </c>
      <c r="AS12" s="203"/>
      <c r="AT12" s="203"/>
      <c r="AU12" s="203">
        <f t="shared" si="6"/>
        <v>371.25</v>
      </c>
      <c r="AV12" s="204"/>
      <c r="AW12" s="204" t="str">
        <f t="shared" si="16"/>
        <v>25%</v>
      </c>
      <c r="AX12" s="205">
        <v>22</v>
      </c>
      <c r="AY12" s="203">
        <v>150</v>
      </c>
      <c r="AZ12" s="204">
        <v>22</v>
      </c>
      <c r="BA12" s="203">
        <v>50</v>
      </c>
      <c r="BB12" s="203">
        <f t="shared" si="17"/>
        <v>0</v>
      </c>
      <c r="BC12" s="203">
        <f t="shared" si="18"/>
        <v>1100</v>
      </c>
      <c r="BD12" s="205"/>
    </row>
    <row r="13" spans="1:57" s="207" customFormat="1" ht="26.25" customHeight="1" x14ac:dyDescent="0.25">
      <c r="A13" s="199" t="s">
        <v>192</v>
      </c>
      <c r="B13" s="200"/>
      <c r="C13" s="219" t="s">
        <v>281</v>
      </c>
      <c r="D13" s="193">
        <v>11</v>
      </c>
      <c r="E13" s="194">
        <v>27000</v>
      </c>
      <c r="F13" s="194">
        <f t="shared" si="7"/>
        <v>100</v>
      </c>
      <c r="G13" s="194">
        <f t="shared" si="8"/>
        <v>3240</v>
      </c>
      <c r="H13" s="195">
        <f t="shared" si="9"/>
        <v>27000</v>
      </c>
      <c r="I13" s="195">
        <f t="shared" si="0"/>
        <v>2000</v>
      </c>
      <c r="J13" s="195">
        <f t="shared" si="1"/>
        <v>1100</v>
      </c>
      <c r="K13" s="195">
        <f t="shared" si="2"/>
        <v>150</v>
      </c>
      <c r="L13" s="195">
        <f t="shared" si="3"/>
        <v>6750</v>
      </c>
      <c r="M13" s="195">
        <f t="shared" si="10"/>
        <v>37000</v>
      </c>
      <c r="N13" s="320">
        <v>6793.67</v>
      </c>
      <c r="O13" s="195">
        <f t="shared" si="11"/>
        <v>540</v>
      </c>
      <c r="P13" s="196">
        <f t="shared" si="12"/>
        <v>2430</v>
      </c>
      <c r="Q13" s="196"/>
      <c r="R13" s="196"/>
      <c r="S13" s="196"/>
      <c r="T13" s="196"/>
      <c r="U13" s="196"/>
      <c r="V13" s="196"/>
      <c r="W13" s="196"/>
      <c r="X13" s="196"/>
      <c r="Y13" s="196"/>
      <c r="Z13" s="196">
        <f t="shared" si="13"/>
        <v>100</v>
      </c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>
        <f t="shared" si="14"/>
        <v>9863.67</v>
      </c>
      <c r="AM13" s="197">
        <f t="shared" si="15"/>
        <v>27136.33</v>
      </c>
      <c r="AN13" s="713"/>
      <c r="AO13" s="201"/>
      <c r="AP13" s="198"/>
      <c r="AQ13" s="202">
        <f t="shared" si="4"/>
        <v>0</v>
      </c>
      <c r="AR13" s="203">
        <f t="shared" si="5"/>
        <v>27136.33</v>
      </c>
      <c r="AS13" s="203"/>
      <c r="AT13" s="203"/>
      <c r="AU13" s="203">
        <f t="shared" si="6"/>
        <v>371.25</v>
      </c>
      <c r="AV13" s="204"/>
      <c r="AW13" s="204" t="str">
        <f t="shared" si="16"/>
        <v>25%</v>
      </c>
      <c r="AX13" s="205">
        <v>22</v>
      </c>
      <c r="AY13" s="203">
        <v>150</v>
      </c>
      <c r="AZ13" s="204">
        <v>22</v>
      </c>
      <c r="BA13" s="203">
        <v>50</v>
      </c>
      <c r="BB13" s="203">
        <f t="shared" si="17"/>
        <v>0</v>
      </c>
      <c r="BC13" s="203">
        <f t="shared" si="18"/>
        <v>1100</v>
      </c>
      <c r="BD13" s="205"/>
    </row>
    <row r="14" spans="1:57" s="207" customFormat="1" ht="26.25" customHeight="1" x14ac:dyDescent="0.25">
      <c r="A14" s="199" t="s">
        <v>193</v>
      </c>
      <c r="B14" s="200"/>
      <c r="C14" s="232" t="s">
        <v>346</v>
      </c>
      <c r="D14" s="193">
        <v>11</v>
      </c>
      <c r="E14" s="194">
        <v>27000</v>
      </c>
      <c r="F14" s="194">
        <f t="shared" ref="F14" si="19">IF(H14&gt;0,100,0)</f>
        <v>100</v>
      </c>
      <c r="G14" s="194">
        <f t="shared" ref="G14" si="20">+ROUND(H14*12%,2)</f>
        <v>3240</v>
      </c>
      <c r="H14" s="234">
        <f>ROUND(IF(AX14&gt;22,0,IF(AX14=22,E14,IF(AX14&lt;22,E14*(AX14/AZ14),IF(OR(AX14=0,AX14=" ")=TRUE,0)))),2)</f>
        <v>27000</v>
      </c>
      <c r="I14" s="234">
        <f>ROUND(IF(AND(H14&gt;0,AX14=22)=TRUE,2000,IF(AND(H14&gt;0,AX14&lt;22,AX14&gt;0)=TRUE,2000*(AX14/AZ14),IF(AX14&lt;0,0,0))),2)</f>
        <v>2000</v>
      </c>
      <c r="J14" s="234">
        <f>IF(H14&gt;0,BC14-BB14,0)</f>
        <v>1100</v>
      </c>
      <c r="K14" s="234">
        <f>IF(AND(H14&gt;0,AX14&gt;11)=TRUE,150,0)</f>
        <v>150</v>
      </c>
      <c r="L14" s="234">
        <f>ROUND(IF(AND($H14&gt;0,AX14&gt;11)=TRUE,$AW14*$E14,0),2)</f>
        <v>6750</v>
      </c>
      <c r="M14" s="234">
        <f>ROUND(SUM(H14:L14),2)</f>
        <v>37000</v>
      </c>
      <c r="N14" s="319"/>
      <c r="O14" s="195">
        <f t="shared" si="11"/>
        <v>540</v>
      </c>
      <c r="P14" s="233">
        <f>ROUND($H14*9%,2)</f>
        <v>2430</v>
      </c>
      <c r="Q14" s="233"/>
      <c r="R14" s="233"/>
      <c r="S14" s="233"/>
      <c r="T14" s="233"/>
      <c r="U14" s="233"/>
      <c r="V14" s="233"/>
      <c r="W14" s="233"/>
      <c r="X14" s="233"/>
      <c r="Y14" s="233"/>
      <c r="Z14" s="233">
        <f>ROUND(IF(H14&gt;0,100,0),2)</f>
        <v>100</v>
      </c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>
        <f>SUM(N14:AK14)</f>
        <v>3070</v>
      </c>
      <c r="AM14" s="235">
        <f>ROUND(M14-AL14,2)</f>
        <v>33930</v>
      </c>
      <c r="AN14" s="713"/>
      <c r="AO14" s="236"/>
      <c r="AP14" s="237"/>
      <c r="AQ14" s="238">
        <f>SUM(AO14:AP14)</f>
        <v>0</v>
      </c>
      <c r="AR14" s="239">
        <f>+AM14-AQ14</f>
        <v>33930</v>
      </c>
      <c r="AS14" s="239"/>
      <c r="AT14" s="239"/>
      <c r="AU14" s="239">
        <f>IF(E14=0,0,IF(E14&lt;=10000,137.5,IF(AND(E14&gt;10000,E14&lt;40000)=TRUE,E14*2.75%*50%,IF(E14&gt;=40000,550,0))))</f>
        <v>371.25</v>
      </c>
      <c r="AV14" s="205"/>
      <c r="AW14" s="205" t="str">
        <f>IF(AND($D14&gt;=1,$D14&lt;=19)=TRUE,"25%",IF($D14=20,"15%",IF($D14=21,"13%",IF($D14=22,"12%",IF($D14=23,"11%",IF(OR($D14=24,$D14=25)=TRUE,"10%",IF($D14=26,"9%",IF($D14=27,"8%",IF($D14=28,"7%",IF(OR($D14=29,$D14=30)=TRUE,"6%",IF($D14=31,"5%","0%")))))))))))</f>
        <v>25%</v>
      </c>
      <c r="AX14" s="205">
        <v>22</v>
      </c>
      <c r="AY14" s="239">
        <v>150</v>
      </c>
      <c r="AZ14" s="205">
        <v>22</v>
      </c>
      <c r="BA14" s="239">
        <v>50</v>
      </c>
      <c r="BB14" s="239">
        <f>IF(AX14&gt;0,(AZ14-AX14+BD14)*BA14,0)</f>
        <v>0</v>
      </c>
      <c r="BC14" s="239">
        <f>IF(AX14&gt;0,1100,0)</f>
        <v>1100</v>
      </c>
      <c r="BD14" s="205"/>
      <c r="BE14" s="206"/>
    </row>
    <row r="15" spans="1:57" s="207" customFormat="1" ht="26.25" customHeight="1" x14ac:dyDescent="0.25">
      <c r="A15" s="199" t="s">
        <v>194</v>
      </c>
      <c r="B15" s="200"/>
      <c r="C15" s="219" t="s">
        <v>282</v>
      </c>
      <c r="D15" s="193">
        <v>11</v>
      </c>
      <c r="E15" s="194">
        <v>27000</v>
      </c>
      <c r="F15" s="194">
        <f>IF(H15&gt;0,100,0)</f>
        <v>100</v>
      </c>
      <c r="G15" s="194">
        <f>+ROUND(H15*12%,2)</f>
        <v>3240</v>
      </c>
      <c r="H15" s="195">
        <f>ROUND(IF(AX15&gt;22,0,IF(AX15=22,E15,IF(AX15&lt;22,E15*(AX15/AZ15),IF(OR(AX15=0,AX15=" ")=TRUE,0)))),2)</f>
        <v>27000</v>
      </c>
      <c r="I15" s="195">
        <f t="shared" si="0"/>
        <v>2000</v>
      </c>
      <c r="J15" s="195">
        <f t="shared" si="1"/>
        <v>1100</v>
      </c>
      <c r="K15" s="195">
        <f t="shared" si="2"/>
        <v>150</v>
      </c>
      <c r="L15" s="195">
        <f t="shared" si="3"/>
        <v>6750</v>
      </c>
      <c r="M15" s="195">
        <f>ROUND(SUM(H15:L15),2)</f>
        <v>37000</v>
      </c>
      <c r="N15" s="320">
        <v>6793.67</v>
      </c>
      <c r="O15" s="195">
        <f t="shared" si="11"/>
        <v>540</v>
      </c>
      <c r="P15" s="196">
        <f>ROUND($H15*9%,2)</f>
        <v>2430</v>
      </c>
      <c r="Q15" s="196"/>
      <c r="R15" s="196"/>
      <c r="S15" s="196"/>
      <c r="T15" s="196"/>
      <c r="U15" s="196"/>
      <c r="V15" s="196"/>
      <c r="W15" s="196"/>
      <c r="X15" s="196"/>
      <c r="Y15" s="196"/>
      <c r="Z15" s="196">
        <f>ROUND(IF(H15&gt;0,100,0),2)</f>
        <v>100</v>
      </c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>
        <f>SUM(N15:AK15)</f>
        <v>9863.67</v>
      </c>
      <c r="AM15" s="197">
        <f>ROUND(M15-AL15,2)</f>
        <v>27136.33</v>
      </c>
      <c r="AN15" s="713"/>
      <c r="AO15" s="201"/>
      <c r="AP15" s="198"/>
      <c r="AQ15" s="202">
        <f t="shared" si="4"/>
        <v>0</v>
      </c>
      <c r="AR15" s="203">
        <f t="shared" si="5"/>
        <v>27136.33</v>
      </c>
      <c r="AS15" s="203"/>
      <c r="AT15" s="203"/>
      <c r="AU15" s="203">
        <f t="shared" si="6"/>
        <v>371.25</v>
      </c>
      <c r="AV15" s="204"/>
      <c r="AW15" s="204" t="str">
        <f>IF(AND($D15&gt;=1,$D15&lt;=19)=TRUE,"25%",IF($D15=20,"15%",IF($D15=21,"13%",IF($D15=22,"12%",IF($D15=23,"11%",IF(OR($D15=24,$D15=25)=TRUE,"10%",IF($D15=26,"9%",IF($D15=27,"8%",IF($D15=28,"7%",IF(OR($D15=29,$D15=30)=TRUE,"6%",IF($D15=31,"5%","0%")))))))))))</f>
        <v>25%</v>
      </c>
      <c r="AX15" s="205">
        <v>22</v>
      </c>
      <c r="AY15" s="203">
        <v>150</v>
      </c>
      <c r="AZ15" s="204">
        <v>22</v>
      </c>
      <c r="BA15" s="203">
        <v>50</v>
      </c>
      <c r="BB15" s="203">
        <f>IF(AX15&gt;0,(AZ15-AX15+BD15)*BA15,0)</f>
        <v>0</v>
      </c>
      <c r="BC15" s="203">
        <f>IF(AX15&gt;0,1100,0)</f>
        <v>1100</v>
      </c>
      <c r="BD15" s="205"/>
      <c r="BE15" s="206"/>
    </row>
    <row r="16" spans="1:57" s="207" customFormat="1" ht="26.25" customHeight="1" x14ac:dyDescent="0.25">
      <c r="A16" s="199" t="s">
        <v>195</v>
      </c>
      <c r="B16" s="200"/>
      <c r="C16" s="219" t="s">
        <v>283</v>
      </c>
      <c r="D16" s="193">
        <v>11</v>
      </c>
      <c r="E16" s="194">
        <v>27000</v>
      </c>
      <c r="F16" s="194">
        <f t="shared" ref="F16" si="21">IF(H16&gt;0,100,0)</f>
        <v>100</v>
      </c>
      <c r="G16" s="194">
        <f t="shared" ref="G16" si="22">+ROUND(H16*12%,2)</f>
        <v>3240</v>
      </c>
      <c r="H16" s="195">
        <f t="shared" ref="H16" si="23">ROUND(IF(AX16&gt;22,0,IF(AX16=22,E16,IF(AX16&lt;22,E16*(AX16/AZ16),IF(OR(AX16=0,AX16=" ")=TRUE,0)))),2)</f>
        <v>27000</v>
      </c>
      <c r="I16" s="195">
        <f t="shared" si="0"/>
        <v>2000</v>
      </c>
      <c r="J16" s="195">
        <f t="shared" si="1"/>
        <v>1100</v>
      </c>
      <c r="K16" s="195">
        <f t="shared" si="2"/>
        <v>150</v>
      </c>
      <c r="L16" s="195">
        <f t="shared" si="3"/>
        <v>6750</v>
      </c>
      <c r="M16" s="195">
        <f t="shared" ref="M16" si="24">ROUND(SUM(H16:L16),2)</f>
        <v>37000</v>
      </c>
      <c r="N16" s="320">
        <v>6793.67</v>
      </c>
      <c r="O16" s="195">
        <f t="shared" si="11"/>
        <v>540</v>
      </c>
      <c r="P16" s="196">
        <f t="shared" si="12"/>
        <v>2430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>
        <f t="shared" ref="Z16" si="25">ROUND(IF(H16&gt;0,100,0),2)</f>
        <v>100</v>
      </c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>
        <f t="shared" ref="AL16" si="26">SUM(N16:AK16)</f>
        <v>9863.67</v>
      </c>
      <c r="AM16" s="197">
        <f t="shared" ref="AM16" si="27">ROUND(M16-AL16,2)</f>
        <v>27136.33</v>
      </c>
      <c r="AN16" s="713"/>
      <c r="AO16" s="201"/>
      <c r="AP16" s="198"/>
      <c r="AQ16" s="202">
        <f t="shared" si="4"/>
        <v>0</v>
      </c>
      <c r="AR16" s="203">
        <f t="shared" si="5"/>
        <v>27136.33</v>
      </c>
      <c r="AS16" s="203"/>
      <c r="AT16" s="203"/>
      <c r="AU16" s="203">
        <f t="shared" si="6"/>
        <v>371.25</v>
      </c>
      <c r="AV16" s="204"/>
      <c r="AW16" s="204" t="str">
        <f t="shared" si="16"/>
        <v>25%</v>
      </c>
      <c r="AX16" s="205">
        <v>22</v>
      </c>
      <c r="AY16" s="203">
        <v>150</v>
      </c>
      <c r="AZ16" s="204">
        <v>22</v>
      </c>
      <c r="BA16" s="203">
        <v>50</v>
      </c>
      <c r="BB16" s="203">
        <f t="shared" ref="BB16" si="28">IF(AX16&gt;0,(AZ16-AX16+BD16)*BA16,0)</f>
        <v>0</v>
      </c>
      <c r="BC16" s="203">
        <f t="shared" ref="BC16" si="29">IF(AX16&gt;0,1100,0)</f>
        <v>1100</v>
      </c>
      <c r="BD16" s="205"/>
    </row>
    <row r="17" spans="1:57" s="207" customFormat="1" ht="26.25" customHeight="1" x14ac:dyDescent="0.25">
      <c r="A17" s="199" t="s">
        <v>196</v>
      </c>
      <c r="B17" s="200"/>
      <c r="C17" s="240" t="s">
        <v>284</v>
      </c>
      <c r="D17" s="193">
        <v>11</v>
      </c>
      <c r="E17" s="194">
        <v>27000</v>
      </c>
      <c r="F17" s="233">
        <f t="shared" ref="F17:F28" si="30">IF(H17&gt;0,100,0)</f>
        <v>100</v>
      </c>
      <c r="G17" s="233">
        <f t="shared" ref="G17:G28" si="31">+ROUND(H17*12%,2)</f>
        <v>3240</v>
      </c>
      <c r="H17" s="234">
        <f t="shared" ref="H17:H28" si="32">ROUND(IF(AX17&gt;22,0,IF(AX17=22,E17,IF(AX17&lt;22,E17*(AX17/AZ17),IF(OR(AX17=0,AX17=" ")=TRUE,0)))),2)</f>
        <v>27000</v>
      </c>
      <c r="I17" s="234">
        <f t="shared" si="0"/>
        <v>2000</v>
      </c>
      <c r="J17" s="234">
        <f t="shared" si="1"/>
        <v>850</v>
      </c>
      <c r="K17" s="234">
        <f t="shared" si="2"/>
        <v>150</v>
      </c>
      <c r="L17" s="234">
        <f t="shared" si="3"/>
        <v>6750</v>
      </c>
      <c r="M17" s="234">
        <f t="shared" ref="M17:M28" si="33">ROUND(SUM(H17:L17),2)</f>
        <v>36750</v>
      </c>
      <c r="N17" s="319">
        <v>6793.67</v>
      </c>
      <c r="O17" s="195">
        <f t="shared" si="11"/>
        <v>540</v>
      </c>
      <c r="P17" s="233">
        <f t="shared" si="12"/>
        <v>2430</v>
      </c>
      <c r="Q17" s="233"/>
      <c r="R17" s="233"/>
      <c r="S17" s="233"/>
      <c r="T17" s="233"/>
      <c r="U17" s="233"/>
      <c r="V17" s="233"/>
      <c r="W17" s="233"/>
      <c r="X17" s="233"/>
      <c r="Y17" s="233"/>
      <c r="Z17" s="233">
        <f t="shared" ref="Z17:Z28" si="34">ROUND(IF(H17&gt;0,100,0),2)</f>
        <v>100</v>
      </c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>
        <f t="shared" ref="AL17:AL28" si="35">SUM(N17:AK17)</f>
        <v>9863.67</v>
      </c>
      <c r="AM17" s="235">
        <f t="shared" ref="AM17:AM28" si="36">ROUND(M17-AL17,2)</f>
        <v>26886.33</v>
      </c>
      <c r="AN17" s="713" t="s">
        <v>360</v>
      </c>
      <c r="AO17" s="236"/>
      <c r="AP17" s="237"/>
      <c r="AQ17" s="238">
        <f t="shared" si="4"/>
        <v>0</v>
      </c>
      <c r="AR17" s="239">
        <f t="shared" si="5"/>
        <v>26886.33</v>
      </c>
      <c r="AS17" s="239"/>
      <c r="AT17" s="239"/>
      <c r="AU17" s="239">
        <f t="shared" si="6"/>
        <v>371.25</v>
      </c>
      <c r="AV17" s="205"/>
      <c r="AW17" s="205" t="str">
        <f t="shared" si="16"/>
        <v>25%</v>
      </c>
      <c r="AX17" s="205">
        <v>22</v>
      </c>
      <c r="AY17" s="239">
        <v>150</v>
      </c>
      <c r="AZ17" s="205">
        <v>22</v>
      </c>
      <c r="BA17" s="239">
        <v>50</v>
      </c>
      <c r="BB17" s="239">
        <f t="shared" ref="BB17:BB28" si="37">IF(AX17&gt;0,(AZ17-AX17+BD17)*BA17,0)</f>
        <v>250</v>
      </c>
      <c r="BC17" s="239">
        <f t="shared" ref="BC17:BC28" si="38">IF(AX17&gt;0,1100,0)</f>
        <v>1100</v>
      </c>
      <c r="BD17" s="205">
        <v>5</v>
      </c>
    </row>
    <row r="18" spans="1:57" s="207" customFormat="1" ht="26.25" customHeight="1" x14ac:dyDescent="0.25">
      <c r="A18" s="199" t="s">
        <v>197</v>
      </c>
      <c r="B18" s="200"/>
      <c r="C18" s="207" t="s">
        <v>285</v>
      </c>
      <c r="D18" s="193">
        <v>11</v>
      </c>
      <c r="E18" s="194">
        <v>27000</v>
      </c>
      <c r="F18" s="194">
        <f t="shared" si="30"/>
        <v>100</v>
      </c>
      <c r="G18" s="194">
        <f t="shared" si="31"/>
        <v>3240</v>
      </c>
      <c r="H18" s="195">
        <f t="shared" si="32"/>
        <v>27000</v>
      </c>
      <c r="I18" s="195">
        <f t="shared" si="0"/>
        <v>2000</v>
      </c>
      <c r="J18" s="195">
        <f t="shared" si="1"/>
        <v>1100</v>
      </c>
      <c r="K18" s="195">
        <f t="shared" si="2"/>
        <v>150</v>
      </c>
      <c r="L18" s="195">
        <f t="shared" si="3"/>
        <v>6750</v>
      </c>
      <c r="M18" s="195">
        <f t="shared" si="33"/>
        <v>37000</v>
      </c>
      <c r="N18" s="320">
        <v>4093.67</v>
      </c>
      <c r="O18" s="195">
        <f t="shared" si="11"/>
        <v>540</v>
      </c>
      <c r="P18" s="196">
        <f t="shared" si="12"/>
        <v>2430</v>
      </c>
      <c r="Q18" s="196"/>
      <c r="R18" s="196"/>
      <c r="S18" s="196"/>
      <c r="T18" s="196"/>
      <c r="U18" s="196"/>
      <c r="V18" s="196"/>
      <c r="W18" s="196"/>
      <c r="X18" s="196"/>
      <c r="Y18" s="196"/>
      <c r="Z18" s="196">
        <f t="shared" si="34"/>
        <v>100</v>
      </c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>
        <f t="shared" si="35"/>
        <v>7163.67</v>
      </c>
      <c r="AM18" s="197">
        <f t="shared" si="36"/>
        <v>29836.33</v>
      </c>
      <c r="AN18" s="713"/>
      <c r="AO18" s="201"/>
      <c r="AP18" s="198"/>
      <c r="AQ18" s="202">
        <f t="shared" si="4"/>
        <v>0</v>
      </c>
      <c r="AR18" s="203">
        <f t="shared" si="5"/>
        <v>29836.33</v>
      </c>
      <c r="AS18" s="203"/>
      <c r="AT18" s="203"/>
      <c r="AU18" s="203">
        <f t="shared" si="6"/>
        <v>371.25</v>
      </c>
      <c r="AV18" s="204"/>
      <c r="AW18" s="204" t="str">
        <f t="shared" si="16"/>
        <v>25%</v>
      </c>
      <c r="AX18" s="205">
        <v>22</v>
      </c>
      <c r="AY18" s="203">
        <v>150</v>
      </c>
      <c r="AZ18" s="204">
        <v>22</v>
      </c>
      <c r="BA18" s="203">
        <v>50</v>
      </c>
      <c r="BB18" s="203">
        <f t="shared" si="37"/>
        <v>0</v>
      </c>
      <c r="BC18" s="203">
        <f t="shared" si="38"/>
        <v>1100</v>
      </c>
      <c r="BD18" s="205"/>
    </row>
    <row r="19" spans="1:57" s="207" customFormat="1" ht="26.25" customHeight="1" x14ac:dyDescent="0.25">
      <c r="A19" s="199" t="s">
        <v>198</v>
      </c>
      <c r="B19" s="200"/>
      <c r="C19" s="219" t="s">
        <v>286</v>
      </c>
      <c r="D19" s="193">
        <v>11</v>
      </c>
      <c r="E19" s="194">
        <v>27000</v>
      </c>
      <c r="F19" s="194">
        <f t="shared" si="30"/>
        <v>100</v>
      </c>
      <c r="G19" s="194">
        <f t="shared" si="31"/>
        <v>3240</v>
      </c>
      <c r="H19" s="195">
        <f t="shared" si="32"/>
        <v>27000</v>
      </c>
      <c r="I19" s="195">
        <f t="shared" si="0"/>
        <v>2000</v>
      </c>
      <c r="J19" s="195">
        <f t="shared" si="1"/>
        <v>1100</v>
      </c>
      <c r="K19" s="195">
        <f t="shared" si="2"/>
        <v>150</v>
      </c>
      <c r="L19" s="195">
        <f t="shared" si="3"/>
        <v>6750</v>
      </c>
      <c r="M19" s="195">
        <f t="shared" si="33"/>
        <v>37000</v>
      </c>
      <c r="N19" s="320">
        <v>6793.67</v>
      </c>
      <c r="O19" s="195">
        <f t="shared" si="11"/>
        <v>540</v>
      </c>
      <c r="P19" s="196">
        <f t="shared" si="12"/>
        <v>2430</v>
      </c>
      <c r="Q19" s="196"/>
      <c r="R19" s="196"/>
      <c r="S19" s="196"/>
      <c r="T19" s="196"/>
      <c r="U19" s="196"/>
      <c r="V19" s="196"/>
      <c r="W19" s="196"/>
      <c r="X19" s="196"/>
      <c r="Y19" s="196"/>
      <c r="Z19" s="196">
        <f t="shared" si="34"/>
        <v>100</v>
      </c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>
        <f t="shared" si="35"/>
        <v>9863.67</v>
      </c>
      <c r="AM19" s="197">
        <f t="shared" si="36"/>
        <v>27136.33</v>
      </c>
      <c r="AN19" s="713"/>
      <c r="AO19" s="201"/>
      <c r="AP19" s="198"/>
      <c r="AQ19" s="202">
        <f t="shared" si="4"/>
        <v>0</v>
      </c>
      <c r="AR19" s="203">
        <f t="shared" si="5"/>
        <v>27136.33</v>
      </c>
      <c r="AS19" s="203"/>
      <c r="AT19" s="203"/>
      <c r="AU19" s="203">
        <f t="shared" si="6"/>
        <v>371.25</v>
      </c>
      <c r="AV19" s="204"/>
      <c r="AW19" s="204" t="str">
        <f t="shared" si="16"/>
        <v>25%</v>
      </c>
      <c r="AX19" s="205">
        <v>22</v>
      </c>
      <c r="AY19" s="203">
        <v>150</v>
      </c>
      <c r="AZ19" s="204">
        <v>22</v>
      </c>
      <c r="BA19" s="203">
        <v>50</v>
      </c>
      <c r="BB19" s="203">
        <f t="shared" si="37"/>
        <v>0</v>
      </c>
      <c r="BC19" s="203">
        <f t="shared" si="38"/>
        <v>1100</v>
      </c>
      <c r="BD19" s="205"/>
    </row>
    <row r="20" spans="1:57" s="207" customFormat="1" ht="26.25" customHeight="1" x14ac:dyDescent="0.25">
      <c r="A20" s="199" t="s">
        <v>199</v>
      </c>
      <c r="B20" s="200"/>
      <c r="C20" s="219" t="s">
        <v>287</v>
      </c>
      <c r="D20" s="193">
        <v>11</v>
      </c>
      <c r="E20" s="194">
        <v>27000</v>
      </c>
      <c r="F20" s="194">
        <f t="shared" si="30"/>
        <v>100</v>
      </c>
      <c r="G20" s="194">
        <f t="shared" si="31"/>
        <v>3240</v>
      </c>
      <c r="H20" s="195">
        <f t="shared" si="32"/>
        <v>27000</v>
      </c>
      <c r="I20" s="195">
        <f t="shared" si="0"/>
        <v>2000</v>
      </c>
      <c r="J20" s="195">
        <f t="shared" si="1"/>
        <v>1100</v>
      </c>
      <c r="K20" s="195">
        <f t="shared" si="2"/>
        <v>150</v>
      </c>
      <c r="L20" s="195">
        <f t="shared" si="3"/>
        <v>6750</v>
      </c>
      <c r="M20" s="195">
        <f t="shared" si="33"/>
        <v>37000</v>
      </c>
      <c r="N20" s="320">
        <v>6793.67</v>
      </c>
      <c r="O20" s="195">
        <f t="shared" si="11"/>
        <v>540</v>
      </c>
      <c r="P20" s="196">
        <f t="shared" si="12"/>
        <v>2430</v>
      </c>
      <c r="Q20" s="196"/>
      <c r="R20" s="196"/>
      <c r="S20" s="196"/>
      <c r="T20" s="196"/>
      <c r="U20" s="196"/>
      <c r="V20" s="196"/>
      <c r="W20" s="196"/>
      <c r="X20" s="196"/>
      <c r="Y20" s="196"/>
      <c r="Z20" s="196">
        <f t="shared" si="34"/>
        <v>100</v>
      </c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>
        <f t="shared" si="35"/>
        <v>9863.67</v>
      </c>
      <c r="AM20" s="197">
        <f t="shared" si="36"/>
        <v>27136.33</v>
      </c>
      <c r="AN20" s="713"/>
      <c r="AO20" s="201"/>
      <c r="AP20" s="198"/>
      <c r="AQ20" s="202">
        <f t="shared" si="4"/>
        <v>0</v>
      </c>
      <c r="AR20" s="203">
        <f t="shared" si="5"/>
        <v>27136.33</v>
      </c>
      <c r="AS20" s="203"/>
      <c r="AT20" s="203"/>
      <c r="AU20" s="203">
        <f t="shared" si="6"/>
        <v>371.25</v>
      </c>
      <c r="AV20" s="204"/>
      <c r="AW20" s="204" t="str">
        <f t="shared" si="16"/>
        <v>25%</v>
      </c>
      <c r="AX20" s="205">
        <v>22</v>
      </c>
      <c r="AY20" s="203">
        <v>150</v>
      </c>
      <c r="AZ20" s="204">
        <v>22</v>
      </c>
      <c r="BA20" s="203">
        <v>50</v>
      </c>
      <c r="BB20" s="203">
        <f t="shared" si="37"/>
        <v>0</v>
      </c>
      <c r="BC20" s="203">
        <f t="shared" si="38"/>
        <v>1100</v>
      </c>
      <c r="BD20" s="205"/>
    </row>
    <row r="21" spans="1:57" s="207" customFormat="1" ht="26.25" customHeight="1" x14ac:dyDescent="0.25">
      <c r="A21" s="199" t="s">
        <v>200</v>
      </c>
      <c r="B21" s="200"/>
      <c r="C21" s="219" t="s">
        <v>288</v>
      </c>
      <c r="D21" s="193">
        <v>11</v>
      </c>
      <c r="E21" s="194">
        <v>27000</v>
      </c>
      <c r="F21" s="194">
        <f t="shared" si="30"/>
        <v>100</v>
      </c>
      <c r="G21" s="194">
        <f t="shared" si="31"/>
        <v>3240</v>
      </c>
      <c r="H21" s="195">
        <f t="shared" si="32"/>
        <v>27000</v>
      </c>
      <c r="I21" s="195">
        <f t="shared" si="0"/>
        <v>2000</v>
      </c>
      <c r="J21" s="195">
        <f t="shared" si="1"/>
        <v>1100</v>
      </c>
      <c r="K21" s="195">
        <f t="shared" si="2"/>
        <v>150</v>
      </c>
      <c r="L21" s="195">
        <f t="shared" si="3"/>
        <v>6750</v>
      </c>
      <c r="M21" s="195">
        <f t="shared" si="33"/>
        <v>37000</v>
      </c>
      <c r="N21" s="320">
        <v>6793.67</v>
      </c>
      <c r="O21" s="195">
        <f t="shared" si="11"/>
        <v>540</v>
      </c>
      <c r="P21" s="196">
        <f t="shared" si="12"/>
        <v>2430</v>
      </c>
      <c r="Q21" s="196"/>
      <c r="R21" s="196"/>
      <c r="S21" s="196"/>
      <c r="T21" s="196"/>
      <c r="U21" s="196"/>
      <c r="V21" s="196"/>
      <c r="W21" s="196"/>
      <c r="X21" s="196"/>
      <c r="Y21" s="196"/>
      <c r="Z21" s="196">
        <f t="shared" si="34"/>
        <v>100</v>
      </c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>
        <f t="shared" si="35"/>
        <v>9863.67</v>
      </c>
      <c r="AM21" s="197">
        <f t="shared" si="36"/>
        <v>27136.33</v>
      </c>
      <c r="AN21" s="713"/>
      <c r="AO21" s="201"/>
      <c r="AP21" s="198"/>
      <c r="AQ21" s="202">
        <f t="shared" si="4"/>
        <v>0</v>
      </c>
      <c r="AR21" s="203">
        <f t="shared" si="5"/>
        <v>27136.33</v>
      </c>
      <c r="AS21" s="203"/>
      <c r="AT21" s="203"/>
      <c r="AU21" s="203">
        <f t="shared" si="6"/>
        <v>371.25</v>
      </c>
      <c r="AV21" s="204"/>
      <c r="AW21" s="204" t="str">
        <f t="shared" si="16"/>
        <v>25%</v>
      </c>
      <c r="AX21" s="205">
        <v>22</v>
      </c>
      <c r="AY21" s="203">
        <v>150</v>
      </c>
      <c r="AZ21" s="204">
        <v>22</v>
      </c>
      <c r="BA21" s="203">
        <v>50</v>
      </c>
      <c r="BB21" s="203">
        <f t="shared" si="37"/>
        <v>0</v>
      </c>
      <c r="BC21" s="203">
        <f t="shared" si="38"/>
        <v>1100</v>
      </c>
      <c r="BD21" s="205"/>
    </row>
    <row r="22" spans="1:57" s="207" customFormat="1" ht="26.25" customHeight="1" x14ac:dyDescent="0.25">
      <c r="A22" s="199" t="s">
        <v>201</v>
      </c>
      <c r="B22" s="200"/>
      <c r="C22" s="219" t="s">
        <v>289</v>
      </c>
      <c r="D22" s="193">
        <v>11</v>
      </c>
      <c r="E22" s="194">
        <v>27000</v>
      </c>
      <c r="F22" s="194">
        <f>IF(H22&gt;0,100,0)</f>
        <v>100</v>
      </c>
      <c r="G22" s="194">
        <f>+ROUND(H22*12%,2)</f>
        <v>3240</v>
      </c>
      <c r="H22" s="195">
        <f>ROUND(IF(AX22&gt;22,0,IF(AX22=22,E22,IF(AX22&lt;22,E22*(AX22/AZ22),IF(OR(AX22=0,AX22=" ")=TRUE,0)))),2)</f>
        <v>27000</v>
      </c>
      <c r="I22" s="195">
        <f t="shared" si="0"/>
        <v>2000</v>
      </c>
      <c r="J22" s="195">
        <f t="shared" si="1"/>
        <v>800</v>
      </c>
      <c r="K22" s="195">
        <f t="shared" si="2"/>
        <v>150</v>
      </c>
      <c r="L22" s="195">
        <f t="shared" si="3"/>
        <v>6750</v>
      </c>
      <c r="M22" s="195">
        <f>ROUND(SUM(H22:L22),2)</f>
        <v>36700</v>
      </c>
      <c r="N22" s="320">
        <v>6793.67</v>
      </c>
      <c r="O22" s="195">
        <f t="shared" si="11"/>
        <v>540</v>
      </c>
      <c r="P22" s="196">
        <f>ROUND($H22*9%,2)</f>
        <v>2430</v>
      </c>
      <c r="Q22" s="196"/>
      <c r="R22" s="196"/>
      <c r="S22" s="196"/>
      <c r="T22" s="196"/>
      <c r="U22" s="196"/>
      <c r="V22" s="196"/>
      <c r="W22" s="196"/>
      <c r="X22" s="196"/>
      <c r="Y22" s="196"/>
      <c r="Z22" s="196">
        <f>ROUND(IF(H22&gt;0,100,0),2)</f>
        <v>100</v>
      </c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>
        <f>SUM(N22:AK22)</f>
        <v>9863.67</v>
      </c>
      <c r="AM22" s="197">
        <f>ROUND(M22-AL22,2)</f>
        <v>26836.33</v>
      </c>
      <c r="AN22" s="713" t="s">
        <v>361</v>
      </c>
      <c r="AO22" s="201"/>
      <c r="AP22" s="198"/>
      <c r="AQ22" s="202">
        <f t="shared" si="4"/>
        <v>0</v>
      </c>
      <c r="AR22" s="203">
        <f t="shared" si="5"/>
        <v>26836.33</v>
      </c>
      <c r="AS22" s="203"/>
      <c r="AT22" s="203"/>
      <c r="AU22" s="203">
        <f t="shared" si="6"/>
        <v>371.25</v>
      </c>
      <c r="AV22" s="204"/>
      <c r="AW22" s="204" t="str">
        <f>IF(AND($D22&gt;=1,$D22&lt;=19)=TRUE,"25%",IF($D22=20,"15%",IF($D22=21,"13%",IF($D22=22,"12%",IF($D22=23,"11%",IF(OR($D22=24,$D22=25)=TRUE,"10%",IF($D22=26,"9%",IF($D22=27,"8%",IF($D22=28,"7%",IF(OR($D22=29,$D22=30)=TRUE,"6%",IF($D22=31,"5%","0%")))))))))))</f>
        <v>25%</v>
      </c>
      <c r="AX22" s="205">
        <v>22</v>
      </c>
      <c r="AY22" s="203">
        <v>150</v>
      </c>
      <c r="AZ22" s="204">
        <v>22</v>
      </c>
      <c r="BA22" s="203">
        <v>50</v>
      </c>
      <c r="BB22" s="203">
        <f>IF(AX22&gt;0,(AZ22-AX22+BD22)*BA22,0)</f>
        <v>300</v>
      </c>
      <c r="BC22" s="203">
        <f>IF(AX22&gt;0,1100,0)</f>
        <v>1100</v>
      </c>
      <c r="BD22" s="205">
        <v>6</v>
      </c>
      <c r="BE22" s="206"/>
    </row>
    <row r="23" spans="1:57" s="207" customFormat="1" ht="26.25" customHeight="1" x14ac:dyDescent="0.25">
      <c r="A23" s="199" t="s">
        <v>202</v>
      </c>
      <c r="B23" s="200"/>
      <c r="C23" s="222" t="s">
        <v>290</v>
      </c>
      <c r="D23" s="193">
        <v>11</v>
      </c>
      <c r="E23" s="194">
        <v>27000</v>
      </c>
      <c r="F23" s="194">
        <f>IF(H23&gt;0,100,0)</f>
        <v>100</v>
      </c>
      <c r="G23" s="194">
        <f>+ROUND(H23*12%,2)</f>
        <v>3240</v>
      </c>
      <c r="H23" s="195">
        <f>ROUND(IF(AX23&gt;22,0,IF(AX23=22,E23,IF(AX23&lt;22,E23*(AX23/AZ23),IF(OR(AX23=0,AX23=" ")=TRUE,0)))),2)</f>
        <v>27000</v>
      </c>
      <c r="I23" s="195">
        <f t="shared" si="0"/>
        <v>2000</v>
      </c>
      <c r="J23" s="195">
        <f t="shared" si="1"/>
        <v>1100</v>
      </c>
      <c r="K23" s="195">
        <f t="shared" si="2"/>
        <v>150</v>
      </c>
      <c r="L23" s="195">
        <f t="shared" si="3"/>
        <v>6750</v>
      </c>
      <c r="M23" s="195">
        <f>ROUND(SUM(H23:L23),2)</f>
        <v>37000</v>
      </c>
      <c r="N23" s="320">
        <v>6793.67</v>
      </c>
      <c r="O23" s="195">
        <f t="shared" si="11"/>
        <v>540</v>
      </c>
      <c r="P23" s="196">
        <f>ROUND($H23*9%,2)</f>
        <v>2430</v>
      </c>
      <c r="Q23" s="196"/>
      <c r="R23" s="196"/>
      <c r="S23" s="196"/>
      <c r="T23" s="196"/>
      <c r="U23" s="196"/>
      <c r="V23" s="196"/>
      <c r="W23" s="196"/>
      <c r="X23" s="196"/>
      <c r="Y23" s="196"/>
      <c r="Z23" s="196">
        <f>ROUND(IF(H23&gt;0,100,0),2)</f>
        <v>100</v>
      </c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>
        <f>SUM(N23:AK23)</f>
        <v>9863.67</v>
      </c>
      <c r="AM23" s="197">
        <f>ROUND(M23-AL23,2)</f>
        <v>27136.33</v>
      </c>
      <c r="AN23" s="713"/>
      <c r="AO23" s="201"/>
      <c r="AP23" s="198"/>
      <c r="AQ23" s="202">
        <f t="shared" si="4"/>
        <v>0</v>
      </c>
      <c r="AR23" s="203">
        <f t="shared" si="5"/>
        <v>27136.33</v>
      </c>
      <c r="AS23" s="203"/>
      <c r="AT23" s="203"/>
      <c r="AU23" s="203">
        <f t="shared" si="6"/>
        <v>371.25</v>
      </c>
      <c r="AV23" s="204"/>
      <c r="AW23" s="204" t="str">
        <f>IF(AND($D23&gt;=1,$D23&lt;=19)=TRUE,"25%",IF($D23=20,"15%",IF($D23=21,"13%",IF($D23=22,"12%",IF($D23=23,"11%",IF(OR($D23=24,$D23=25)=TRUE,"10%",IF($D23=26,"9%",IF($D23=27,"8%",IF($D23=28,"7%",IF(OR($D23=29,$D23=30)=TRUE,"6%",IF($D23=31,"5%","0%")))))))))))</f>
        <v>25%</v>
      </c>
      <c r="AX23" s="205">
        <v>22</v>
      </c>
      <c r="AY23" s="203">
        <v>150</v>
      </c>
      <c r="AZ23" s="204">
        <v>22</v>
      </c>
      <c r="BA23" s="203">
        <v>50</v>
      </c>
      <c r="BB23" s="203">
        <f>IF(AX23&gt;0,(AZ23-AX23+BD23)*BA23,0)</f>
        <v>0</v>
      </c>
      <c r="BC23" s="203">
        <f>IF(AX23&gt;0,1100,0)</f>
        <v>1100</v>
      </c>
      <c r="BD23" s="205"/>
      <c r="BE23" s="206"/>
    </row>
    <row r="24" spans="1:57" s="207" customFormat="1" ht="26.25" customHeight="1" x14ac:dyDescent="0.25">
      <c r="A24" s="199" t="s">
        <v>203</v>
      </c>
      <c r="B24" s="200"/>
      <c r="C24" s="219" t="s">
        <v>291</v>
      </c>
      <c r="D24" s="193">
        <v>11</v>
      </c>
      <c r="E24" s="194">
        <v>27000</v>
      </c>
      <c r="F24" s="194">
        <f t="shared" ref="F24:F25" si="39">IF(H24&gt;0,100,0)</f>
        <v>100</v>
      </c>
      <c r="G24" s="194">
        <f t="shared" ref="G24:G25" si="40">+ROUND(H24*12%,2)</f>
        <v>3240</v>
      </c>
      <c r="H24" s="195">
        <f t="shared" ref="H24:H25" si="41">ROUND(IF(AX24&gt;22,0,IF(AX24=22,E24,IF(AX24&lt;22,E24*(AX24/AZ24),IF(OR(AX24=0,AX24=" ")=TRUE,0)))),2)</f>
        <v>27000</v>
      </c>
      <c r="I24" s="195">
        <f t="shared" si="0"/>
        <v>2000</v>
      </c>
      <c r="J24" s="195">
        <f t="shared" si="1"/>
        <v>1100</v>
      </c>
      <c r="K24" s="195">
        <f t="shared" si="2"/>
        <v>150</v>
      </c>
      <c r="L24" s="195">
        <f t="shared" si="3"/>
        <v>6750</v>
      </c>
      <c r="M24" s="195">
        <f t="shared" ref="M24:M25" si="42">ROUND(SUM(H24:L24),2)</f>
        <v>37000</v>
      </c>
      <c r="N24" s="320">
        <v>6743.67</v>
      </c>
      <c r="O24" s="195">
        <f t="shared" si="11"/>
        <v>540</v>
      </c>
      <c r="P24" s="196">
        <f t="shared" si="12"/>
        <v>2430</v>
      </c>
      <c r="Q24" s="196"/>
      <c r="R24" s="196"/>
      <c r="S24" s="196"/>
      <c r="T24" s="196"/>
      <c r="U24" s="196"/>
      <c r="V24" s="196"/>
      <c r="W24" s="196"/>
      <c r="X24" s="196"/>
      <c r="Y24" s="196"/>
      <c r="Z24" s="196">
        <f t="shared" ref="Z24:Z25" si="43">ROUND(IF(H24&gt;0,100,0),2)</f>
        <v>100</v>
      </c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>
        <f t="shared" ref="AL24:AL25" si="44">SUM(N24:AK24)</f>
        <v>9813.67</v>
      </c>
      <c r="AM24" s="197">
        <f t="shared" ref="AM24:AM25" si="45">ROUND(M24-AL24,2)</f>
        <v>27186.33</v>
      </c>
      <c r="AN24" s="713"/>
      <c r="AO24" s="201"/>
      <c r="AP24" s="198"/>
      <c r="AQ24" s="202">
        <f t="shared" si="4"/>
        <v>0</v>
      </c>
      <c r="AR24" s="203">
        <f t="shared" si="5"/>
        <v>27186.33</v>
      </c>
      <c r="AS24" s="203"/>
      <c r="AT24" s="203"/>
      <c r="AU24" s="203">
        <f t="shared" si="6"/>
        <v>371.25</v>
      </c>
      <c r="AV24" s="204"/>
      <c r="AW24" s="204" t="str">
        <f t="shared" si="16"/>
        <v>25%</v>
      </c>
      <c r="AX24" s="205">
        <v>22</v>
      </c>
      <c r="AY24" s="203">
        <v>150</v>
      </c>
      <c r="AZ24" s="204">
        <v>22</v>
      </c>
      <c r="BA24" s="203">
        <v>50</v>
      </c>
      <c r="BB24" s="203">
        <f t="shared" ref="BB24:BB25" si="46">IF(AX24&gt;0,(AZ24-AX24+BD24)*BA24,0)</f>
        <v>0</v>
      </c>
      <c r="BC24" s="203">
        <f t="shared" ref="BC24:BC25" si="47">IF(AX24&gt;0,1100,0)</f>
        <v>1100</v>
      </c>
      <c r="BD24" s="205"/>
    </row>
    <row r="25" spans="1:57" s="207" customFormat="1" ht="26.25" customHeight="1" x14ac:dyDescent="0.25">
      <c r="A25" s="199" t="s">
        <v>204</v>
      </c>
      <c r="B25" s="200"/>
      <c r="C25" s="219" t="s">
        <v>292</v>
      </c>
      <c r="D25" s="193">
        <v>11</v>
      </c>
      <c r="E25" s="194">
        <v>27000</v>
      </c>
      <c r="F25" s="194">
        <f t="shared" si="39"/>
        <v>100</v>
      </c>
      <c r="G25" s="194">
        <f t="shared" si="40"/>
        <v>3240</v>
      </c>
      <c r="H25" s="195">
        <f t="shared" si="41"/>
        <v>27000</v>
      </c>
      <c r="I25" s="195">
        <f t="shared" si="0"/>
        <v>2000</v>
      </c>
      <c r="J25" s="195">
        <f t="shared" si="1"/>
        <v>1100</v>
      </c>
      <c r="K25" s="195">
        <f t="shared" si="2"/>
        <v>150</v>
      </c>
      <c r="L25" s="195">
        <f t="shared" si="3"/>
        <v>6750</v>
      </c>
      <c r="M25" s="195">
        <f t="shared" si="42"/>
        <v>37000</v>
      </c>
      <c r="N25" s="320">
        <v>6793.67</v>
      </c>
      <c r="O25" s="195">
        <f t="shared" si="11"/>
        <v>540</v>
      </c>
      <c r="P25" s="196">
        <f t="shared" si="12"/>
        <v>2430</v>
      </c>
      <c r="Q25" s="196"/>
      <c r="R25" s="196"/>
      <c r="S25" s="196"/>
      <c r="T25" s="196"/>
      <c r="U25" s="196"/>
      <c r="V25" s="196"/>
      <c r="W25" s="196"/>
      <c r="X25" s="196"/>
      <c r="Y25" s="196"/>
      <c r="Z25" s="196">
        <f t="shared" si="43"/>
        <v>100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>
        <f t="shared" si="44"/>
        <v>9863.67</v>
      </c>
      <c r="AM25" s="197">
        <f t="shared" si="45"/>
        <v>27136.33</v>
      </c>
      <c r="AN25" s="713"/>
      <c r="AO25" s="201"/>
      <c r="AP25" s="198"/>
      <c r="AQ25" s="202">
        <f t="shared" si="4"/>
        <v>0</v>
      </c>
      <c r="AR25" s="203">
        <f t="shared" si="5"/>
        <v>27136.33</v>
      </c>
      <c r="AS25" s="203"/>
      <c r="AT25" s="203"/>
      <c r="AU25" s="203">
        <f t="shared" si="6"/>
        <v>371.25</v>
      </c>
      <c r="AV25" s="204"/>
      <c r="AW25" s="204" t="str">
        <f t="shared" si="16"/>
        <v>25%</v>
      </c>
      <c r="AX25" s="205">
        <v>22</v>
      </c>
      <c r="AY25" s="203">
        <v>150</v>
      </c>
      <c r="AZ25" s="204">
        <v>22</v>
      </c>
      <c r="BA25" s="203">
        <v>50</v>
      </c>
      <c r="BB25" s="203">
        <f t="shared" si="46"/>
        <v>0</v>
      </c>
      <c r="BC25" s="203">
        <f t="shared" si="47"/>
        <v>1100</v>
      </c>
      <c r="BD25" s="205"/>
    </row>
    <row r="26" spans="1:57" s="207" customFormat="1" ht="26.25" customHeight="1" x14ac:dyDescent="0.25">
      <c r="A26" s="199" t="s">
        <v>205</v>
      </c>
      <c r="B26" s="200"/>
      <c r="C26" s="219" t="s">
        <v>293</v>
      </c>
      <c r="D26" s="193">
        <v>11</v>
      </c>
      <c r="E26" s="194">
        <v>27000</v>
      </c>
      <c r="F26" s="194">
        <f t="shared" si="30"/>
        <v>100</v>
      </c>
      <c r="G26" s="194">
        <f t="shared" si="31"/>
        <v>3240</v>
      </c>
      <c r="H26" s="195">
        <f t="shared" si="32"/>
        <v>27000</v>
      </c>
      <c r="I26" s="195">
        <f t="shared" si="0"/>
        <v>2000</v>
      </c>
      <c r="J26" s="195">
        <f t="shared" si="1"/>
        <v>1100</v>
      </c>
      <c r="K26" s="195">
        <f t="shared" si="2"/>
        <v>150</v>
      </c>
      <c r="L26" s="195">
        <f t="shared" si="3"/>
        <v>6750</v>
      </c>
      <c r="M26" s="195">
        <f t="shared" si="33"/>
        <v>37000</v>
      </c>
      <c r="N26" s="320">
        <v>6793.67</v>
      </c>
      <c r="O26" s="195">
        <f t="shared" si="11"/>
        <v>540</v>
      </c>
      <c r="P26" s="196">
        <f t="shared" si="12"/>
        <v>2430</v>
      </c>
      <c r="Q26" s="196"/>
      <c r="R26" s="196"/>
      <c r="S26" s="196"/>
      <c r="T26" s="196"/>
      <c r="U26" s="196"/>
      <c r="V26" s="196"/>
      <c r="W26" s="196"/>
      <c r="X26" s="196"/>
      <c r="Y26" s="196"/>
      <c r="Z26" s="196">
        <f t="shared" si="34"/>
        <v>100</v>
      </c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>
        <f t="shared" si="35"/>
        <v>9863.67</v>
      </c>
      <c r="AM26" s="197">
        <f t="shared" si="36"/>
        <v>27136.33</v>
      </c>
      <c r="AN26" s="713"/>
      <c r="AO26" s="201"/>
      <c r="AP26" s="198"/>
      <c r="AQ26" s="202">
        <f t="shared" si="4"/>
        <v>0</v>
      </c>
      <c r="AR26" s="203">
        <f t="shared" si="5"/>
        <v>27136.33</v>
      </c>
      <c r="AS26" s="203"/>
      <c r="AT26" s="203"/>
      <c r="AU26" s="203">
        <f t="shared" si="6"/>
        <v>371.25</v>
      </c>
      <c r="AV26" s="204"/>
      <c r="AW26" s="204" t="str">
        <f t="shared" si="16"/>
        <v>25%</v>
      </c>
      <c r="AX26" s="205">
        <v>22</v>
      </c>
      <c r="AY26" s="203">
        <v>150</v>
      </c>
      <c r="AZ26" s="204">
        <v>22</v>
      </c>
      <c r="BA26" s="203">
        <v>50</v>
      </c>
      <c r="BB26" s="203">
        <f t="shared" si="37"/>
        <v>0</v>
      </c>
      <c r="BC26" s="203">
        <f t="shared" si="38"/>
        <v>1100</v>
      </c>
      <c r="BD26" s="205"/>
    </row>
    <row r="27" spans="1:57" s="207" customFormat="1" ht="26.25" customHeight="1" x14ac:dyDescent="0.25">
      <c r="A27" s="199" t="s">
        <v>206</v>
      </c>
      <c r="B27" s="200"/>
      <c r="C27" s="219" t="s">
        <v>344</v>
      </c>
      <c r="D27" s="193">
        <v>11</v>
      </c>
      <c r="E27" s="194">
        <v>27000</v>
      </c>
      <c r="F27" s="194">
        <f t="shared" ref="F27" si="48">IF(H27&gt;0,100,0)</f>
        <v>100</v>
      </c>
      <c r="G27" s="194">
        <f t="shared" ref="G27" si="49">+ROUND(H27*12%,2)</f>
        <v>3240</v>
      </c>
      <c r="H27" s="195">
        <f t="shared" ref="H27" si="50">ROUND(IF(AX27&gt;22,0,IF(AX27=22,E27,IF(AX27&lt;22,E27*(AX27/AZ27),IF(OR(AX27=0,AX27=" ")=TRUE,0)))),2)</f>
        <v>27000</v>
      </c>
      <c r="I27" s="195">
        <f t="shared" ref="I27" si="51">ROUND(IF(AND(H27&gt;0,AX27=22)=TRUE,2000,IF(AND(H27&gt;0,AX27&lt;22,AX27&gt;0)=TRUE,2000*(AX27/AZ27),IF(AX27&lt;0,0,0))),2)</f>
        <v>2000</v>
      </c>
      <c r="J27" s="195">
        <f t="shared" ref="J27" si="52">IF(H27&gt;0,BC27-BB27,0)</f>
        <v>1100</v>
      </c>
      <c r="K27" s="195">
        <f t="shared" ref="K27" si="53">IF(AND(H27&gt;0,AX27&gt;11)=TRUE,150,0)</f>
        <v>150</v>
      </c>
      <c r="L27" s="195">
        <f t="shared" ref="L27" si="54">ROUND(IF(AND($H27&gt;0,AX27&gt;11)=TRUE,$AW27*$E27,0),2)</f>
        <v>6750</v>
      </c>
      <c r="M27" s="195">
        <f t="shared" ref="M27" si="55">ROUND(SUM(H27:L27),2)</f>
        <v>37000</v>
      </c>
      <c r="N27" s="320">
        <v>888.28</v>
      </c>
      <c r="O27" s="195">
        <f t="shared" ref="O27" si="56">E27*0.04/2</f>
        <v>540</v>
      </c>
      <c r="P27" s="196">
        <f t="shared" si="12"/>
        <v>2430</v>
      </c>
      <c r="Q27" s="196"/>
      <c r="R27" s="196"/>
      <c r="S27" s="196"/>
      <c r="T27" s="196"/>
      <c r="U27" s="196"/>
      <c r="V27" s="196"/>
      <c r="W27" s="196"/>
      <c r="X27" s="196"/>
      <c r="Y27" s="196"/>
      <c r="Z27" s="196">
        <f t="shared" ref="Z27" si="57">ROUND(IF(H27&gt;0,100,0),2)</f>
        <v>100</v>
      </c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>
        <f t="shared" ref="AL27" si="58">SUM(N27:AK27)</f>
        <v>3958.2799999999997</v>
      </c>
      <c r="AM27" s="197">
        <f t="shared" ref="AM27" si="59">ROUND(M27-AL27,2)</f>
        <v>33041.72</v>
      </c>
      <c r="AN27" s="336"/>
      <c r="AO27" s="201"/>
      <c r="AP27" s="198"/>
      <c r="AQ27" s="202">
        <f t="shared" ref="AQ27" si="60">SUM(AO27:AP27)</f>
        <v>0</v>
      </c>
      <c r="AR27" s="203">
        <f t="shared" ref="AR27" si="61">+AM27-AQ27</f>
        <v>33041.72</v>
      </c>
      <c r="AS27" s="203"/>
      <c r="AT27" s="203"/>
      <c r="AU27" s="203">
        <f t="shared" ref="AU27" si="62">IF(E27=0,0,IF(E27&lt;=10000,137.5,IF(AND(E27&gt;10000,E27&lt;40000)=TRUE,E27*2.75%*50%,IF(E27&gt;=40000,550,0))))</f>
        <v>371.25</v>
      </c>
      <c r="AV27" s="204"/>
      <c r="AW27" s="204" t="str">
        <f t="shared" si="16"/>
        <v>25%</v>
      </c>
      <c r="AX27" s="205">
        <v>22</v>
      </c>
      <c r="AY27" s="203">
        <v>150</v>
      </c>
      <c r="AZ27" s="204">
        <v>22</v>
      </c>
      <c r="BA27" s="203">
        <v>50</v>
      </c>
      <c r="BB27" s="203">
        <f t="shared" ref="BB27" si="63">IF(AX27&gt;0,(AZ27-AX27+BD27)*BA27,0)</f>
        <v>0</v>
      </c>
      <c r="BC27" s="203">
        <f t="shared" ref="BC27" si="64">IF(AX27&gt;0,1100,0)</f>
        <v>1100</v>
      </c>
      <c r="BD27" s="205"/>
    </row>
    <row r="28" spans="1:57" s="207" customFormat="1" ht="26.25" customHeight="1" x14ac:dyDescent="0.25">
      <c r="A28" s="199" t="s">
        <v>207</v>
      </c>
      <c r="B28" s="200"/>
      <c r="C28" s="219" t="s">
        <v>294</v>
      </c>
      <c r="D28" s="193">
        <v>11</v>
      </c>
      <c r="E28" s="194">
        <v>27000</v>
      </c>
      <c r="F28" s="194">
        <f t="shared" si="30"/>
        <v>100</v>
      </c>
      <c r="G28" s="194">
        <f t="shared" si="31"/>
        <v>3240</v>
      </c>
      <c r="H28" s="195">
        <f t="shared" si="32"/>
        <v>27000</v>
      </c>
      <c r="I28" s="195">
        <f t="shared" si="0"/>
        <v>2000</v>
      </c>
      <c r="J28" s="195">
        <f t="shared" si="1"/>
        <v>1100</v>
      </c>
      <c r="K28" s="195">
        <f t="shared" si="2"/>
        <v>150</v>
      </c>
      <c r="L28" s="195">
        <f t="shared" si="3"/>
        <v>6750</v>
      </c>
      <c r="M28" s="195">
        <f t="shared" si="33"/>
        <v>37000</v>
      </c>
      <c r="N28" s="320">
        <v>6793.67</v>
      </c>
      <c r="O28" s="195">
        <f t="shared" si="11"/>
        <v>540</v>
      </c>
      <c r="P28" s="196">
        <f t="shared" si="12"/>
        <v>2430</v>
      </c>
      <c r="Q28" s="196"/>
      <c r="R28" s="196"/>
      <c r="S28" s="196"/>
      <c r="T28" s="196"/>
      <c r="U28" s="196"/>
      <c r="V28" s="196"/>
      <c r="W28" s="196"/>
      <c r="X28" s="196"/>
      <c r="Y28" s="196"/>
      <c r="Z28" s="196">
        <f t="shared" si="34"/>
        <v>100</v>
      </c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>
        <f t="shared" si="35"/>
        <v>9863.67</v>
      </c>
      <c r="AM28" s="197">
        <f t="shared" si="36"/>
        <v>27136.33</v>
      </c>
      <c r="AN28" s="713"/>
      <c r="AO28" s="201"/>
      <c r="AP28" s="198"/>
      <c r="AQ28" s="202">
        <f t="shared" si="4"/>
        <v>0</v>
      </c>
      <c r="AR28" s="203">
        <f t="shared" si="5"/>
        <v>27136.33</v>
      </c>
      <c r="AS28" s="203"/>
      <c r="AT28" s="203"/>
      <c r="AU28" s="203">
        <f t="shared" si="6"/>
        <v>371.25</v>
      </c>
      <c r="AV28" s="204"/>
      <c r="AW28" s="204" t="str">
        <f t="shared" si="16"/>
        <v>25%</v>
      </c>
      <c r="AX28" s="205">
        <v>22</v>
      </c>
      <c r="AY28" s="203">
        <v>150</v>
      </c>
      <c r="AZ28" s="204">
        <v>22</v>
      </c>
      <c r="BA28" s="203">
        <v>50</v>
      </c>
      <c r="BB28" s="203">
        <f t="shared" si="37"/>
        <v>0</v>
      </c>
      <c r="BC28" s="203">
        <f t="shared" si="38"/>
        <v>1100</v>
      </c>
      <c r="BD28" s="205"/>
    </row>
    <row r="29" spans="1:57" s="207" customFormat="1" ht="26.25" customHeight="1" thickBot="1" x14ac:dyDescent="0.3">
      <c r="A29" s="220"/>
      <c r="B29" s="221"/>
      <c r="C29" s="231" t="s">
        <v>213</v>
      </c>
      <c r="D29" s="223"/>
      <c r="E29" s="224">
        <f>ROUND(SUM(E9:E28),2)</f>
        <v>540000</v>
      </c>
      <c r="F29" s="224">
        <f t="shared" ref="F29:BD29" si="65">ROUND(SUM(F9:F28),2)</f>
        <v>2000</v>
      </c>
      <c r="G29" s="224">
        <f t="shared" si="65"/>
        <v>64800</v>
      </c>
      <c r="H29" s="224">
        <f t="shared" si="65"/>
        <v>540000</v>
      </c>
      <c r="I29" s="224">
        <f t="shared" si="65"/>
        <v>40000</v>
      </c>
      <c r="J29" s="224">
        <f t="shared" si="65"/>
        <v>21450</v>
      </c>
      <c r="K29" s="224">
        <f t="shared" si="65"/>
        <v>3000</v>
      </c>
      <c r="L29" s="224">
        <f t="shared" si="65"/>
        <v>135000</v>
      </c>
      <c r="M29" s="224">
        <f t="shared" si="65"/>
        <v>739450</v>
      </c>
      <c r="N29" s="224">
        <f t="shared" si="65"/>
        <v>120197.74</v>
      </c>
      <c r="O29" s="224">
        <f t="shared" si="65"/>
        <v>10800</v>
      </c>
      <c r="P29" s="224">
        <f t="shared" si="65"/>
        <v>48600</v>
      </c>
      <c r="Q29" s="224">
        <f t="shared" si="65"/>
        <v>0</v>
      </c>
      <c r="R29" s="224">
        <f t="shared" si="65"/>
        <v>0</v>
      </c>
      <c r="S29" s="224">
        <f t="shared" si="65"/>
        <v>0</v>
      </c>
      <c r="T29" s="224">
        <f t="shared" si="65"/>
        <v>0</v>
      </c>
      <c r="U29" s="224">
        <f t="shared" si="65"/>
        <v>0</v>
      </c>
      <c r="V29" s="224">
        <f t="shared" si="65"/>
        <v>0</v>
      </c>
      <c r="W29" s="224">
        <f t="shared" si="65"/>
        <v>0</v>
      </c>
      <c r="X29" s="224">
        <f t="shared" si="65"/>
        <v>0</v>
      </c>
      <c r="Y29" s="224">
        <f t="shared" si="65"/>
        <v>0</v>
      </c>
      <c r="Z29" s="224">
        <f t="shared" si="65"/>
        <v>2000</v>
      </c>
      <c r="AA29" s="224">
        <f t="shared" si="65"/>
        <v>0</v>
      </c>
      <c r="AB29" s="224">
        <f t="shared" si="65"/>
        <v>0</v>
      </c>
      <c r="AC29" s="224">
        <f t="shared" si="65"/>
        <v>0</v>
      </c>
      <c r="AD29" s="224">
        <f t="shared" si="65"/>
        <v>0</v>
      </c>
      <c r="AE29" s="224">
        <f t="shared" si="65"/>
        <v>0</v>
      </c>
      <c r="AF29" s="224">
        <f t="shared" si="65"/>
        <v>0</v>
      </c>
      <c r="AG29" s="224">
        <f t="shared" si="65"/>
        <v>0</v>
      </c>
      <c r="AH29" s="224">
        <f t="shared" si="65"/>
        <v>0</v>
      </c>
      <c r="AI29" s="224">
        <f t="shared" si="65"/>
        <v>0</v>
      </c>
      <c r="AJ29" s="224">
        <f t="shared" si="65"/>
        <v>0</v>
      </c>
      <c r="AK29" s="224">
        <f t="shared" si="65"/>
        <v>0</v>
      </c>
      <c r="AL29" s="224">
        <f t="shared" si="65"/>
        <v>181597.74</v>
      </c>
      <c r="AM29" s="224">
        <f t="shared" si="65"/>
        <v>557852.26</v>
      </c>
      <c r="AN29" s="224">
        <f t="shared" si="65"/>
        <v>0</v>
      </c>
      <c r="AO29" s="224">
        <f t="shared" si="65"/>
        <v>0</v>
      </c>
      <c r="AP29" s="224">
        <f t="shared" si="65"/>
        <v>0</v>
      </c>
      <c r="AQ29" s="224">
        <f t="shared" si="65"/>
        <v>0</v>
      </c>
      <c r="AR29" s="224">
        <f t="shared" si="65"/>
        <v>557852.26</v>
      </c>
      <c r="AS29" s="224">
        <f t="shared" si="65"/>
        <v>0</v>
      </c>
      <c r="AT29" s="224">
        <f t="shared" si="65"/>
        <v>0</v>
      </c>
      <c r="AU29" s="224">
        <f t="shared" si="65"/>
        <v>7425</v>
      </c>
      <c r="AV29" s="224">
        <f t="shared" si="65"/>
        <v>0</v>
      </c>
      <c r="AW29" s="224">
        <f t="shared" si="65"/>
        <v>0</v>
      </c>
      <c r="AX29" s="224">
        <f t="shared" si="65"/>
        <v>440</v>
      </c>
      <c r="AY29" s="224">
        <f t="shared" si="65"/>
        <v>3000</v>
      </c>
      <c r="AZ29" s="224">
        <f t="shared" si="65"/>
        <v>440</v>
      </c>
      <c r="BA29" s="224">
        <f t="shared" si="65"/>
        <v>1000</v>
      </c>
      <c r="BB29" s="224">
        <f t="shared" si="65"/>
        <v>550</v>
      </c>
      <c r="BC29" s="224">
        <f t="shared" si="65"/>
        <v>22000</v>
      </c>
      <c r="BD29" s="224">
        <f t="shared" si="65"/>
        <v>11</v>
      </c>
    </row>
    <row r="30" spans="1:57" ht="25.5" customHeight="1" x14ac:dyDescent="0.2">
      <c r="A30" s="128" t="s">
        <v>111</v>
      </c>
      <c r="B30" s="99"/>
      <c r="C30" s="209"/>
      <c r="D30" s="100"/>
      <c r="E30" s="100"/>
      <c r="F30" s="100"/>
      <c r="G30" s="100"/>
      <c r="H30" s="100"/>
      <c r="I30" s="101"/>
      <c r="J30" s="102" t="s">
        <v>112</v>
      </c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3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3"/>
      <c r="AM30" s="103"/>
      <c r="AN30" s="120"/>
      <c r="AO30" s="1"/>
      <c r="AP30" s="5"/>
      <c r="AQ30" s="5"/>
      <c r="AR30" s="5"/>
      <c r="AS30" s="242"/>
      <c r="AT30" s="1"/>
      <c r="AU30" s="242"/>
      <c r="AV30" s="5"/>
      <c r="AW30" s="242"/>
      <c r="AX30" s="1"/>
      <c r="AY30" s="1"/>
      <c r="AZ30" s="5"/>
      <c r="BC30" s="1"/>
    </row>
    <row r="31" spans="1:57" x14ac:dyDescent="0.2">
      <c r="A31" s="241"/>
      <c r="I31" s="104"/>
      <c r="J31" s="105" t="s">
        <v>113</v>
      </c>
      <c r="AL31" s="4"/>
      <c r="AM31" s="4"/>
      <c r="AN31" s="121"/>
      <c r="AO31" s="1"/>
      <c r="AP31" s="5"/>
      <c r="AQ31" s="5"/>
      <c r="AR31" s="5"/>
      <c r="AS31" s="242"/>
      <c r="AT31" s="1"/>
      <c r="AU31" s="242"/>
      <c r="AV31" s="5"/>
      <c r="AW31" s="242"/>
      <c r="AX31" s="1"/>
      <c r="AY31" s="1"/>
      <c r="AZ31" s="5"/>
      <c r="BC31" s="1"/>
    </row>
    <row r="32" spans="1:57" x14ac:dyDescent="0.2">
      <c r="A32" s="241"/>
      <c r="I32" s="104"/>
      <c r="J32" s="105"/>
      <c r="AL32" s="4"/>
      <c r="AM32" s="4"/>
      <c r="AN32" s="121"/>
      <c r="AO32" s="1"/>
      <c r="AP32" s="5"/>
      <c r="AQ32" s="5"/>
      <c r="AR32" s="5"/>
      <c r="AS32" s="242"/>
      <c r="AT32" s="1"/>
      <c r="AU32" s="242"/>
      <c r="AV32" s="5"/>
      <c r="AW32" s="242"/>
      <c r="AX32" s="1"/>
      <c r="AY32" s="1"/>
      <c r="AZ32" s="5"/>
      <c r="BC32" s="1"/>
    </row>
    <row r="33" spans="1:55" x14ac:dyDescent="0.2">
      <c r="A33" s="241"/>
      <c r="I33" s="104"/>
      <c r="J33" s="105"/>
      <c r="X33" s="1"/>
      <c r="AL33" s="1"/>
      <c r="AM33" s="1"/>
      <c r="AN33" s="104"/>
      <c r="AO33" s="1"/>
      <c r="AP33" s="5"/>
      <c r="AQ33" s="5"/>
      <c r="AR33" s="5"/>
      <c r="AS33" s="242"/>
      <c r="AT33" s="1"/>
      <c r="AU33" s="242"/>
      <c r="AV33" s="5"/>
      <c r="AW33" s="242"/>
      <c r="AX33" s="1"/>
      <c r="AY33" s="1"/>
      <c r="AZ33" s="5"/>
      <c r="BC33" s="1"/>
    </row>
    <row r="34" spans="1:55" x14ac:dyDescent="0.2">
      <c r="A34" s="635" t="s">
        <v>114</v>
      </c>
      <c r="B34" s="636"/>
      <c r="C34" s="636"/>
      <c r="D34" s="636"/>
      <c r="E34" s="636"/>
      <c r="F34" s="636"/>
      <c r="I34" s="104"/>
      <c r="J34" s="631" t="s">
        <v>307</v>
      </c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632"/>
      <c r="AB34" s="632"/>
      <c r="AC34" s="632"/>
      <c r="AD34" s="632"/>
      <c r="AE34" s="632"/>
      <c r="AF34" s="632"/>
      <c r="AG34" s="632"/>
      <c r="AH34" s="632"/>
      <c r="AI34" s="632"/>
      <c r="AJ34" s="632"/>
      <c r="AK34" s="632"/>
      <c r="AL34" s="632"/>
      <c r="AM34" s="632"/>
      <c r="AN34" s="637"/>
      <c r="AO34" s="1"/>
      <c r="AP34" s="5"/>
      <c r="AQ34" s="5"/>
      <c r="AR34" s="5"/>
      <c r="AS34" s="242"/>
      <c r="AT34" s="1"/>
      <c r="AU34" s="242"/>
      <c r="AV34" s="5"/>
      <c r="AW34" s="242"/>
      <c r="AX34" s="1"/>
      <c r="AY34" s="1"/>
      <c r="AZ34" s="5"/>
      <c r="BC34" s="1"/>
    </row>
    <row r="35" spans="1:55" x14ac:dyDescent="0.2">
      <c r="A35" s="629" t="s">
        <v>209</v>
      </c>
      <c r="B35" s="630"/>
      <c r="C35" s="630"/>
      <c r="D35" s="630"/>
      <c r="E35" s="630"/>
      <c r="F35" s="630"/>
      <c r="I35" s="104"/>
      <c r="J35" s="638" t="s">
        <v>224</v>
      </c>
      <c r="K35" s="639"/>
      <c r="L35" s="639"/>
      <c r="M35" s="639"/>
      <c r="N35" s="639"/>
      <c r="O35" s="639"/>
      <c r="P35" s="639"/>
      <c r="Q35" s="639"/>
      <c r="R35" s="639"/>
      <c r="S35" s="639"/>
      <c r="T35" s="639"/>
      <c r="U35" s="639"/>
      <c r="V35" s="639"/>
      <c r="W35" s="639"/>
      <c r="X35" s="639"/>
      <c r="Y35" s="639"/>
      <c r="Z35" s="639"/>
      <c r="AA35" s="639"/>
      <c r="AB35" s="639"/>
      <c r="AC35" s="639"/>
      <c r="AD35" s="639"/>
      <c r="AE35" s="639"/>
      <c r="AF35" s="639"/>
      <c r="AG35" s="639"/>
      <c r="AH35" s="639"/>
      <c r="AI35" s="639"/>
      <c r="AJ35" s="639"/>
      <c r="AK35" s="639"/>
      <c r="AL35" s="639"/>
      <c r="AM35" s="639"/>
      <c r="AN35" s="640"/>
      <c r="AO35" s="1"/>
      <c r="AP35" s="5"/>
      <c r="AQ35" s="5"/>
      <c r="AR35" s="5"/>
      <c r="AS35" s="242"/>
      <c r="AT35" s="1"/>
      <c r="AU35" s="242"/>
      <c r="AV35" s="5"/>
      <c r="AW35" s="242"/>
      <c r="AX35" s="1"/>
      <c r="AY35" s="1"/>
      <c r="AZ35" s="5"/>
      <c r="BC35" s="1"/>
    </row>
    <row r="36" spans="1:55" ht="16.5" thickBot="1" x14ac:dyDescent="0.25">
      <c r="A36" s="641" t="s">
        <v>115</v>
      </c>
      <c r="B36" s="642"/>
      <c r="C36" s="642"/>
      <c r="D36" s="642"/>
      <c r="E36" s="642"/>
      <c r="F36" s="642"/>
      <c r="I36" s="104"/>
      <c r="J36" s="627" t="s">
        <v>115</v>
      </c>
      <c r="K36" s="628"/>
      <c r="L36" s="628"/>
      <c r="M36" s="628"/>
      <c r="N36" s="628"/>
      <c r="O36" s="628"/>
      <c r="P36" s="628"/>
      <c r="Q36" s="628"/>
      <c r="R36" s="628"/>
      <c r="S36" s="628"/>
      <c r="T36" s="628"/>
      <c r="U36" s="628"/>
      <c r="V36" s="628"/>
      <c r="W36" s="628"/>
      <c r="X36" s="628"/>
      <c r="Y36" s="628"/>
      <c r="Z36" s="628"/>
      <c r="AA36" s="628"/>
      <c r="AB36" s="628"/>
      <c r="AC36" s="628"/>
      <c r="AD36" s="628"/>
      <c r="AE36" s="628"/>
      <c r="AF36" s="628"/>
      <c r="AG36" s="628"/>
      <c r="AH36" s="628"/>
      <c r="AI36" s="628"/>
      <c r="AJ36" s="628"/>
      <c r="AK36" s="628"/>
      <c r="AL36" s="628"/>
      <c r="AM36" s="628"/>
      <c r="AN36" s="643"/>
      <c r="AO36" s="1"/>
      <c r="AP36" s="5"/>
      <c r="AQ36" s="5"/>
      <c r="AR36" s="5"/>
      <c r="AS36" s="242"/>
      <c r="AT36" s="1"/>
      <c r="AU36" s="242"/>
      <c r="AV36" s="5"/>
      <c r="AW36" s="242"/>
      <c r="AX36" s="1"/>
      <c r="AY36" s="1"/>
      <c r="AZ36" s="5"/>
      <c r="BC36" s="1"/>
    </row>
    <row r="37" spans="1:55" x14ac:dyDescent="0.2">
      <c r="A37" s="106" t="s">
        <v>116</v>
      </c>
      <c r="B37" s="107"/>
      <c r="C37" s="211"/>
      <c r="D37" s="243"/>
      <c r="E37" s="108"/>
      <c r="F37" s="108"/>
      <c r="G37" s="108"/>
      <c r="H37" s="108"/>
      <c r="I37" s="109"/>
      <c r="J37" s="105" t="s">
        <v>117</v>
      </c>
      <c r="AL37" s="110"/>
      <c r="AM37" s="4"/>
      <c r="AN37" s="121"/>
      <c r="AO37" s="1"/>
      <c r="AP37" s="5"/>
      <c r="AQ37" s="5"/>
      <c r="AR37" s="5"/>
      <c r="AS37" s="242"/>
      <c r="AT37" s="1"/>
      <c r="AU37" s="242"/>
      <c r="AV37" s="5"/>
      <c r="AW37" s="242"/>
      <c r="AX37" s="1"/>
      <c r="AY37" s="1"/>
      <c r="AZ37" s="5"/>
      <c r="BC37" s="1"/>
    </row>
    <row r="38" spans="1:55" x14ac:dyDescent="0.2">
      <c r="A38" s="105" t="s">
        <v>118</v>
      </c>
      <c r="B38" s="1"/>
      <c r="I38" s="104"/>
      <c r="J38" s="105" t="s">
        <v>119</v>
      </c>
      <c r="Q38" s="1" t="s">
        <v>120</v>
      </c>
      <c r="AL38" s="110"/>
      <c r="AM38" s="4"/>
      <c r="AN38" s="121"/>
      <c r="AO38" s="1"/>
      <c r="AP38" s="5"/>
      <c r="AQ38" s="5"/>
      <c r="AR38" s="5"/>
      <c r="AS38" s="242"/>
      <c r="AT38" s="1"/>
      <c r="AU38" s="242"/>
      <c r="AV38" s="5"/>
      <c r="AW38" s="242"/>
      <c r="AX38" s="1"/>
      <c r="AY38" s="1"/>
      <c r="AZ38" s="5"/>
      <c r="BC38" s="1"/>
    </row>
    <row r="39" spans="1:55" x14ac:dyDescent="0.2">
      <c r="A39" s="105"/>
      <c r="B39" s="1"/>
      <c r="I39" s="104"/>
      <c r="J39" s="105"/>
      <c r="AL39" s="111" t="s">
        <v>121</v>
      </c>
      <c r="AM39" s="112"/>
      <c r="AN39" s="122"/>
      <c r="AO39" s="1"/>
      <c r="AP39" s="5"/>
      <c r="AQ39" s="5"/>
      <c r="AR39" s="5"/>
      <c r="AS39" s="242"/>
      <c r="AT39" s="1"/>
      <c r="AU39" s="242"/>
      <c r="AV39" s="5"/>
      <c r="AW39" s="242"/>
      <c r="AX39" s="1"/>
      <c r="AY39" s="1"/>
      <c r="AZ39" s="5"/>
      <c r="BC39" s="1"/>
    </row>
    <row r="40" spans="1:55" x14ac:dyDescent="0.2">
      <c r="A40" s="241"/>
      <c r="I40" s="104"/>
      <c r="J40" s="105"/>
      <c r="Q40" s="1" t="s">
        <v>122</v>
      </c>
      <c r="AL40" s="111" t="s">
        <v>123</v>
      </c>
      <c r="AM40" s="112"/>
      <c r="AN40" s="122"/>
      <c r="AO40" s="1"/>
      <c r="AP40" s="5"/>
      <c r="AQ40" s="5"/>
      <c r="AR40" s="5"/>
      <c r="AS40" s="242"/>
      <c r="AT40" s="1"/>
      <c r="AU40" s="242"/>
      <c r="AV40" s="5"/>
      <c r="AW40" s="242"/>
      <c r="AX40" s="1"/>
      <c r="AY40" s="1"/>
      <c r="AZ40" s="5"/>
      <c r="BC40" s="1"/>
    </row>
    <row r="41" spans="1:55" x14ac:dyDescent="0.2">
      <c r="A41" s="629" t="s">
        <v>124</v>
      </c>
      <c r="B41" s="630"/>
      <c r="C41" s="630"/>
      <c r="D41" s="1"/>
      <c r="H41" s="113"/>
      <c r="I41" s="104"/>
      <c r="J41" s="631" t="s">
        <v>125</v>
      </c>
      <c r="K41" s="632"/>
      <c r="L41" s="632"/>
      <c r="M41" s="632"/>
      <c r="P41" s="114"/>
      <c r="Q41" s="114" t="s">
        <v>126</v>
      </c>
      <c r="R41" s="114"/>
      <c r="S41" s="114"/>
      <c r="T41" s="114"/>
      <c r="U41" s="114"/>
      <c r="V41" s="114"/>
      <c r="W41" s="114"/>
      <c r="X41" s="115"/>
      <c r="Y41" s="114"/>
      <c r="Z41" s="114"/>
      <c r="AL41" s="111" t="s">
        <v>127</v>
      </c>
      <c r="AM41" s="112"/>
      <c r="AN41" s="122"/>
      <c r="AO41" s="1"/>
      <c r="AP41" s="5"/>
      <c r="AQ41" s="5"/>
      <c r="AR41" s="5"/>
      <c r="AS41" s="242"/>
      <c r="AT41" s="1"/>
      <c r="AU41" s="242"/>
      <c r="AV41" s="5"/>
      <c r="AW41" s="242"/>
      <c r="AX41" s="1"/>
      <c r="AY41" s="1"/>
      <c r="AZ41" s="5"/>
      <c r="BC41" s="1"/>
    </row>
    <row r="42" spans="1:55" x14ac:dyDescent="0.2">
      <c r="A42" s="629" t="s">
        <v>128</v>
      </c>
      <c r="B42" s="630"/>
      <c r="C42" s="630"/>
      <c r="D42" s="1"/>
      <c r="H42" s="633" t="s">
        <v>129</v>
      </c>
      <c r="I42" s="634"/>
      <c r="J42" s="629" t="s">
        <v>130</v>
      </c>
      <c r="K42" s="630"/>
      <c r="L42" s="630"/>
      <c r="M42" s="630"/>
      <c r="P42" s="633" t="s">
        <v>131</v>
      </c>
      <c r="Q42" s="633"/>
      <c r="R42" s="633"/>
      <c r="S42" s="633"/>
      <c r="T42" s="633"/>
      <c r="U42" s="633"/>
      <c r="V42" s="633"/>
      <c r="W42" s="633"/>
      <c r="X42" s="633"/>
      <c r="Y42" s="633"/>
      <c r="Z42" s="633"/>
      <c r="AL42" s="111" t="s">
        <v>123</v>
      </c>
      <c r="AM42" s="112"/>
      <c r="AN42" s="122"/>
      <c r="AO42" s="1"/>
      <c r="AP42" s="5"/>
      <c r="AQ42" s="5"/>
      <c r="AR42" s="5"/>
      <c r="AS42" s="242"/>
      <c r="AT42" s="1"/>
      <c r="AU42" s="242"/>
      <c r="AV42" s="5"/>
      <c r="AW42" s="242"/>
      <c r="AX42" s="1"/>
      <c r="AY42" s="1"/>
      <c r="AZ42" s="5"/>
      <c r="BC42" s="1"/>
    </row>
    <row r="43" spans="1:55" ht="22.5" customHeight="1" thickBot="1" x14ac:dyDescent="0.25">
      <c r="A43" s="625" t="s">
        <v>208</v>
      </c>
      <c r="B43" s="626"/>
      <c r="C43" s="626"/>
      <c r="D43" s="116"/>
      <c r="E43" s="116"/>
      <c r="F43" s="116"/>
      <c r="G43" s="116"/>
      <c r="H43" s="116"/>
      <c r="I43" s="117"/>
      <c r="J43" s="627" t="s">
        <v>132</v>
      </c>
      <c r="K43" s="628"/>
      <c r="L43" s="628"/>
      <c r="M43" s="628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8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9"/>
      <c r="AM43" s="118"/>
      <c r="AN43" s="123"/>
      <c r="AO43" s="1"/>
      <c r="AP43" s="5"/>
      <c r="AQ43" s="5"/>
      <c r="AR43" s="5"/>
      <c r="AS43" s="242"/>
      <c r="AT43" s="1"/>
      <c r="AU43" s="242"/>
      <c r="AV43" s="5"/>
      <c r="AW43" s="242"/>
      <c r="AX43" s="1"/>
      <c r="AY43" s="1"/>
      <c r="AZ43" s="5"/>
      <c r="BC43" s="1"/>
    </row>
  </sheetData>
  <autoFilter ref="A8:AU28"/>
  <mergeCells count="20">
    <mergeCell ref="A43:C43"/>
    <mergeCell ref="J43:M43"/>
    <mergeCell ref="A41:C41"/>
    <mergeCell ref="J41:M41"/>
    <mergeCell ref="A42:C42"/>
    <mergeCell ref="H42:I42"/>
    <mergeCell ref="J42:M42"/>
    <mergeCell ref="P42:Z42"/>
    <mergeCell ref="A34:F34"/>
    <mergeCell ref="J34:AN34"/>
    <mergeCell ref="A35:F35"/>
    <mergeCell ref="J35:AN35"/>
    <mergeCell ref="A36:F36"/>
    <mergeCell ref="J36:AN36"/>
    <mergeCell ref="A7:T7"/>
    <mergeCell ref="A1:AN1"/>
    <mergeCell ref="A2:AN2"/>
    <mergeCell ref="A3:AN3"/>
    <mergeCell ref="A4:AN4"/>
    <mergeCell ref="A5:AN5"/>
  </mergeCells>
  <phoneticPr fontId="60" type="noConversion"/>
  <conditionalFormatting sqref="B44:B1048576 B8:B13">
    <cfRule type="duplicateValues" dxfId="15" priority="7"/>
  </conditionalFormatting>
  <conditionalFormatting sqref="B40 B31:B33">
    <cfRule type="duplicateValues" dxfId="14" priority="6"/>
  </conditionalFormatting>
  <conditionalFormatting sqref="B15:B16">
    <cfRule type="duplicateValues" dxfId="13" priority="5"/>
  </conditionalFormatting>
  <conditionalFormatting sqref="B19:B21">
    <cfRule type="duplicateValues" dxfId="12" priority="3"/>
  </conditionalFormatting>
  <conditionalFormatting sqref="B22:B24">
    <cfRule type="duplicateValues" dxfId="11" priority="2"/>
  </conditionalFormatting>
  <conditionalFormatting sqref="B25">
    <cfRule type="duplicateValues" dxfId="10" priority="8"/>
  </conditionalFormatting>
  <conditionalFormatting sqref="B27">
    <cfRule type="duplicateValues" dxfId="9" priority="1"/>
  </conditionalFormatting>
  <conditionalFormatting sqref="B26 B17:B18 B14 B28:B29">
    <cfRule type="duplicateValues" dxfId="8" priority="67"/>
  </conditionalFormatting>
  <pageMargins left="0" right="0.19685039370078741" top="0.19685039370078741" bottom="0.43307086614173229" header="0" footer="0"/>
  <pageSetup paperSize="119" scale="62" orientation="landscape" blackAndWhite="1" errors="NA" r:id="rId1"/>
  <headerFooter scaleWithDoc="0"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F38"/>
  <sheetViews>
    <sheetView tabSelected="1" view="pageBreakPreview" zoomScale="80" zoomScaleNormal="80" zoomScaleSheetLayoutView="80" workbookViewId="0">
      <pane xSplit="3" ySplit="8" topLeftCell="D18" activePane="bottomRight" state="frozen"/>
      <selection activeCell="H2" sqref="H2"/>
      <selection pane="topRight" activeCell="H2" sqref="H2"/>
      <selection pane="bottomLeft" activeCell="H2" sqref="H2"/>
      <selection pane="bottomRight" activeCell="M24" sqref="M24"/>
    </sheetView>
  </sheetViews>
  <sheetFormatPr defaultColWidth="9.140625" defaultRowHeight="15.75" outlineLevelCol="1" x14ac:dyDescent="0.2"/>
  <cols>
    <col min="1" max="1" width="5.5703125" style="242" customWidth="1"/>
    <col min="2" max="2" width="14.42578125" style="242" hidden="1" customWidth="1"/>
    <col min="3" max="3" width="34.5703125" style="210" customWidth="1"/>
    <col min="4" max="4" width="6.140625" style="242" customWidth="1"/>
    <col min="5" max="5" width="16.42578125" style="1" hidden="1" customWidth="1"/>
    <col min="6" max="6" width="12.28515625" style="1" hidden="1" customWidth="1"/>
    <col min="7" max="7" width="13.7109375" style="1" hidden="1" customWidth="1"/>
    <col min="8" max="8" width="15.28515625" style="1" customWidth="1"/>
    <col min="9" max="10" width="13.7109375" style="1" customWidth="1"/>
    <col min="11" max="11" width="12.42578125" style="1" customWidth="1"/>
    <col min="12" max="12" width="15.28515625" style="1" customWidth="1"/>
    <col min="13" max="13" width="15.42578125" style="1" customWidth="1"/>
    <col min="14" max="14" width="13.5703125" style="1" customWidth="1"/>
    <col min="15" max="15" width="12.28515625" style="1" customWidth="1"/>
    <col min="16" max="16" width="13.425781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4" hidden="1" customWidth="1" outlineLevel="1"/>
    <col min="25" max="25" width="11.7109375" style="1" hidden="1" customWidth="1" outlineLevel="1"/>
    <col min="26" max="26" width="12.28515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3.7109375" style="2" customWidth="1" collapsed="1"/>
    <col min="39" max="39" width="15.42578125" style="2" customWidth="1"/>
    <col min="40" max="40" width="36.42578125" style="2" customWidth="1"/>
    <col min="41" max="41" width="18.85546875" style="2" hidden="1" customWidth="1" outlineLevel="1"/>
    <col min="42" max="42" width="16.28515625" style="1" hidden="1" customWidth="1" outlineLevel="1"/>
    <col min="43" max="43" width="17.85546875" style="1" hidden="1" customWidth="1" outlineLevel="1"/>
    <col min="44" max="44" width="17.42578125" style="1" customWidth="1" outlineLevel="1"/>
    <col min="45" max="46" width="16.28515625" style="5" hidden="1" customWidth="1" outlineLevel="1"/>
    <col min="47" max="47" width="16.28515625" style="5" customWidth="1" collapsed="1"/>
    <col min="48" max="48" width="11.42578125" style="242" hidden="1" customWidth="1"/>
    <col min="49" max="49" width="11.42578125" style="1" customWidth="1"/>
    <col min="50" max="50" width="16.28515625" style="242" customWidth="1"/>
    <col min="51" max="51" width="12.7109375" style="5" customWidth="1"/>
    <col min="52" max="52" width="11.42578125" style="242" customWidth="1"/>
    <col min="53" max="53" width="15.5703125" style="1" customWidth="1"/>
    <col min="54" max="54" width="17" style="1" customWidth="1"/>
    <col min="55" max="55" width="15.85546875" style="5" customWidth="1"/>
    <col min="56" max="56" width="19" style="1" customWidth="1"/>
    <col min="57" max="16384" width="9.140625" style="1"/>
  </cols>
  <sheetData>
    <row r="1" spans="1:57" ht="32.25" customHeight="1" x14ac:dyDescent="0.35">
      <c r="A1" s="645" t="s">
        <v>105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45"/>
      <c r="R1" s="645"/>
      <c r="S1" s="645"/>
      <c r="T1" s="645"/>
      <c r="U1" s="645"/>
      <c r="V1" s="645"/>
      <c r="W1" s="645"/>
      <c r="X1" s="645"/>
      <c r="Y1" s="645"/>
      <c r="Z1" s="645"/>
      <c r="AA1" s="645"/>
      <c r="AB1" s="645"/>
      <c r="AC1" s="645"/>
      <c r="AD1" s="645"/>
      <c r="AE1" s="645"/>
      <c r="AF1" s="645"/>
      <c r="AG1" s="645"/>
      <c r="AH1" s="645"/>
      <c r="AI1" s="645"/>
      <c r="AJ1" s="645"/>
      <c r="AK1" s="645"/>
      <c r="AL1" s="645"/>
      <c r="AM1" s="645"/>
      <c r="AN1" s="645"/>
      <c r="AO1" s="95"/>
      <c r="AP1" s="95"/>
      <c r="AQ1" s="95"/>
    </row>
    <row r="2" spans="1:57" ht="21" customHeight="1" x14ac:dyDescent="0.25">
      <c r="A2" s="646" t="s">
        <v>106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96"/>
      <c r="AP2" s="96"/>
      <c r="AQ2" s="96"/>
    </row>
    <row r="3" spans="1:57" ht="11.25" customHeight="1" x14ac:dyDescent="0.2">
      <c r="A3" s="647" t="s">
        <v>107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  <c r="AM3" s="647"/>
      <c r="AN3" s="647"/>
      <c r="AO3" s="97"/>
      <c r="AP3" s="97"/>
      <c r="AQ3" s="97"/>
    </row>
    <row r="4" spans="1:57" ht="18.75" customHeight="1" x14ac:dyDescent="0.25">
      <c r="A4" s="648" t="s">
        <v>348</v>
      </c>
      <c r="B4" s="648"/>
      <c r="C4" s="648"/>
      <c r="D4" s="648"/>
      <c r="E4" s="648"/>
      <c r="F4" s="648"/>
      <c r="G4" s="648"/>
      <c r="H4" s="648"/>
      <c r="I4" s="648"/>
      <c r="J4" s="648"/>
      <c r="K4" s="648"/>
      <c r="L4" s="648"/>
      <c r="M4" s="648"/>
      <c r="N4" s="648"/>
      <c r="O4" s="648"/>
      <c r="P4" s="648"/>
      <c r="Q4" s="648"/>
      <c r="R4" s="648"/>
      <c r="S4" s="648"/>
      <c r="T4" s="648"/>
      <c r="U4" s="648"/>
      <c r="V4" s="648"/>
      <c r="W4" s="648"/>
      <c r="X4" s="648"/>
      <c r="Y4" s="648"/>
      <c r="Z4" s="648"/>
      <c r="AA4" s="648"/>
      <c r="AB4" s="648"/>
      <c r="AC4" s="648"/>
      <c r="AD4" s="648"/>
      <c r="AE4" s="648"/>
      <c r="AF4" s="648"/>
      <c r="AG4" s="648"/>
      <c r="AH4" s="648"/>
      <c r="AI4" s="648"/>
      <c r="AJ4" s="648"/>
      <c r="AK4" s="648"/>
      <c r="AL4" s="648"/>
      <c r="AM4" s="648"/>
      <c r="AN4" s="648"/>
      <c r="AO4" s="98"/>
      <c r="AP4" s="98"/>
      <c r="AQ4" s="98"/>
    </row>
    <row r="5" spans="1:57" ht="21" customHeight="1" x14ac:dyDescent="0.2">
      <c r="A5" s="647" t="s">
        <v>108</v>
      </c>
      <c r="B5" s="647"/>
      <c r="C5" s="647"/>
      <c r="D5" s="647"/>
      <c r="E5" s="647"/>
      <c r="F5" s="647"/>
      <c r="G5" s="647"/>
      <c r="H5" s="647"/>
      <c r="I5" s="647"/>
      <c r="J5" s="647"/>
      <c r="K5" s="647"/>
      <c r="L5" s="647"/>
      <c r="M5" s="647"/>
      <c r="N5" s="647"/>
      <c r="O5" s="647"/>
      <c r="P5" s="647"/>
      <c r="Q5" s="647"/>
      <c r="R5" s="647"/>
      <c r="S5" s="647"/>
      <c r="T5" s="647"/>
      <c r="U5" s="647"/>
      <c r="V5" s="647"/>
      <c r="W5" s="647"/>
      <c r="X5" s="647"/>
      <c r="Y5" s="647"/>
      <c r="Z5" s="647"/>
      <c r="AA5" s="647"/>
      <c r="AB5" s="647"/>
      <c r="AC5" s="647"/>
      <c r="AD5" s="647"/>
      <c r="AE5" s="647"/>
      <c r="AF5" s="647"/>
      <c r="AG5" s="647"/>
      <c r="AH5" s="647"/>
      <c r="AI5" s="647"/>
      <c r="AJ5" s="647"/>
      <c r="AK5" s="647"/>
      <c r="AL5" s="647"/>
      <c r="AM5" s="647"/>
      <c r="AN5" s="647"/>
      <c r="AO5" s="97"/>
      <c r="AP5" s="97"/>
      <c r="AQ5" s="97"/>
    </row>
    <row r="6" spans="1:57" ht="30.75" customHeight="1" x14ac:dyDescent="0.3">
      <c r="A6" s="90" t="s">
        <v>109</v>
      </c>
      <c r="B6" s="90"/>
      <c r="C6" s="208"/>
      <c r="D6" s="91"/>
      <c r="E6" s="91"/>
      <c r="F6" s="92"/>
      <c r="G6" s="91"/>
      <c r="H6" s="91"/>
      <c r="I6" s="91"/>
      <c r="J6" s="91"/>
      <c r="K6" s="91"/>
      <c r="L6" s="90"/>
      <c r="M6" s="91"/>
      <c r="N6" s="91"/>
      <c r="O6" s="91"/>
      <c r="P6" s="91"/>
      <c r="Q6" s="91"/>
      <c r="R6" s="91"/>
      <c r="S6" s="93"/>
      <c r="T6" s="94"/>
      <c r="U6" s="93"/>
      <c r="AO6" s="1"/>
    </row>
    <row r="7" spans="1:57" ht="30.75" customHeight="1" thickBot="1" x14ac:dyDescent="0.3">
      <c r="A7" s="644" t="s">
        <v>341</v>
      </c>
      <c r="B7" s="644"/>
      <c r="C7" s="644"/>
      <c r="D7" s="644"/>
      <c r="E7" s="644"/>
      <c r="F7" s="644"/>
      <c r="G7" s="644"/>
      <c r="H7" s="644"/>
      <c r="I7" s="644"/>
      <c r="J7" s="644"/>
      <c r="K7" s="644"/>
      <c r="L7" s="644"/>
      <c r="M7" s="644"/>
      <c r="N7" s="644"/>
      <c r="O7" s="644"/>
      <c r="P7" s="644"/>
      <c r="Q7" s="644"/>
      <c r="R7" s="644"/>
      <c r="S7" s="644"/>
      <c r="T7" s="644"/>
      <c r="U7" s="93"/>
      <c r="AO7" s="1"/>
    </row>
    <row r="8" spans="1:57" s="3" customFormat="1" ht="30.75" customHeight="1" x14ac:dyDescent="0.2">
      <c r="A8" s="125" t="s">
        <v>7</v>
      </c>
      <c r="B8" s="126" t="s">
        <v>100</v>
      </c>
      <c r="C8" s="189" t="s">
        <v>0</v>
      </c>
      <c r="D8" s="126" t="s">
        <v>6</v>
      </c>
      <c r="E8" s="127" t="s">
        <v>101</v>
      </c>
      <c r="F8" s="127" t="s">
        <v>8</v>
      </c>
      <c r="G8" s="127" t="s">
        <v>9</v>
      </c>
      <c r="H8" s="189" t="s">
        <v>28</v>
      </c>
      <c r="I8" s="189" t="s">
        <v>25</v>
      </c>
      <c r="J8" s="189" t="s">
        <v>41</v>
      </c>
      <c r="K8" s="189" t="s">
        <v>40</v>
      </c>
      <c r="L8" s="189" t="s">
        <v>39</v>
      </c>
      <c r="M8" s="189" t="s">
        <v>42</v>
      </c>
      <c r="N8" s="190" t="s">
        <v>133</v>
      </c>
      <c r="O8" s="190" t="s">
        <v>1</v>
      </c>
      <c r="P8" s="189" t="s">
        <v>29</v>
      </c>
      <c r="Q8" s="189" t="s">
        <v>23</v>
      </c>
      <c r="R8" s="189" t="s">
        <v>24</v>
      </c>
      <c r="S8" s="189" t="s">
        <v>2</v>
      </c>
      <c r="T8" s="189" t="s">
        <v>12</v>
      </c>
      <c r="U8" s="189" t="s">
        <v>13</v>
      </c>
      <c r="V8" s="189" t="s">
        <v>14</v>
      </c>
      <c r="W8" s="189" t="s">
        <v>3</v>
      </c>
      <c r="X8" s="189" t="s">
        <v>27</v>
      </c>
      <c r="Y8" s="189" t="s">
        <v>22</v>
      </c>
      <c r="Z8" s="191" t="s">
        <v>15</v>
      </c>
      <c r="AA8" s="189" t="s">
        <v>21</v>
      </c>
      <c r="AB8" s="189" t="s">
        <v>32</v>
      </c>
      <c r="AC8" s="189" t="s">
        <v>20</v>
      </c>
      <c r="AD8" s="191" t="s">
        <v>26</v>
      </c>
      <c r="AE8" s="191" t="s">
        <v>19</v>
      </c>
      <c r="AF8" s="191" t="s">
        <v>18</v>
      </c>
      <c r="AG8" s="191" t="s">
        <v>17</v>
      </c>
      <c r="AH8" s="191" t="s">
        <v>16</v>
      </c>
      <c r="AI8" s="191" t="s">
        <v>30</v>
      </c>
      <c r="AJ8" s="191" t="s">
        <v>5</v>
      </c>
      <c r="AK8" s="191" t="s">
        <v>31</v>
      </c>
      <c r="AL8" s="191" t="s">
        <v>4</v>
      </c>
      <c r="AM8" s="190" t="s">
        <v>10</v>
      </c>
      <c r="AN8" s="192" t="s">
        <v>110</v>
      </c>
      <c r="AO8" s="124" t="s">
        <v>34</v>
      </c>
      <c r="AP8" s="6" t="s">
        <v>35</v>
      </c>
      <c r="AQ8" s="6" t="s">
        <v>36</v>
      </c>
      <c r="AR8" s="7" t="s">
        <v>11</v>
      </c>
      <c r="AS8" s="6" t="s">
        <v>34</v>
      </c>
      <c r="AT8" s="6" t="s">
        <v>35</v>
      </c>
      <c r="AU8" s="8" t="s">
        <v>1</v>
      </c>
      <c r="AV8" s="7"/>
      <c r="AW8" s="7" t="s">
        <v>43</v>
      </c>
      <c r="AX8" s="3" t="s">
        <v>44</v>
      </c>
      <c r="AY8" s="7" t="s">
        <v>38</v>
      </c>
      <c r="AZ8" s="7" t="s">
        <v>45</v>
      </c>
      <c r="BA8" s="7" t="s">
        <v>46</v>
      </c>
      <c r="BB8" s="7" t="s">
        <v>47</v>
      </c>
      <c r="BC8" s="8" t="s">
        <v>48</v>
      </c>
      <c r="BD8" s="3" t="s">
        <v>104</v>
      </c>
    </row>
    <row r="9" spans="1:57" s="3" customFormat="1" ht="26.25" customHeight="1" x14ac:dyDescent="0.2">
      <c r="A9" s="310"/>
      <c r="B9" s="311"/>
      <c r="C9" s="317" t="s">
        <v>220</v>
      </c>
      <c r="D9" s="311"/>
      <c r="E9" s="313"/>
      <c r="F9" s="313"/>
      <c r="G9" s="313"/>
      <c r="H9" s="312"/>
      <c r="I9" s="312"/>
      <c r="J9" s="312"/>
      <c r="K9" s="312"/>
      <c r="L9" s="312"/>
      <c r="M9" s="312"/>
      <c r="N9" s="314"/>
      <c r="O9" s="314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5"/>
      <c r="AA9" s="312"/>
      <c r="AB9" s="312"/>
      <c r="AC9" s="312"/>
      <c r="AD9" s="315"/>
      <c r="AE9" s="315"/>
      <c r="AF9" s="315"/>
      <c r="AG9" s="315"/>
      <c r="AH9" s="315"/>
      <c r="AI9" s="315"/>
      <c r="AJ9" s="315"/>
      <c r="AK9" s="315"/>
      <c r="AL9" s="315"/>
      <c r="AM9" s="314"/>
      <c r="AN9" s="316"/>
      <c r="AO9" s="124"/>
      <c r="AP9" s="6"/>
      <c r="AQ9" s="6"/>
      <c r="AR9" s="7"/>
      <c r="AS9" s="8"/>
      <c r="AT9" s="8"/>
      <c r="AU9" s="8"/>
      <c r="AV9" s="7"/>
      <c r="AW9" s="7"/>
      <c r="AY9" s="7"/>
      <c r="AZ9" s="7"/>
      <c r="BA9" s="7"/>
      <c r="BB9" s="7"/>
      <c r="BC9" s="8"/>
    </row>
    <row r="10" spans="1:57" s="207" customFormat="1" ht="26.25" customHeight="1" x14ac:dyDescent="0.25">
      <c r="A10" s="309" t="s">
        <v>188</v>
      </c>
      <c r="B10" s="200"/>
      <c r="C10" s="232" t="s">
        <v>295</v>
      </c>
      <c r="D10" s="193">
        <v>15</v>
      </c>
      <c r="E10" s="321">
        <v>36619</v>
      </c>
      <c r="F10" s="321">
        <f>IF(H10&gt;0,100,0)</f>
        <v>100</v>
      </c>
      <c r="G10" s="321">
        <f>+ROUND(H10*12%,2)</f>
        <v>4394.28</v>
      </c>
      <c r="H10" s="234">
        <f>ROUND(IF(AX10&gt;22,0,IF(AX10=22,E10,IF(AX10&lt;22,E10*(AX10/AZ10),IF(OR(AX10=0,AX10=" ")=TRUE,0)))),2)</f>
        <v>36619</v>
      </c>
      <c r="I10" s="234">
        <f t="shared" ref="I10:I19" si="0">ROUND(IF(AND(H10&gt;0,AX10=22)=TRUE,2000,IF(AND(H10&gt;0,AX10&lt;22,AX10&gt;0)=TRUE,2000*(AX10/AZ10),IF(AX10&lt;0,0,0))),2)</f>
        <v>2000</v>
      </c>
      <c r="J10" s="234">
        <f t="shared" ref="J10:J19" si="1">IF(H10&gt;0,BC10-BB10,0)</f>
        <v>1100</v>
      </c>
      <c r="K10" s="234">
        <f t="shared" ref="K10:K19" si="2">IF(AND(H10&gt;0,AX10&gt;11)=TRUE,150,0)</f>
        <v>150</v>
      </c>
      <c r="L10" s="234">
        <f t="shared" ref="L10:L19" si="3">ROUND(IF(AND($H10&gt;0,AX10&gt;11)=TRUE,$AW10*$E10,0),2)</f>
        <v>9154.75</v>
      </c>
      <c r="M10" s="234">
        <f>ROUND(SUM(H10:L10),2)</f>
        <v>49023.75</v>
      </c>
      <c r="N10" s="234">
        <v>10676.63</v>
      </c>
      <c r="O10" s="234">
        <f>E10*0.04/2</f>
        <v>732.38</v>
      </c>
      <c r="P10" s="233">
        <f>ROUND($H10*9%,2)</f>
        <v>3295.71</v>
      </c>
      <c r="Q10" s="233"/>
      <c r="R10" s="233"/>
      <c r="S10" s="233"/>
      <c r="T10" s="233"/>
      <c r="U10" s="233"/>
      <c r="V10" s="233"/>
      <c r="W10" s="233"/>
      <c r="X10" s="233"/>
      <c r="Y10" s="233"/>
      <c r="Z10" s="233">
        <f>ROUND(IF(H10&gt;0,100,0),2)</f>
        <v>100</v>
      </c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>
        <f>SUM(N10:AK10)</f>
        <v>14804.719999999998</v>
      </c>
      <c r="AM10" s="235">
        <f>ROUND(M10-AL10,2)</f>
        <v>34219.03</v>
      </c>
      <c r="AN10" s="325"/>
      <c r="AO10" s="236"/>
      <c r="AP10" s="237"/>
      <c r="AQ10" s="238">
        <f t="shared" ref="AQ10:AQ19" si="4">SUM(AO10:AP10)</f>
        <v>0</v>
      </c>
      <c r="AR10" s="239">
        <f t="shared" ref="AR10:AR19" si="5">+AM10-AQ10</f>
        <v>34219.03</v>
      </c>
      <c r="AS10" s="239"/>
      <c r="AT10" s="239"/>
      <c r="AU10" s="239">
        <f t="shared" ref="AU10:AU19" si="6">IF(E10=0,0,IF(E10&lt;=10000,137.5,IF(AND(E10&gt;10000,E10&lt;40000)=TRUE,E10*2.75%*50%,IF(E10&gt;=40000,550,0))))</f>
        <v>503.51125000000002</v>
      </c>
      <c r="AV10" s="205"/>
      <c r="AW10" s="205" t="str">
        <f>IF(AND($D10&gt;=1,$D10&lt;=19)=TRUE,"25%",IF($D10=20,"15%",IF($D10=21,"13%",IF($D10=22,"12%",IF($D10=23,"11%",IF(OR($D10=24,$D10=25)=TRUE,"10%",IF($D10=26,"9%",IF($D10=27,"8%",IF($D10=28,"7%",IF(OR($D10=29,$D10=30)=TRUE,"6%",IF($D10=31,"5%","0%")))))))))))</f>
        <v>25%</v>
      </c>
      <c r="AX10" s="205">
        <v>22</v>
      </c>
      <c r="AY10" s="239">
        <v>150</v>
      </c>
      <c r="AZ10" s="205">
        <v>22</v>
      </c>
      <c r="BA10" s="239">
        <v>50</v>
      </c>
      <c r="BB10" s="239">
        <f>IF(AX10&gt;0,(AZ10-AX10+BD10)*BA10,0)</f>
        <v>0</v>
      </c>
      <c r="BC10" s="239">
        <f>IF(AX10&gt;0,1100,0)</f>
        <v>1100</v>
      </c>
      <c r="BD10" s="205"/>
      <c r="BE10" s="206"/>
    </row>
    <row r="11" spans="1:57" s="207" customFormat="1" ht="26.25" customHeight="1" x14ac:dyDescent="0.25">
      <c r="A11" s="309">
        <v>2</v>
      </c>
      <c r="B11" s="200"/>
      <c r="C11" s="232" t="s">
        <v>296</v>
      </c>
      <c r="D11" s="193">
        <v>15</v>
      </c>
      <c r="E11" s="321">
        <v>36619</v>
      </c>
      <c r="F11" s="321">
        <f t="shared" ref="F11:F19" si="7">IF(H11&gt;0,100,0)</f>
        <v>100</v>
      </c>
      <c r="G11" s="321">
        <f t="shared" ref="G11:G19" si="8">+ROUND(H11*12%,2)</f>
        <v>4394.28</v>
      </c>
      <c r="H11" s="234">
        <f t="shared" ref="H11:H19" si="9">ROUND(IF(AX11&gt;22,0,IF(AX11=22,E11,IF(AX11&lt;22,E11*(AX11/AZ11),IF(OR(AX11=0,AX11=" ")=TRUE,0)))),2)</f>
        <v>36619</v>
      </c>
      <c r="I11" s="234">
        <f t="shared" si="0"/>
        <v>2000</v>
      </c>
      <c r="J11" s="234">
        <f t="shared" si="1"/>
        <v>1050</v>
      </c>
      <c r="K11" s="234">
        <f>IF(AND(H11&gt;0,AX11&gt;11)=TRUE,150,0)</f>
        <v>150</v>
      </c>
      <c r="L11" s="234">
        <f t="shared" si="3"/>
        <v>9154.75</v>
      </c>
      <c r="M11" s="234">
        <f t="shared" ref="M11:M19" si="10">ROUND(SUM(H11:L11),2)</f>
        <v>48973.75</v>
      </c>
      <c r="N11" s="319">
        <v>10376.629999999999</v>
      </c>
      <c r="O11" s="234">
        <f t="shared" ref="O11:O12" si="11">E11*0.04/2</f>
        <v>732.38</v>
      </c>
      <c r="P11" s="233">
        <f t="shared" ref="P11:P22" si="12">ROUND($H11*9%,2)</f>
        <v>3295.71</v>
      </c>
      <c r="Q11" s="233"/>
      <c r="R11" s="233"/>
      <c r="S11" s="233"/>
      <c r="T11" s="233"/>
      <c r="U11" s="233"/>
      <c r="V11" s="233"/>
      <c r="W11" s="233"/>
      <c r="X11" s="233"/>
      <c r="Y11" s="233"/>
      <c r="Z11" s="233">
        <f t="shared" ref="Z11:Z19" si="13">ROUND(IF(H11&gt;0,100,0),2)</f>
        <v>100</v>
      </c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>
        <f t="shared" ref="AL11:AL19" si="14">SUM(N11:AK11)</f>
        <v>14504.719999999998</v>
      </c>
      <c r="AM11" s="235">
        <f t="shared" ref="AM11:AM19" si="15">ROUND(M11-AL11,2)</f>
        <v>34469.03</v>
      </c>
      <c r="AN11" s="325" t="s">
        <v>362</v>
      </c>
      <c r="AO11" s="236"/>
      <c r="AP11" s="237"/>
      <c r="AQ11" s="238">
        <f t="shared" si="4"/>
        <v>0</v>
      </c>
      <c r="AR11" s="239">
        <f t="shared" si="5"/>
        <v>34469.03</v>
      </c>
      <c r="AS11" s="239"/>
      <c r="AT11" s="239"/>
      <c r="AU11" s="239">
        <f t="shared" si="6"/>
        <v>503.51125000000002</v>
      </c>
      <c r="AV11" s="205"/>
      <c r="AW11" s="205" t="str">
        <f t="shared" ref="AW11:AW22" si="16">IF(AND($D11&gt;=1,$D11&lt;=19)=TRUE,"25%",IF($D11=20,"15%",IF($D11=21,"13%",IF($D11=22,"12%",IF($D11=23,"11%",IF(OR($D11=24,$D11=25)=TRUE,"10%",IF($D11=26,"9%",IF($D11=27,"8%",IF($D11=28,"7%",IF(OR($D11=29,$D11=30)=TRUE,"6%",IF($D11=31,"5%","0%")))))))))))</f>
        <v>25%</v>
      </c>
      <c r="AX11" s="205">
        <v>22</v>
      </c>
      <c r="AY11" s="239">
        <v>150</v>
      </c>
      <c r="AZ11" s="205">
        <v>22</v>
      </c>
      <c r="BA11" s="239">
        <v>50</v>
      </c>
      <c r="BB11" s="239">
        <f t="shared" ref="BB11:BB19" si="17">IF(AX11&gt;0,(AZ11-AX11+BD11)*BA11,0)</f>
        <v>50</v>
      </c>
      <c r="BC11" s="239">
        <f t="shared" ref="BC11:BC19" si="18">IF(AX11&gt;0,1100,0)</f>
        <v>1100</v>
      </c>
      <c r="BD11" s="205">
        <v>1</v>
      </c>
    </row>
    <row r="12" spans="1:57" s="207" customFormat="1" ht="26.25" customHeight="1" x14ac:dyDescent="0.25">
      <c r="A12" s="309">
        <v>3</v>
      </c>
      <c r="B12" s="200"/>
      <c r="C12" s="232" t="s">
        <v>297</v>
      </c>
      <c r="D12" s="193">
        <v>15</v>
      </c>
      <c r="E12" s="321">
        <v>36619</v>
      </c>
      <c r="F12" s="321">
        <f t="shared" si="7"/>
        <v>100</v>
      </c>
      <c r="G12" s="321">
        <f t="shared" si="8"/>
        <v>4394.28</v>
      </c>
      <c r="H12" s="234">
        <f t="shared" si="9"/>
        <v>36619</v>
      </c>
      <c r="I12" s="234">
        <f t="shared" si="0"/>
        <v>2000</v>
      </c>
      <c r="J12" s="234">
        <f t="shared" si="1"/>
        <v>1000</v>
      </c>
      <c r="K12" s="234">
        <f t="shared" si="2"/>
        <v>150</v>
      </c>
      <c r="L12" s="234">
        <f t="shared" si="3"/>
        <v>9154.75</v>
      </c>
      <c r="M12" s="234">
        <f t="shared" ref="M12" si="19">ROUND(SUM(H12:L12),2)</f>
        <v>48923.75</v>
      </c>
      <c r="N12" s="319">
        <v>10376.629999999999</v>
      </c>
      <c r="O12" s="234">
        <f t="shared" si="11"/>
        <v>732.38</v>
      </c>
      <c r="P12" s="233">
        <f t="shared" si="12"/>
        <v>3295.71</v>
      </c>
      <c r="Q12" s="233"/>
      <c r="R12" s="233"/>
      <c r="S12" s="233"/>
      <c r="T12" s="233"/>
      <c r="U12" s="233"/>
      <c r="V12" s="233"/>
      <c r="W12" s="233"/>
      <c r="X12" s="233"/>
      <c r="Y12" s="233"/>
      <c r="Z12" s="233">
        <f t="shared" si="13"/>
        <v>100</v>
      </c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>
        <f t="shared" si="14"/>
        <v>14504.719999999998</v>
      </c>
      <c r="AM12" s="235">
        <f t="shared" si="15"/>
        <v>34419.03</v>
      </c>
      <c r="AN12" s="325" t="s">
        <v>363</v>
      </c>
      <c r="AO12" s="236"/>
      <c r="AP12" s="237"/>
      <c r="AQ12" s="238">
        <f t="shared" si="4"/>
        <v>0</v>
      </c>
      <c r="AR12" s="239">
        <f t="shared" si="5"/>
        <v>34419.03</v>
      </c>
      <c r="AS12" s="239"/>
      <c r="AT12" s="239"/>
      <c r="AU12" s="239">
        <f t="shared" si="6"/>
        <v>503.51125000000002</v>
      </c>
      <c r="AV12" s="205"/>
      <c r="AW12" s="205" t="str">
        <f t="shared" si="16"/>
        <v>25%</v>
      </c>
      <c r="AX12" s="205">
        <v>22</v>
      </c>
      <c r="AY12" s="239">
        <v>150</v>
      </c>
      <c r="AZ12" s="205">
        <v>22</v>
      </c>
      <c r="BA12" s="239">
        <v>50</v>
      </c>
      <c r="BB12" s="239">
        <f t="shared" si="17"/>
        <v>100</v>
      </c>
      <c r="BC12" s="239">
        <f t="shared" si="18"/>
        <v>1100</v>
      </c>
      <c r="BD12" s="205">
        <v>2</v>
      </c>
    </row>
    <row r="13" spans="1:57" s="717" customFormat="1" ht="26.25" customHeight="1" x14ac:dyDescent="0.25">
      <c r="A13" s="309"/>
      <c r="B13" s="714"/>
      <c r="C13" s="715" t="s">
        <v>342</v>
      </c>
      <c r="D13" s="716"/>
      <c r="E13" s="697">
        <f>ROUND(SUM(E10:E12),2)</f>
        <v>109857</v>
      </c>
      <c r="F13" s="697">
        <f t="shared" ref="F13:BD13" si="20">ROUND(SUM(F10:F12),2)</f>
        <v>300</v>
      </c>
      <c r="G13" s="697">
        <f t="shared" si="20"/>
        <v>13182.84</v>
      </c>
      <c r="H13" s="697">
        <f t="shared" si="20"/>
        <v>109857</v>
      </c>
      <c r="I13" s="697">
        <f t="shared" si="20"/>
        <v>6000</v>
      </c>
      <c r="J13" s="697">
        <f t="shared" si="20"/>
        <v>3150</v>
      </c>
      <c r="K13" s="697">
        <f t="shared" si="20"/>
        <v>450</v>
      </c>
      <c r="L13" s="697">
        <f t="shared" si="20"/>
        <v>27464.25</v>
      </c>
      <c r="M13" s="697">
        <f>ROUND(SUM(M10:M12),2)</f>
        <v>146921.25</v>
      </c>
      <c r="N13" s="697">
        <f t="shared" si="20"/>
        <v>31429.89</v>
      </c>
      <c r="O13" s="697">
        <f t="shared" si="20"/>
        <v>2197.14</v>
      </c>
      <c r="P13" s="697">
        <f t="shared" si="20"/>
        <v>9887.1299999999992</v>
      </c>
      <c r="Q13" s="697">
        <f t="shared" si="20"/>
        <v>0</v>
      </c>
      <c r="R13" s="697">
        <f t="shared" si="20"/>
        <v>0</v>
      </c>
      <c r="S13" s="697">
        <f t="shared" si="20"/>
        <v>0</v>
      </c>
      <c r="T13" s="697">
        <f t="shared" si="20"/>
        <v>0</v>
      </c>
      <c r="U13" s="697">
        <f t="shared" si="20"/>
        <v>0</v>
      </c>
      <c r="V13" s="697">
        <f t="shared" si="20"/>
        <v>0</v>
      </c>
      <c r="W13" s="697">
        <f t="shared" si="20"/>
        <v>0</v>
      </c>
      <c r="X13" s="697">
        <f t="shared" si="20"/>
        <v>0</v>
      </c>
      <c r="Y13" s="697">
        <f t="shared" si="20"/>
        <v>0</v>
      </c>
      <c r="Z13" s="697">
        <f t="shared" si="20"/>
        <v>300</v>
      </c>
      <c r="AA13" s="697">
        <f t="shared" si="20"/>
        <v>0</v>
      </c>
      <c r="AB13" s="697">
        <f t="shared" si="20"/>
        <v>0</v>
      </c>
      <c r="AC13" s="697">
        <f t="shared" si="20"/>
        <v>0</v>
      </c>
      <c r="AD13" s="697">
        <f t="shared" si="20"/>
        <v>0</v>
      </c>
      <c r="AE13" s="697">
        <f t="shared" si="20"/>
        <v>0</v>
      </c>
      <c r="AF13" s="697">
        <f t="shared" si="20"/>
        <v>0</v>
      </c>
      <c r="AG13" s="697">
        <f t="shared" si="20"/>
        <v>0</v>
      </c>
      <c r="AH13" s="697">
        <f t="shared" si="20"/>
        <v>0</v>
      </c>
      <c r="AI13" s="697">
        <f t="shared" si="20"/>
        <v>0</v>
      </c>
      <c r="AJ13" s="697">
        <f t="shared" si="20"/>
        <v>0</v>
      </c>
      <c r="AK13" s="697">
        <f t="shared" si="20"/>
        <v>0</v>
      </c>
      <c r="AL13" s="697">
        <f t="shared" si="20"/>
        <v>43814.16</v>
      </c>
      <c r="AM13" s="697">
        <f>ROUND(SUM(AM10:AM12),2)</f>
        <v>103107.09</v>
      </c>
      <c r="AN13" s="697">
        <f t="shared" si="20"/>
        <v>0</v>
      </c>
      <c r="AO13" s="697">
        <f t="shared" si="20"/>
        <v>0</v>
      </c>
      <c r="AP13" s="697">
        <f t="shared" si="20"/>
        <v>0</v>
      </c>
      <c r="AQ13" s="697">
        <f t="shared" si="20"/>
        <v>0</v>
      </c>
      <c r="AR13" s="697">
        <f t="shared" si="20"/>
        <v>103107.09</v>
      </c>
      <c r="AS13" s="697">
        <f t="shared" si="20"/>
        <v>0</v>
      </c>
      <c r="AT13" s="697">
        <f t="shared" si="20"/>
        <v>0</v>
      </c>
      <c r="AU13" s="697">
        <f t="shared" si="20"/>
        <v>1510.53</v>
      </c>
      <c r="AV13" s="697">
        <f t="shared" si="20"/>
        <v>0</v>
      </c>
      <c r="AW13" s="697">
        <f t="shared" si="20"/>
        <v>0</v>
      </c>
      <c r="AX13" s="697">
        <f t="shared" si="20"/>
        <v>66</v>
      </c>
      <c r="AY13" s="697">
        <f t="shared" si="20"/>
        <v>450</v>
      </c>
      <c r="AZ13" s="697">
        <f t="shared" si="20"/>
        <v>66</v>
      </c>
      <c r="BA13" s="697">
        <f t="shared" si="20"/>
        <v>150</v>
      </c>
      <c r="BB13" s="697">
        <f t="shared" si="20"/>
        <v>150</v>
      </c>
      <c r="BC13" s="697">
        <f t="shared" si="20"/>
        <v>3300</v>
      </c>
      <c r="BD13" s="697">
        <f t="shared" si="20"/>
        <v>3</v>
      </c>
    </row>
    <row r="14" spans="1:57" s="207" customFormat="1" ht="26.25" customHeight="1" x14ac:dyDescent="0.25">
      <c r="A14" s="309"/>
      <c r="B14" s="200"/>
      <c r="C14" s="318" t="s">
        <v>221</v>
      </c>
      <c r="D14" s="193"/>
      <c r="E14" s="321"/>
      <c r="F14" s="321"/>
      <c r="G14" s="321"/>
      <c r="H14" s="234"/>
      <c r="I14" s="234"/>
      <c r="J14" s="234"/>
      <c r="K14" s="234"/>
      <c r="L14" s="234"/>
      <c r="M14" s="234"/>
      <c r="N14" s="234"/>
      <c r="O14" s="234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5"/>
      <c r="AN14" s="336"/>
      <c r="AO14" s="236"/>
      <c r="AP14" s="237"/>
      <c r="AQ14" s="238"/>
      <c r="AR14" s="239"/>
      <c r="AS14" s="239"/>
      <c r="AT14" s="239"/>
      <c r="AU14" s="239"/>
      <c r="AV14" s="205"/>
      <c r="AW14" s="205"/>
      <c r="AX14" s="205"/>
      <c r="AY14" s="239"/>
      <c r="AZ14" s="205"/>
      <c r="BA14" s="239"/>
      <c r="BB14" s="239"/>
      <c r="BC14" s="239"/>
      <c r="BD14" s="205"/>
    </row>
    <row r="15" spans="1:57" s="207" customFormat="1" ht="26.25" customHeight="1" x14ac:dyDescent="0.25">
      <c r="A15" s="309">
        <v>4</v>
      </c>
      <c r="B15" s="200"/>
      <c r="C15" s="240" t="s">
        <v>298</v>
      </c>
      <c r="D15" s="193">
        <v>15</v>
      </c>
      <c r="E15" s="321">
        <v>36619</v>
      </c>
      <c r="F15" s="321">
        <f t="shared" si="7"/>
        <v>100</v>
      </c>
      <c r="G15" s="321">
        <f t="shared" si="8"/>
        <v>4394.28</v>
      </c>
      <c r="H15" s="234">
        <f t="shared" si="9"/>
        <v>36619</v>
      </c>
      <c r="I15" s="234">
        <f t="shared" si="0"/>
        <v>2000</v>
      </c>
      <c r="J15" s="234">
        <f t="shared" si="1"/>
        <v>1100</v>
      </c>
      <c r="K15" s="234">
        <f t="shared" si="2"/>
        <v>150</v>
      </c>
      <c r="L15" s="234">
        <f t="shared" si="3"/>
        <v>9154.75</v>
      </c>
      <c r="M15" s="234">
        <f t="shared" si="10"/>
        <v>49023.75</v>
      </c>
      <c r="N15" s="319">
        <v>10201.629999999999</v>
      </c>
      <c r="O15" s="234">
        <f>E15*0.04/2</f>
        <v>732.38</v>
      </c>
      <c r="P15" s="233">
        <f t="shared" si="12"/>
        <v>3295.71</v>
      </c>
      <c r="Q15" s="233"/>
      <c r="R15" s="233"/>
      <c r="S15" s="233"/>
      <c r="T15" s="233"/>
      <c r="U15" s="233"/>
      <c r="V15" s="233"/>
      <c r="W15" s="233"/>
      <c r="X15" s="233"/>
      <c r="Y15" s="233"/>
      <c r="Z15" s="233">
        <f t="shared" si="13"/>
        <v>100</v>
      </c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>
        <f t="shared" si="14"/>
        <v>14329.719999999998</v>
      </c>
      <c r="AM15" s="235">
        <f t="shared" si="15"/>
        <v>34694.03</v>
      </c>
      <c r="AN15" s="325"/>
      <c r="AO15" s="236"/>
      <c r="AP15" s="237"/>
      <c r="AQ15" s="238">
        <f t="shared" si="4"/>
        <v>0</v>
      </c>
      <c r="AR15" s="239">
        <f t="shared" si="5"/>
        <v>34694.03</v>
      </c>
      <c r="AS15" s="239"/>
      <c r="AT15" s="239"/>
      <c r="AU15" s="239">
        <f t="shared" si="6"/>
        <v>503.51125000000002</v>
      </c>
      <c r="AV15" s="205"/>
      <c r="AW15" s="205" t="str">
        <f t="shared" si="16"/>
        <v>25%</v>
      </c>
      <c r="AX15" s="205">
        <v>22</v>
      </c>
      <c r="AY15" s="239">
        <v>150</v>
      </c>
      <c r="AZ15" s="205">
        <v>22</v>
      </c>
      <c r="BA15" s="239">
        <v>50</v>
      </c>
      <c r="BB15" s="239">
        <f t="shared" si="17"/>
        <v>0</v>
      </c>
      <c r="BC15" s="239">
        <f t="shared" si="18"/>
        <v>1100</v>
      </c>
      <c r="BD15" s="205"/>
    </row>
    <row r="16" spans="1:57" s="207" customFormat="1" ht="26.25" customHeight="1" x14ac:dyDescent="0.25">
      <c r="A16" s="309">
        <v>5</v>
      </c>
      <c r="B16" s="200"/>
      <c r="C16" s="240" t="s">
        <v>343</v>
      </c>
      <c r="D16" s="193">
        <v>15</v>
      </c>
      <c r="E16" s="321">
        <v>36619</v>
      </c>
      <c r="F16" s="321">
        <f t="shared" ref="F16" si="21">IF(H16&gt;0,100,0)</f>
        <v>100</v>
      </c>
      <c r="G16" s="321">
        <f t="shared" ref="G16" si="22">+ROUND(H16*12%,2)</f>
        <v>4394.28</v>
      </c>
      <c r="H16" s="234">
        <f t="shared" ref="H16" si="23">ROUND(IF(AX16&gt;22,0,IF(AX16=22,E16,IF(AX16&lt;22,E16*(AX16/AZ16),IF(OR(AX16=0,AX16=" ")=TRUE,0)))),2)</f>
        <v>36619</v>
      </c>
      <c r="I16" s="234">
        <f t="shared" ref="I16" si="24">ROUND(IF(AND(H16&gt;0,AX16=22)=TRUE,2000,IF(AND(H16&gt;0,AX16&lt;22,AX16&gt;0)=TRUE,2000*(AX16/AZ16),IF(AX16&lt;0,0,0))),2)</f>
        <v>2000</v>
      </c>
      <c r="J16" s="234">
        <f t="shared" ref="J16" si="25">IF(H16&gt;0,BC16-BB16,0)</f>
        <v>1100</v>
      </c>
      <c r="K16" s="234">
        <f t="shared" ref="K16" si="26">IF(AND(H16&gt;0,AX16&gt;11)=TRUE,150,0)</f>
        <v>150</v>
      </c>
      <c r="L16" s="234">
        <f t="shared" ref="L16" si="27">ROUND(IF(AND($H16&gt;0,AX16&gt;11)=TRUE,$AW16*$E16,0),2)</f>
        <v>9154.75</v>
      </c>
      <c r="M16" s="234">
        <f t="shared" ref="M16" si="28">ROUND(SUM(H16:L16),2)</f>
        <v>49023.75</v>
      </c>
      <c r="N16" s="319">
        <v>3516.01</v>
      </c>
      <c r="O16" s="234">
        <f>E16*0.04/2</f>
        <v>732.38</v>
      </c>
      <c r="P16" s="233">
        <f t="shared" si="12"/>
        <v>3295.71</v>
      </c>
      <c r="Q16" s="233"/>
      <c r="R16" s="233"/>
      <c r="S16" s="233"/>
      <c r="T16" s="233"/>
      <c r="U16" s="233"/>
      <c r="V16" s="233"/>
      <c r="W16" s="233"/>
      <c r="X16" s="233"/>
      <c r="Y16" s="233"/>
      <c r="Z16" s="233">
        <f t="shared" ref="Z16" si="29">ROUND(IF(H16&gt;0,100,0),2)</f>
        <v>100</v>
      </c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>
        <f t="shared" ref="AL16" si="30">SUM(N16:AK16)</f>
        <v>7644.1</v>
      </c>
      <c r="AM16" s="235">
        <f t="shared" ref="AM16" si="31">ROUND(M16-AL16,2)</f>
        <v>41379.65</v>
      </c>
      <c r="AN16" s="325"/>
      <c r="AO16" s="236"/>
      <c r="AP16" s="237"/>
      <c r="AQ16" s="238">
        <f t="shared" ref="AQ16" si="32">SUM(AO16:AP16)</f>
        <v>0</v>
      </c>
      <c r="AR16" s="239">
        <f t="shared" ref="AR16" si="33">+AM16-AQ16</f>
        <v>41379.65</v>
      </c>
      <c r="AS16" s="239"/>
      <c r="AT16" s="239"/>
      <c r="AU16" s="239">
        <f t="shared" ref="AU16" si="34">IF(E16=0,0,IF(E16&lt;=10000,137.5,IF(AND(E16&gt;10000,E16&lt;40000)=TRUE,E16*2.75%*50%,IF(E16&gt;=40000,550,0))))</f>
        <v>503.51125000000002</v>
      </c>
      <c r="AV16" s="205"/>
      <c r="AW16" s="205" t="str">
        <f t="shared" si="16"/>
        <v>25%</v>
      </c>
      <c r="AX16" s="205">
        <v>22</v>
      </c>
      <c r="AY16" s="239">
        <v>150</v>
      </c>
      <c r="AZ16" s="205">
        <v>22</v>
      </c>
      <c r="BA16" s="239">
        <v>50</v>
      </c>
      <c r="BB16" s="239">
        <f t="shared" ref="BB16" si="35">IF(AX16&gt;0,(AZ16-AX16+BD16)*BA16,0)</f>
        <v>0</v>
      </c>
      <c r="BC16" s="239">
        <f t="shared" ref="BC16" si="36">IF(AX16&gt;0,1100,0)</f>
        <v>1100</v>
      </c>
      <c r="BD16" s="205"/>
    </row>
    <row r="17" spans="1:58" s="717" customFormat="1" ht="26.25" customHeight="1" x14ac:dyDescent="0.25">
      <c r="A17" s="309"/>
      <c r="B17" s="714"/>
      <c r="C17" s="715" t="s">
        <v>342</v>
      </c>
      <c r="D17" s="716"/>
      <c r="E17" s="697">
        <f>ROUND(SUM(E15:E16),2)</f>
        <v>73238</v>
      </c>
      <c r="F17" s="697">
        <f t="shared" ref="F17:BD17" si="37">ROUND(SUM(F15:F16),2)</f>
        <v>200</v>
      </c>
      <c r="G17" s="697">
        <f t="shared" si="37"/>
        <v>8788.56</v>
      </c>
      <c r="H17" s="697">
        <f>ROUND(SUM(H15:H16),2)</f>
        <v>73238</v>
      </c>
      <c r="I17" s="697">
        <f t="shared" si="37"/>
        <v>4000</v>
      </c>
      <c r="J17" s="697">
        <f t="shared" si="37"/>
        <v>2200</v>
      </c>
      <c r="K17" s="697">
        <f t="shared" si="37"/>
        <v>300</v>
      </c>
      <c r="L17" s="697">
        <f t="shared" si="37"/>
        <v>18309.5</v>
      </c>
      <c r="M17" s="697">
        <f>ROUND(SUM(M15:M16),2)</f>
        <v>98047.5</v>
      </c>
      <c r="N17" s="697">
        <f t="shared" si="37"/>
        <v>13717.64</v>
      </c>
      <c r="O17" s="697">
        <f t="shared" si="37"/>
        <v>1464.76</v>
      </c>
      <c r="P17" s="697">
        <f t="shared" si="37"/>
        <v>6591.42</v>
      </c>
      <c r="Q17" s="697">
        <f t="shared" si="37"/>
        <v>0</v>
      </c>
      <c r="R17" s="697">
        <f t="shared" si="37"/>
        <v>0</v>
      </c>
      <c r="S17" s="697">
        <f t="shared" si="37"/>
        <v>0</v>
      </c>
      <c r="T17" s="697">
        <f t="shared" si="37"/>
        <v>0</v>
      </c>
      <c r="U17" s="697">
        <f t="shared" si="37"/>
        <v>0</v>
      </c>
      <c r="V17" s="697">
        <f t="shared" si="37"/>
        <v>0</v>
      </c>
      <c r="W17" s="697">
        <f t="shared" si="37"/>
        <v>0</v>
      </c>
      <c r="X17" s="697">
        <f t="shared" si="37"/>
        <v>0</v>
      </c>
      <c r="Y17" s="697">
        <f t="shared" si="37"/>
        <v>0</v>
      </c>
      <c r="Z17" s="697">
        <f t="shared" si="37"/>
        <v>200</v>
      </c>
      <c r="AA17" s="697">
        <f t="shared" si="37"/>
        <v>0</v>
      </c>
      <c r="AB17" s="697">
        <f t="shared" si="37"/>
        <v>0</v>
      </c>
      <c r="AC17" s="697">
        <f t="shared" si="37"/>
        <v>0</v>
      </c>
      <c r="AD17" s="697">
        <f t="shared" si="37"/>
        <v>0</v>
      </c>
      <c r="AE17" s="697">
        <f t="shared" si="37"/>
        <v>0</v>
      </c>
      <c r="AF17" s="697">
        <f t="shared" si="37"/>
        <v>0</v>
      </c>
      <c r="AG17" s="697">
        <f t="shared" si="37"/>
        <v>0</v>
      </c>
      <c r="AH17" s="697">
        <f t="shared" si="37"/>
        <v>0</v>
      </c>
      <c r="AI17" s="697">
        <f t="shared" si="37"/>
        <v>0</v>
      </c>
      <c r="AJ17" s="697">
        <f t="shared" si="37"/>
        <v>0</v>
      </c>
      <c r="AK17" s="697">
        <f t="shared" si="37"/>
        <v>0</v>
      </c>
      <c r="AL17" s="697">
        <f t="shared" si="37"/>
        <v>21973.82</v>
      </c>
      <c r="AM17" s="697">
        <f t="shared" si="37"/>
        <v>76073.679999999993</v>
      </c>
      <c r="AN17" s="697">
        <f t="shared" si="37"/>
        <v>0</v>
      </c>
      <c r="AO17" s="697">
        <f t="shared" si="37"/>
        <v>0</v>
      </c>
      <c r="AP17" s="697">
        <f t="shared" si="37"/>
        <v>0</v>
      </c>
      <c r="AQ17" s="697">
        <f t="shared" si="37"/>
        <v>0</v>
      </c>
      <c r="AR17" s="697">
        <f t="shared" si="37"/>
        <v>76073.679999999993</v>
      </c>
      <c r="AS17" s="697">
        <f t="shared" si="37"/>
        <v>0</v>
      </c>
      <c r="AT17" s="697">
        <f t="shared" si="37"/>
        <v>0</v>
      </c>
      <c r="AU17" s="697">
        <f t="shared" si="37"/>
        <v>1007.02</v>
      </c>
      <c r="AV17" s="697">
        <f t="shared" si="37"/>
        <v>0</v>
      </c>
      <c r="AW17" s="697">
        <f t="shared" si="37"/>
        <v>0</v>
      </c>
      <c r="AX17" s="697">
        <f t="shared" si="37"/>
        <v>44</v>
      </c>
      <c r="AY17" s="697">
        <f t="shared" si="37"/>
        <v>300</v>
      </c>
      <c r="AZ17" s="697">
        <f t="shared" si="37"/>
        <v>44</v>
      </c>
      <c r="BA17" s="697">
        <f t="shared" si="37"/>
        <v>100</v>
      </c>
      <c r="BB17" s="697">
        <f t="shared" si="37"/>
        <v>0</v>
      </c>
      <c r="BC17" s="697">
        <f t="shared" si="37"/>
        <v>2200</v>
      </c>
      <c r="BD17" s="697">
        <f t="shared" si="37"/>
        <v>0</v>
      </c>
    </row>
    <row r="18" spans="1:58" s="207" customFormat="1" ht="26.25" customHeight="1" x14ac:dyDescent="0.25">
      <c r="A18" s="309"/>
      <c r="B18" s="200"/>
      <c r="C18" s="318" t="s">
        <v>299</v>
      </c>
      <c r="D18" s="193"/>
      <c r="E18" s="321"/>
      <c r="F18" s="321"/>
      <c r="G18" s="321"/>
      <c r="H18" s="234"/>
      <c r="I18" s="234"/>
      <c r="J18" s="234"/>
      <c r="K18" s="234"/>
      <c r="L18" s="234"/>
      <c r="M18" s="234"/>
      <c r="N18" s="319"/>
      <c r="O18" s="234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5"/>
      <c r="AN18" s="325"/>
      <c r="AO18" s="236"/>
      <c r="AP18" s="237"/>
      <c r="AQ18" s="238"/>
      <c r="AR18" s="239"/>
      <c r="AS18" s="239"/>
      <c r="AT18" s="239"/>
      <c r="AU18" s="239"/>
      <c r="AV18" s="205"/>
      <c r="AW18" s="205"/>
      <c r="AX18" s="205"/>
      <c r="AY18" s="239"/>
      <c r="AZ18" s="205"/>
      <c r="BA18" s="239"/>
      <c r="BB18" s="239"/>
      <c r="BC18" s="239"/>
      <c r="BD18" s="205"/>
    </row>
    <row r="19" spans="1:58" s="207" customFormat="1" ht="26.25" customHeight="1" x14ac:dyDescent="0.25">
      <c r="A19" s="309">
        <v>6</v>
      </c>
      <c r="B19" s="200"/>
      <c r="C19" s="240" t="s">
        <v>300</v>
      </c>
      <c r="D19" s="193">
        <v>15</v>
      </c>
      <c r="E19" s="321">
        <v>36619</v>
      </c>
      <c r="F19" s="321">
        <f t="shared" si="7"/>
        <v>100</v>
      </c>
      <c r="G19" s="321">
        <f t="shared" si="8"/>
        <v>4394.28</v>
      </c>
      <c r="H19" s="234">
        <f t="shared" si="9"/>
        <v>36619</v>
      </c>
      <c r="I19" s="234">
        <f t="shared" si="0"/>
        <v>2000</v>
      </c>
      <c r="J19" s="234">
        <f t="shared" si="1"/>
        <v>1100</v>
      </c>
      <c r="K19" s="234">
        <f t="shared" si="2"/>
        <v>150</v>
      </c>
      <c r="L19" s="234">
        <f t="shared" si="3"/>
        <v>9154.75</v>
      </c>
      <c r="M19" s="234">
        <f t="shared" si="10"/>
        <v>49023.75</v>
      </c>
      <c r="N19" s="319">
        <v>8338.35</v>
      </c>
      <c r="O19" s="234">
        <f>E19*0.04/2</f>
        <v>732.38</v>
      </c>
      <c r="P19" s="233">
        <f t="shared" si="12"/>
        <v>3295.71</v>
      </c>
      <c r="Q19" s="233"/>
      <c r="R19" s="233"/>
      <c r="S19" s="233"/>
      <c r="T19" s="233"/>
      <c r="U19" s="233"/>
      <c r="V19" s="233"/>
      <c r="W19" s="233"/>
      <c r="X19" s="233"/>
      <c r="Y19" s="233"/>
      <c r="Z19" s="233">
        <f t="shared" si="13"/>
        <v>100</v>
      </c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>
        <f t="shared" si="14"/>
        <v>12466.439999999999</v>
      </c>
      <c r="AM19" s="235">
        <f t="shared" si="15"/>
        <v>36557.31</v>
      </c>
      <c r="AN19" s="325"/>
      <c r="AO19" s="236"/>
      <c r="AP19" s="237"/>
      <c r="AQ19" s="238">
        <f t="shared" si="4"/>
        <v>0</v>
      </c>
      <c r="AR19" s="239">
        <f t="shared" si="5"/>
        <v>36557.31</v>
      </c>
      <c r="AS19" s="239"/>
      <c r="AT19" s="239"/>
      <c r="AU19" s="239">
        <f t="shared" si="6"/>
        <v>503.51125000000002</v>
      </c>
      <c r="AV19" s="205"/>
      <c r="AW19" s="205" t="str">
        <f t="shared" si="16"/>
        <v>25%</v>
      </c>
      <c r="AX19" s="205">
        <v>22</v>
      </c>
      <c r="AY19" s="239">
        <v>150</v>
      </c>
      <c r="AZ19" s="205">
        <v>22</v>
      </c>
      <c r="BA19" s="239">
        <v>50</v>
      </c>
      <c r="BB19" s="239">
        <f t="shared" si="17"/>
        <v>0</v>
      </c>
      <c r="BC19" s="239">
        <f t="shared" si="18"/>
        <v>1100</v>
      </c>
      <c r="BD19" s="205"/>
    </row>
    <row r="20" spans="1:58" s="207" customFormat="1" ht="26.25" customHeight="1" x14ac:dyDescent="0.25">
      <c r="A20" s="309"/>
      <c r="B20" s="200"/>
      <c r="C20" s="318" t="s">
        <v>301</v>
      </c>
      <c r="D20" s="193"/>
      <c r="E20" s="321"/>
      <c r="F20" s="321"/>
      <c r="G20" s="321"/>
      <c r="H20" s="234"/>
      <c r="I20" s="234"/>
      <c r="J20" s="234"/>
      <c r="K20" s="234"/>
      <c r="L20" s="234"/>
      <c r="M20" s="234"/>
      <c r="N20" s="319"/>
      <c r="O20" s="234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5"/>
      <c r="AN20" s="325"/>
      <c r="AO20" s="236"/>
      <c r="AP20" s="237"/>
      <c r="AQ20" s="238"/>
      <c r="AR20" s="239"/>
      <c r="AS20" s="239"/>
      <c r="AT20" s="239"/>
      <c r="AU20" s="239"/>
      <c r="AV20" s="205"/>
      <c r="AW20" s="205"/>
      <c r="AX20" s="205"/>
      <c r="AY20" s="239"/>
      <c r="AZ20" s="205"/>
      <c r="BA20" s="239"/>
      <c r="BB20" s="239"/>
      <c r="BC20" s="239"/>
      <c r="BD20" s="205"/>
    </row>
    <row r="21" spans="1:58" s="207" customFormat="1" ht="26.25" customHeight="1" x14ac:dyDescent="0.25">
      <c r="A21" s="309">
        <v>7</v>
      </c>
      <c r="B21" s="200"/>
      <c r="C21" s="240" t="s">
        <v>302</v>
      </c>
      <c r="D21" s="193">
        <v>17</v>
      </c>
      <c r="E21" s="321">
        <v>43030</v>
      </c>
      <c r="F21" s="321">
        <f t="shared" ref="F21:F22" si="38">IF(H21&gt;0,100,0)</f>
        <v>100</v>
      </c>
      <c r="G21" s="321">
        <f t="shared" ref="G21:G22" si="39">+ROUND(H21*12%,2)</f>
        <v>5163.6000000000004</v>
      </c>
      <c r="H21" s="234">
        <f t="shared" ref="H21:H22" si="40">ROUND(IF(AX21&gt;22,0,IF(AX21=22,E21,IF(AX21&lt;22,E21*(AX21/AZ21),IF(OR(AX21=0,AX21=" ")=TRUE,0)))),2)</f>
        <v>43030</v>
      </c>
      <c r="I21" s="234">
        <f t="shared" ref="I21:I22" si="41">ROUND(IF(AND(H21&gt;0,AX21=22)=TRUE,2000,IF(AND(H21&gt;0,AX21&lt;22,AX21&gt;0)=TRUE,2000*(AX21/AZ21),IF(AX21&lt;0,0,0))),2)</f>
        <v>2000</v>
      </c>
      <c r="J21" s="234">
        <f t="shared" ref="J21:J22" si="42">IF(H21&gt;0,BC21-BB21,0)</f>
        <v>950</v>
      </c>
      <c r="K21" s="234">
        <f>IF(AND(H21&gt;0,AX21&gt;11)=TRUE,150,0)</f>
        <v>150</v>
      </c>
      <c r="L21" s="234">
        <f t="shared" ref="L21:L22" si="43">ROUND(IF(AND($H21&gt;0,AX21&gt;11)=TRUE,$AW21*$E21,0),2)</f>
        <v>10757.5</v>
      </c>
      <c r="M21" s="234">
        <f t="shared" ref="M21" si="44">ROUND(SUM(H21:L21),2)</f>
        <v>56887.5</v>
      </c>
      <c r="N21" s="319">
        <v>11009.67</v>
      </c>
      <c r="O21" s="234">
        <f t="shared" ref="O21" si="45">E21*0.04/2</f>
        <v>860.6</v>
      </c>
      <c r="P21" s="233">
        <f>ROUND($H21*9%,2)</f>
        <v>3872.7</v>
      </c>
      <c r="Q21" s="233"/>
      <c r="R21" s="233"/>
      <c r="S21" s="233"/>
      <c r="T21" s="233"/>
      <c r="U21" s="233"/>
      <c r="V21" s="233"/>
      <c r="W21" s="233"/>
      <c r="X21" s="233"/>
      <c r="Y21" s="233"/>
      <c r="Z21" s="233">
        <f t="shared" ref="Z21:Z22" si="46">ROUND(IF(H21&gt;0,100,0),2)</f>
        <v>100</v>
      </c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>
        <f t="shared" ref="AL21:AL22" si="47">SUM(N21:AK21)</f>
        <v>15842.970000000001</v>
      </c>
      <c r="AM21" s="235">
        <f t="shared" ref="AM21:AM22" si="48">ROUND(M21-AL21,2)</f>
        <v>41044.53</v>
      </c>
      <c r="AN21" s="325" t="s">
        <v>364</v>
      </c>
      <c r="AO21" s="236"/>
      <c r="AP21" s="237"/>
      <c r="AQ21" s="238">
        <f t="shared" ref="AQ21:AQ22" si="49">SUM(AO21:AP21)</f>
        <v>0</v>
      </c>
      <c r="AR21" s="239">
        <f t="shared" ref="AR21:AR22" si="50">+AM21-AQ21</f>
        <v>41044.53</v>
      </c>
      <c r="AS21" s="239"/>
      <c r="AT21" s="239"/>
      <c r="AU21" s="239">
        <f t="shared" ref="AU21:AU22" si="51">IF(E21=0,0,IF(E21&lt;=10000,137.5,IF(AND(E21&gt;10000,E21&lt;40000)=TRUE,E21*2.75%*50%,IF(E21&gt;=40000,550,0))))</f>
        <v>550</v>
      </c>
      <c r="AV21" s="205"/>
      <c r="AW21" s="205" t="str">
        <f t="shared" si="16"/>
        <v>25%</v>
      </c>
      <c r="AX21" s="205">
        <v>22</v>
      </c>
      <c r="AY21" s="239">
        <v>150</v>
      </c>
      <c r="AZ21" s="205">
        <v>22</v>
      </c>
      <c r="BA21" s="239">
        <v>50</v>
      </c>
      <c r="BB21" s="239">
        <f t="shared" ref="BB21:BB22" si="52">IF(AX21&gt;0,(AZ21-AX21+BD21)*BA21,0)</f>
        <v>150</v>
      </c>
      <c r="BC21" s="239">
        <f t="shared" ref="BC21:BC22" si="53">IF(AX21&gt;0,1100,0)</f>
        <v>1100</v>
      </c>
      <c r="BD21" s="205">
        <v>3</v>
      </c>
    </row>
    <row r="22" spans="1:58" s="207" customFormat="1" ht="26.25" customHeight="1" x14ac:dyDescent="0.25">
      <c r="A22" s="309">
        <v>8</v>
      </c>
      <c r="B22" s="200"/>
      <c r="C22" s="240" t="s">
        <v>303</v>
      </c>
      <c r="D22" s="193">
        <v>17</v>
      </c>
      <c r="E22" s="321">
        <v>43030</v>
      </c>
      <c r="F22" s="321">
        <f t="shared" si="38"/>
        <v>100</v>
      </c>
      <c r="G22" s="321">
        <f t="shared" si="39"/>
        <v>5163.6000000000004</v>
      </c>
      <c r="H22" s="234">
        <f t="shared" si="40"/>
        <v>43030</v>
      </c>
      <c r="I22" s="234">
        <f t="shared" si="41"/>
        <v>2000</v>
      </c>
      <c r="J22" s="234">
        <f t="shared" si="42"/>
        <v>1100</v>
      </c>
      <c r="K22" s="234">
        <f t="shared" ref="K22" si="54">IF(AND(H22&gt;0,AX22&gt;11)=TRUE,150,0)</f>
        <v>150</v>
      </c>
      <c r="L22" s="234">
        <f t="shared" si="43"/>
        <v>10757.5</v>
      </c>
      <c r="M22" s="234">
        <f t="shared" ref="M22" si="55">ROUND(SUM(H22:L22),2)</f>
        <v>57037.5</v>
      </c>
      <c r="N22" s="319">
        <v>10109.67</v>
      </c>
      <c r="O22" s="234">
        <f>E22*0.04/2</f>
        <v>860.6</v>
      </c>
      <c r="P22" s="233">
        <f t="shared" si="12"/>
        <v>3872.7</v>
      </c>
      <c r="Q22" s="233"/>
      <c r="R22" s="233"/>
      <c r="S22" s="233"/>
      <c r="T22" s="233"/>
      <c r="U22" s="233"/>
      <c r="V22" s="233"/>
      <c r="W22" s="233"/>
      <c r="X22" s="233"/>
      <c r="Y22" s="233"/>
      <c r="Z22" s="233">
        <f t="shared" si="46"/>
        <v>100</v>
      </c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>
        <f t="shared" si="47"/>
        <v>14942.970000000001</v>
      </c>
      <c r="AM22" s="235">
        <f t="shared" si="48"/>
        <v>42094.53</v>
      </c>
      <c r="AN22" s="325"/>
      <c r="AO22" s="236"/>
      <c r="AP22" s="237"/>
      <c r="AQ22" s="238">
        <f t="shared" si="49"/>
        <v>0</v>
      </c>
      <c r="AR22" s="239">
        <f t="shared" si="50"/>
        <v>42094.53</v>
      </c>
      <c r="AS22" s="239"/>
      <c r="AT22" s="239"/>
      <c r="AU22" s="239">
        <f t="shared" si="51"/>
        <v>550</v>
      </c>
      <c r="AV22" s="205"/>
      <c r="AW22" s="205" t="str">
        <f t="shared" si="16"/>
        <v>25%</v>
      </c>
      <c r="AX22" s="205">
        <v>22</v>
      </c>
      <c r="AY22" s="239">
        <v>150</v>
      </c>
      <c r="AZ22" s="205">
        <v>22</v>
      </c>
      <c r="BA22" s="239">
        <v>50</v>
      </c>
      <c r="BB22" s="239">
        <f t="shared" si="52"/>
        <v>0</v>
      </c>
      <c r="BC22" s="239">
        <f t="shared" si="53"/>
        <v>1100</v>
      </c>
      <c r="BD22" s="205"/>
    </row>
    <row r="23" spans="1:58" s="717" customFormat="1" ht="26.25" customHeight="1" x14ac:dyDescent="0.25">
      <c r="A23" s="309"/>
      <c r="B23" s="714"/>
      <c r="C23" s="715" t="s">
        <v>342</v>
      </c>
      <c r="D23" s="716"/>
      <c r="E23" s="697">
        <f>ROUND(SUM(E21:E22),2)</f>
        <v>86060</v>
      </c>
      <c r="F23" s="697">
        <f t="shared" ref="F23:BD23" si="56">ROUND(SUM(F21:F22),2)</f>
        <v>200</v>
      </c>
      <c r="G23" s="697">
        <f t="shared" si="56"/>
        <v>10327.200000000001</v>
      </c>
      <c r="H23" s="697">
        <f t="shared" si="56"/>
        <v>86060</v>
      </c>
      <c r="I23" s="697">
        <f t="shared" si="56"/>
        <v>4000</v>
      </c>
      <c r="J23" s="697">
        <f t="shared" si="56"/>
        <v>2050</v>
      </c>
      <c r="K23" s="697">
        <f t="shared" si="56"/>
        <v>300</v>
      </c>
      <c r="L23" s="697">
        <f t="shared" si="56"/>
        <v>21515</v>
      </c>
      <c r="M23" s="697">
        <f>ROUND(SUM(M21:M22),2)</f>
        <v>113925</v>
      </c>
      <c r="N23" s="697">
        <f t="shared" si="56"/>
        <v>21119.34</v>
      </c>
      <c r="O23" s="697">
        <f t="shared" si="56"/>
        <v>1721.2</v>
      </c>
      <c r="P23" s="697">
        <f t="shared" si="56"/>
        <v>7745.4</v>
      </c>
      <c r="Q23" s="697">
        <f t="shared" si="56"/>
        <v>0</v>
      </c>
      <c r="R23" s="697">
        <f t="shared" si="56"/>
        <v>0</v>
      </c>
      <c r="S23" s="697">
        <f t="shared" si="56"/>
        <v>0</v>
      </c>
      <c r="T23" s="697">
        <f t="shared" si="56"/>
        <v>0</v>
      </c>
      <c r="U23" s="697">
        <f t="shared" si="56"/>
        <v>0</v>
      </c>
      <c r="V23" s="697">
        <f t="shared" si="56"/>
        <v>0</v>
      </c>
      <c r="W23" s="697">
        <f t="shared" si="56"/>
        <v>0</v>
      </c>
      <c r="X23" s="697">
        <f t="shared" si="56"/>
        <v>0</v>
      </c>
      <c r="Y23" s="697">
        <f t="shared" si="56"/>
        <v>0</v>
      </c>
      <c r="Z23" s="697">
        <f t="shared" si="56"/>
        <v>200</v>
      </c>
      <c r="AA23" s="697">
        <f t="shared" si="56"/>
        <v>0</v>
      </c>
      <c r="AB23" s="697">
        <f t="shared" si="56"/>
        <v>0</v>
      </c>
      <c r="AC23" s="697">
        <f t="shared" si="56"/>
        <v>0</v>
      </c>
      <c r="AD23" s="697">
        <f t="shared" si="56"/>
        <v>0</v>
      </c>
      <c r="AE23" s="697">
        <f t="shared" si="56"/>
        <v>0</v>
      </c>
      <c r="AF23" s="697">
        <f t="shared" si="56"/>
        <v>0</v>
      </c>
      <c r="AG23" s="697">
        <f t="shared" si="56"/>
        <v>0</v>
      </c>
      <c r="AH23" s="697">
        <f t="shared" si="56"/>
        <v>0</v>
      </c>
      <c r="AI23" s="697">
        <f t="shared" si="56"/>
        <v>0</v>
      </c>
      <c r="AJ23" s="697">
        <f t="shared" si="56"/>
        <v>0</v>
      </c>
      <c r="AK23" s="697">
        <f t="shared" si="56"/>
        <v>0</v>
      </c>
      <c r="AL23" s="697">
        <f t="shared" si="56"/>
        <v>30785.94</v>
      </c>
      <c r="AM23" s="697">
        <f t="shared" si="56"/>
        <v>83139.06</v>
      </c>
      <c r="AN23" s="697">
        <f t="shared" si="56"/>
        <v>0</v>
      </c>
      <c r="AO23" s="697">
        <f t="shared" si="56"/>
        <v>0</v>
      </c>
      <c r="AP23" s="697">
        <f t="shared" si="56"/>
        <v>0</v>
      </c>
      <c r="AQ23" s="697">
        <f t="shared" si="56"/>
        <v>0</v>
      </c>
      <c r="AR23" s="697">
        <f t="shared" si="56"/>
        <v>83139.06</v>
      </c>
      <c r="AS23" s="697">
        <f t="shared" si="56"/>
        <v>0</v>
      </c>
      <c r="AT23" s="697">
        <f t="shared" si="56"/>
        <v>0</v>
      </c>
      <c r="AU23" s="697">
        <f t="shared" si="56"/>
        <v>1100</v>
      </c>
      <c r="AV23" s="697">
        <f t="shared" si="56"/>
        <v>0</v>
      </c>
      <c r="AW23" s="697">
        <f t="shared" si="56"/>
        <v>0</v>
      </c>
      <c r="AX23" s="697">
        <f t="shared" si="56"/>
        <v>44</v>
      </c>
      <c r="AY23" s="697">
        <f t="shared" si="56"/>
        <v>300</v>
      </c>
      <c r="AZ23" s="697">
        <f t="shared" si="56"/>
        <v>44</v>
      </c>
      <c r="BA23" s="697">
        <f t="shared" si="56"/>
        <v>100</v>
      </c>
      <c r="BB23" s="697">
        <f t="shared" si="56"/>
        <v>150</v>
      </c>
      <c r="BC23" s="697">
        <f t="shared" si="56"/>
        <v>2200</v>
      </c>
      <c r="BD23" s="697">
        <f t="shared" si="56"/>
        <v>3</v>
      </c>
    </row>
    <row r="24" spans="1:58" s="717" customFormat="1" ht="26.25" customHeight="1" thickBot="1" x14ac:dyDescent="0.3">
      <c r="A24" s="309"/>
      <c r="B24" s="714"/>
      <c r="C24" s="718" t="s">
        <v>103</v>
      </c>
      <c r="D24" s="702"/>
      <c r="E24" s="703">
        <f>ROUND(SUM(E13,E17,E19,E23),2)</f>
        <v>305774</v>
      </c>
      <c r="F24" s="703">
        <f t="shared" ref="F24:BE24" si="57">ROUND(SUM(F13,F17,F19,F23),2)</f>
        <v>800</v>
      </c>
      <c r="G24" s="703">
        <f t="shared" si="57"/>
        <v>36692.879999999997</v>
      </c>
      <c r="H24" s="703">
        <f t="shared" si="57"/>
        <v>305774</v>
      </c>
      <c r="I24" s="703">
        <f t="shared" si="57"/>
        <v>16000</v>
      </c>
      <c r="J24" s="703">
        <f t="shared" si="57"/>
        <v>8500</v>
      </c>
      <c r="K24" s="703">
        <f t="shared" si="57"/>
        <v>1200</v>
      </c>
      <c r="L24" s="703">
        <f t="shared" si="57"/>
        <v>76443.5</v>
      </c>
      <c r="M24" s="703">
        <f>ROUND(SUM(M13,M17,M19,M23),2)</f>
        <v>407917.5</v>
      </c>
      <c r="N24" s="703">
        <f t="shared" si="57"/>
        <v>74605.22</v>
      </c>
      <c r="O24" s="703">
        <f t="shared" si="57"/>
        <v>6115.48</v>
      </c>
      <c r="P24" s="703">
        <f t="shared" si="57"/>
        <v>27519.66</v>
      </c>
      <c r="Q24" s="703">
        <f t="shared" si="57"/>
        <v>0</v>
      </c>
      <c r="R24" s="703">
        <f t="shared" si="57"/>
        <v>0</v>
      </c>
      <c r="S24" s="703">
        <f t="shared" si="57"/>
        <v>0</v>
      </c>
      <c r="T24" s="703">
        <f t="shared" si="57"/>
        <v>0</v>
      </c>
      <c r="U24" s="703">
        <f t="shared" si="57"/>
        <v>0</v>
      </c>
      <c r="V24" s="703">
        <f t="shared" si="57"/>
        <v>0</v>
      </c>
      <c r="W24" s="703">
        <f t="shared" si="57"/>
        <v>0</v>
      </c>
      <c r="X24" s="703">
        <f t="shared" si="57"/>
        <v>0</v>
      </c>
      <c r="Y24" s="703">
        <f t="shared" si="57"/>
        <v>0</v>
      </c>
      <c r="Z24" s="703">
        <f t="shared" si="57"/>
        <v>800</v>
      </c>
      <c r="AA24" s="703">
        <f t="shared" si="57"/>
        <v>0</v>
      </c>
      <c r="AB24" s="703">
        <f t="shared" si="57"/>
        <v>0</v>
      </c>
      <c r="AC24" s="703">
        <f t="shared" si="57"/>
        <v>0</v>
      </c>
      <c r="AD24" s="703">
        <f t="shared" si="57"/>
        <v>0</v>
      </c>
      <c r="AE24" s="703">
        <f t="shared" si="57"/>
        <v>0</v>
      </c>
      <c r="AF24" s="703">
        <f t="shared" si="57"/>
        <v>0</v>
      </c>
      <c r="AG24" s="703">
        <f t="shared" si="57"/>
        <v>0</v>
      </c>
      <c r="AH24" s="703">
        <f t="shared" si="57"/>
        <v>0</v>
      </c>
      <c r="AI24" s="703">
        <f t="shared" si="57"/>
        <v>0</v>
      </c>
      <c r="AJ24" s="703">
        <f t="shared" si="57"/>
        <v>0</v>
      </c>
      <c r="AK24" s="703">
        <f t="shared" si="57"/>
        <v>0</v>
      </c>
      <c r="AL24" s="703">
        <f t="shared" si="57"/>
        <v>109040.36</v>
      </c>
      <c r="AM24" s="703">
        <f t="shared" si="57"/>
        <v>298877.14</v>
      </c>
      <c r="AN24" s="703">
        <f t="shared" si="57"/>
        <v>0</v>
      </c>
      <c r="AO24" s="703">
        <f t="shared" si="57"/>
        <v>0</v>
      </c>
      <c r="AP24" s="703">
        <f t="shared" si="57"/>
        <v>0</v>
      </c>
      <c r="AQ24" s="703">
        <f t="shared" si="57"/>
        <v>0</v>
      </c>
      <c r="AR24" s="703">
        <f t="shared" si="57"/>
        <v>298877.14</v>
      </c>
      <c r="AS24" s="703">
        <f t="shared" si="57"/>
        <v>0</v>
      </c>
      <c r="AT24" s="703">
        <f t="shared" si="57"/>
        <v>0</v>
      </c>
      <c r="AU24" s="703">
        <f t="shared" si="57"/>
        <v>4121.0600000000004</v>
      </c>
      <c r="AV24" s="703">
        <f t="shared" si="57"/>
        <v>0</v>
      </c>
      <c r="AW24" s="703">
        <f t="shared" si="57"/>
        <v>0</v>
      </c>
      <c r="AX24" s="703">
        <f t="shared" si="57"/>
        <v>176</v>
      </c>
      <c r="AY24" s="703">
        <f t="shared" si="57"/>
        <v>1200</v>
      </c>
      <c r="AZ24" s="703">
        <f t="shared" si="57"/>
        <v>176</v>
      </c>
      <c r="BA24" s="703">
        <f t="shared" si="57"/>
        <v>400</v>
      </c>
      <c r="BB24" s="703">
        <f t="shared" si="57"/>
        <v>300</v>
      </c>
      <c r="BC24" s="703">
        <f t="shared" si="57"/>
        <v>8800</v>
      </c>
      <c r="BD24" s="703">
        <f t="shared" si="57"/>
        <v>6</v>
      </c>
      <c r="BE24" s="703">
        <f t="shared" si="57"/>
        <v>0</v>
      </c>
      <c r="BF24" s="703">
        <f t="shared" ref="BF24" si="58">ROUND(SUM(BF10:BF19),2)</f>
        <v>0</v>
      </c>
    </row>
    <row r="25" spans="1:58" ht="25.5" customHeight="1" x14ac:dyDescent="0.2">
      <c r="A25" s="128" t="s">
        <v>111</v>
      </c>
      <c r="B25" s="99"/>
      <c r="C25" s="209"/>
      <c r="D25" s="100"/>
      <c r="E25" s="100"/>
      <c r="F25" s="100"/>
      <c r="G25" s="100"/>
      <c r="H25" s="100"/>
      <c r="I25" s="101"/>
      <c r="J25" s="102" t="s">
        <v>112</v>
      </c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3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3"/>
      <c r="AM25" s="103"/>
      <c r="AN25" s="120"/>
      <c r="AO25" s="1"/>
      <c r="AP25" s="5"/>
      <c r="AQ25" s="5"/>
      <c r="AR25" s="5"/>
      <c r="AS25" s="242"/>
      <c r="AT25" s="1"/>
      <c r="AU25" s="242"/>
      <c r="AV25" s="5"/>
      <c r="AW25" s="242"/>
      <c r="AX25" s="1"/>
      <c r="AY25" s="1"/>
      <c r="AZ25" s="5"/>
      <c r="BC25" s="1"/>
    </row>
    <row r="26" spans="1:58" x14ac:dyDescent="0.2">
      <c r="A26" s="241"/>
      <c r="I26" s="104" t="s">
        <v>216</v>
      </c>
      <c r="J26" s="105" t="s">
        <v>113</v>
      </c>
      <c r="AL26" s="4"/>
      <c r="AM26" s="4"/>
      <c r="AN26" s="121"/>
      <c r="AO26" s="1"/>
      <c r="AP26" s="5"/>
      <c r="AQ26" s="5"/>
      <c r="AR26" s="5"/>
      <c r="AS26" s="242"/>
      <c r="AT26" s="1"/>
      <c r="AU26" s="242"/>
      <c r="AV26" s="5"/>
      <c r="AW26" s="242"/>
      <c r="AX26" s="1"/>
      <c r="AY26" s="1"/>
      <c r="AZ26" s="5"/>
      <c r="BC26" s="1"/>
    </row>
    <row r="27" spans="1:58" x14ac:dyDescent="0.2">
      <c r="A27" s="241"/>
      <c r="I27" s="104"/>
      <c r="J27" s="105"/>
      <c r="AL27" s="4"/>
      <c r="AM27" s="4"/>
      <c r="AN27" s="121"/>
      <c r="AO27" s="1"/>
      <c r="AP27" s="5"/>
      <c r="AQ27" s="5"/>
      <c r="AR27" s="5"/>
      <c r="AS27" s="242"/>
      <c r="AT27" s="1"/>
      <c r="AU27" s="242"/>
      <c r="AV27" s="5"/>
      <c r="AW27" s="242"/>
      <c r="AX27" s="1"/>
      <c r="AY27" s="1"/>
      <c r="AZ27" s="5"/>
      <c r="BC27" s="1"/>
    </row>
    <row r="28" spans="1:58" ht="12.75" customHeight="1" x14ac:dyDescent="0.2">
      <c r="A28" s="241"/>
      <c r="I28" s="104"/>
      <c r="J28" s="105"/>
      <c r="X28" s="1"/>
      <c r="AL28" s="1"/>
      <c r="AM28" s="1"/>
      <c r="AN28" s="104"/>
      <c r="AO28" s="1"/>
      <c r="AP28" s="5"/>
      <c r="AQ28" s="5"/>
      <c r="AR28" s="5"/>
      <c r="AS28" s="242"/>
      <c r="AT28" s="1"/>
      <c r="AU28" s="242"/>
      <c r="AV28" s="5"/>
      <c r="AW28" s="242"/>
      <c r="AX28" s="1"/>
      <c r="AY28" s="1"/>
      <c r="AZ28" s="5"/>
      <c r="BC28" s="1"/>
    </row>
    <row r="29" spans="1:58" x14ac:dyDescent="0.2">
      <c r="A29" s="635" t="s">
        <v>114</v>
      </c>
      <c r="B29" s="636"/>
      <c r="C29" s="636"/>
      <c r="D29" s="636"/>
      <c r="E29" s="636"/>
      <c r="F29" s="636"/>
      <c r="I29" s="104"/>
      <c r="J29" s="631" t="s">
        <v>307</v>
      </c>
      <c r="K29" s="632"/>
      <c r="L29" s="632"/>
      <c r="M29" s="632"/>
      <c r="N29" s="632"/>
      <c r="O29" s="632"/>
      <c r="P29" s="632"/>
      <c r="Q29" s="632"/>
      <c r="R29" s="632"/>
      <c r="S29" s="632"/>
      <c r="T29" s="632"/>
      <c r="U29" s="632"/>
      <c r="V29" s="632"/>
      <c r="W29" s="632"/>
      <c r="X29" s="632"/>
      <c r="Y29" s="632"/>
      <c r="Z29" s="632"/>
      <c r="AA29" s="632"/>
      <c r="AB29" s="632"/>
      <c r="AC29" s="632"/>
      <c r="AD29" s="632"/>
      <c r="AE29" s="632"/>
      <c r="AF29" s="632"/>
      <c r="AG29" s="632"/>
      <c r="AH29" s="632"/>
      <c r="AI29" s="632"/>
      <c r="AJ29" s="632"/>
      <c r="AK29" s="632"/>
      <c r="AL29" s="632"/>
      <c r="AM29" s="632"/>
      <c r="AN29" s="637"/>
      <c r="AO29" s="1"/>
      <c r="AP29" s="5"/>
      <c r="AQ29" s="5"/>
      <c r="AR29" s="5"/>
      <c r="AS29" s="242"/>
      <c r="AT29" s="1"/>
      <c r="AU29" s="242"/>
      <c r="AV29" s="5"/>
      <c r="AW29" s="242"/>
      <c r="AX29" s="1" t="s">
        <v>218</v>
      </c>
      <c r="AY29" s="1"/>
      <c r="AZ29" s="5"/>
      <c r="BC29" s="1"/>
    </row>
    <row r="30" spans="1:58" x14ac:dyDescent="0.2">
      <c r="A30" s="629" t="s">
        <v>209</v>
      </c>
      <c r="B30" s="630"/>
      <c r="C30" s="630"/>
      <c r="D30" s="630"/>
      <c r="E30" s="630"/>
      <c r="F30" s="630"/>
      <c r="I30" s="104"/>
      <c r="J30" s="638" t="s">
        <v>224</v>
      </c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40"/>
      <c r="AO30" s="1"/>
      <c r="AP30" s="5"/>
      <c r="AQ30" s="5"/>
      <c r="AR30" s="5"/>
      <c r="AS30" s="242"/>
      <c r="AT30" s="1"/>
      <c r="AU30" s="242"/>
      <c r="AV30" s="5"/>
      <c r="AW30" s="242"/>
      <c r="AX30" s="1"/>
      <c r="AY30" s="1"/>
      <c r="AZ30" s="5"/>
      <c r="BC30" s="1"/>
    </row>
    <row r="31" spans="1:58" ht="16.5" thickBot="1" x14ac:dyDescent="0.25">
      <c r="A31" s="641" t="s">
        <v>115</v>
      </c>
      <c r="B31" s="642"/>
      <c r="C31" s="642"/>
      <c r="D31" s="642"/>
      <c r="E31" s="642"/>
      <c r="F31" s="642"/>
      <c r="I31" s="104"/>
      <c r="J31" s="627" t="s">
        <v>115</v>
      </c>
      <c r="K31" s="628"/>
      <c r="L31" s="628"/>
      <c r="M31" s="628"/>
      <c r="N31" s="628"/>
      <c r="O31" s="628"/>
      <c r="P31" s="628"/>
      <c r="Q31" s="628"/>
      <c r="R31" s="628"/>
      <c r="S31" s="628"/>
      <c r="T31" s="628"/>
      <c r="U31" s="628"/>
      <c r="V31" s="628"/>
      <c r="W31" s="628"/>
      <c r="X31" s="628"/>
      <c r="Y31" s="628"/>
      <c r="Z31" s="628"/>
      <c r="AA31" s="628"/>
      <c r="AB31" s="628"/>
      <c r="AC31" s="628"/>
      <c r="AD31" s="628"/>
      <c r="AE31" s="628"/>
      <c r="AF31" s="628"/>
      <c r="AG31" s="628"/>
      <c r="AH31" s="628"/>
      <c r="AI31" s="628"/>
      <c r="AJ31" s="628"/>
      <c r="AK31" s="628"/>
      <c r="AL31" s="628"/>
      <c r="AM31" s="628"/>
      <c r="AN31" s="643"/>
      <c r="AO31" s="1"/>
      <c r="AP31" s="5"/>
      <c r="AQ31" s="5"/>
      <c r="AR31" s="5"/>
      <c r="AS31" s="242"/>
      <c r="AT31" s="1"/>
      <c r="AU31" s="242"/>
      <c r="AV31" s="5"/>
      <c r="AW31" s="242"/>
      <c r="AX31" s="1"/>
      <c r="AY31" s="1"/>
      <c r="AZ31" s="5"/>
      <c r="BC31" s="1"/>
    </row>
    <row r="32" spans="1:58" x14ac:dyDescent="0.2">
      <c r="A32" s="106" t="s">
        <v>116</v>
      </c>
      <c r="B32" s="107"/>
      <c r="C32" s="211"/>
      <c r="D32" s="243"/>
      <c r="E32" s="108"/>
      <c r="F32" s="108"/>
      <c r="G32" s="108"/>
      <c r="H32" s="108"/>
      <c r="I32" s="109"/>
      <c r="J32" s="105" t="s">
        <v>117</v>
      </c>
      <c r="AL32" s="110"/>
      <c r="AM32" s="4"/>
      <c r="AN32" s="121"/>
      <c r="AO32" s="1"/>
      <c r="AP32" s="5"/>
      <c r="AQ32" s="5"/>
      <c r="AR32" s="5"/>
      <c r="AS32" s="242"/>
      <c r="AT32" s="1"/>
      <c r="AU32" s="242"/>
      <c r="AV32" s="5"/>
      <c r="AW32" s="242"/>
      <c r="AX32" s="1"/>
      <c r="AY32" s="1"/>
      <c r="AZ32" s="5"/>
      <c r="BC32" s="1"/>
    </row>
    <row r="33" spans="1:55" x14ac:dyDescent="0.2">
      <c r="A33" s="105" t="s">
        <v>118</v>
      </c>
      <c r="B33" s="1"/>
      <c r="I33" s="104"/>
      <c r="J33" s="105" t="s">
        <v>119</v>
      </c>
      <c r="Q33" s="1" t="s">
        <v>120</v>
      </c>
      <c r="AL33" s="110"/>
      <c r="AM33" s="4"/>
      <c r="AN33" s="121"/>
      <c r="AO33" s="1"/>
      <c r="AP33" s="5"/>
      <c r="AQ33" s="5"/>
      <c r="AR33" s="5"/>
      <c r="AS33" s="242"/>
      <c r="AT33" s="1"/>
      <c r="AU33" s="242"/>
      <c r="AV33" s="5"/>
      <c r="AW33" s="242"/>
      <c r="AX33" s="1"/>
      <c r="AY33" s="1"/>
      <c r="AZ33" s="5"/>
      <c r="BC33" s="1"/>
    </row>
    <row r="34" spans="1:55" x14ac:dyDescent="0.2">
      <c r="A34" s="105"/>
      <c r="B34" s="1"/>
      <c r="I34" s="104"/>
      <c r="J34" s="105"/>
      <c r="AL34" s="111" t="s">
        <v>121</v>
      </c>
      <c r="AM34" s="112"/>
      <c r="AN34" s="122"/>
      <c r="AO34" s="1"/>
      <c r="AP34" s="5"/>
      <c r="AQ34" s="5"/>
      <c r="AR34" s="5"/>
      <c r="AS34" s="242"/>
      <c r="AT34" s="1"/>
      <c r="AU34" s="242"/>
      <c r="AV34" s="5"/>
      <c r="AW34" s="242"/>
      <c r="AX34" s="1"/>
      <c r="AY34" s="1"/>
      <c r="AZ34" s="5"/>
      <c r="BC34" s="1"/>
    </row>
    <row r="35" spans="1:55" x14ac:dyDescent="0.2">
      <c r="A35" s="241"/>
      <c r="I35" s="104"/>
      <c r="J35" s="105"/>
      <c r="Q35" s="1" t="s">
        <v>122</v>
      </c>
      <c r="AL35" s="111" t="s">
        <v>123</v>
      </c>
      <c r="AM35" s="112"/>
      <c r="AN35" s="122"/>
      <c r="AO35" s="1"/>
      <c r="AP35" s="5"/>
      <c r="AQ35" s="5"/>
      <c r="AR35" s="5"/>
      <c r="AS35" s="242"/>
      <c r="AT35" s="1"/>
      <c r="AU35" s="242"/>
      <c r="AV35" s="5"/>
      <c r="AW35" s="242"/>
      <c r="AX35" s="1"/>
      <c r="AY35" s="1"/>
      <c r="AZ35" s="5"/>
      <c r="BC35" s="1"/>
    </row>
    <row r="36" spans="1:55" x14ac:dyDescent="0.2">
      <c r="A36" s="629" t="s">
        <v>124</v>
      </c>
      <c r="B36" s="630"/>
      <c r="C36" s="630"/>
      <c r="D36" s="1"/>
      <c r="H36" s="113"/>
      <c r="I36" s="104"/>
      <c r="J36" s="631" t="s">
        <v>125</v>
      </c>
      <c r="K36" s="632"/>
      <c r="L36" s="632"/>
      <c r="M36" s="632"/>
      <c r="P36" s="114"/>
      <c r="Q36" s="114" t="s">
        <v>126</v>
      </c>
      <c r="R36" s="114"/>
      <c r="S36" s="114"/>
      <c r="T36" s="114"/>
      <c r="U36" s="114"/>
      <c r="V36" s="114"/>
      <c r="W36" s="114"/>
      <c r="X36" s="115"/>
      <c r="Y36" s="114"/>
      <c r="Z36" s="114"/>
      <c r="AL36" s="111" t="s">
        <v>127</v>
      </c>
      <c r="AM36" s="112"/>
      <c r="AN36" s="122"/>
      <c r="AO36" s="1"/>
      <c r="AP36" s="5"/>
      <c r="AQ36" s="5"/>
      <c r="AR36" s="5"/>
      <c r="AS36" s="242"/>
      <c r="AT36" s="1"/>
      <c r="AU36" s="242"/>
      <c r="AV36" s="5"/>
      <c r="AW36" s="242"/>
      <c r="AX36" s="1"/>
      <c r="AY36" s="1"/>
      <c r="AZ36" s="5"/>
      <c r="BC36" s="1"/>
    </row>
    <row r="37" spans="1:55" x14ac:dyDescent="0.2">
      <c r="A37" s="629" t="s">
        <v>128</v>
      </c>
      <c r="B37" s="630"/>
      <c r="C37" s="630"/>
      <c r="D37" s="1"/>
      <c r="H37" s="633" t="s">
        <v>129</v>
      </c>
      <c r="I37" s="634"/>
      <c r="J37" s="629" t="s">
        <v>130</v>
      </c>
      <c r="K37" s="630"/>
      <c r="L37" s="630"/>
      <c r="M37" s="630"/>
      <c r="P37" s="633" t="s">
        <v>131</v>
      </c>
      <c r="Q37" s="633"/>
      <c r="R37" s="633"/>
      <c r="S37" s="633"/>
      <c r="T37" s="633"/>
      <c r="U37" s="633"/>
      <c r="V37" s="633"/>
      <c r="W37" s="633"/>
      <c r="X37" s="633"/>
      <c r="Y37" s="633"/>
      <c r="Z37" s="633"/>
      <c r="AL37" s="111" t="s">
        <v>123</v>
      </c>
      <c r="AM37" s="112"/>
      <c r="AN37" s="122"/>
      <c r="AO37" s="1"/>
      <c r="AP37" s="5"/>
      <c r="AQ37" s="5"/>
      <c r="AR37" s="5"/>
      <c r="AS37" s="242"/>
      <c r="AT37" s="1"/>
      <c r="AU37" s="242"/>
      <c r="AV37" s="5"/>
      <c r="AW37" s="242"/>
      <c r="AX37" s="1"/>
      <c r="AY37" s="1"/>
      <c r="AZ37" s="5"/>
      <c r="BC37" s="1"/>
    </row>
    <row r="38" spans="1:55" ht="22.5" customHeight="1" thickBot="1" x14ac:dyDescent="0.25">
      <c r="A38" s="625" t="s">
        <v>208</v>
      </c>
      <c r="B38" s="626"/>
      <c r="C38" s="626"/>
      <c r="D38" s="116"/>
      <c r="E38" s="116"/>
      <c r="F38" s="116"/>
      <c r="G38" s="116"/>
      <c r="H38" s="116"/>
      <c r="I38" s="117"/>
      <c r="J38" s="627" t="s">
        <v>132</v>
      </c>
      <c r="K38" s="628"/>
      <c r="L38" s="628"/>
      <c r="M38" s="628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8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9"/>
      <c r="AM38" s="118"/>
      <c r="AN38" s="123"/>
      <c r="AO38" s="1"/>
      <c r="AP38" s="5"/>
      <c r="AQ38" s="5"/>
      <c r="AR38" s="5"/>
      <c r="AS38" s="242"/>
      <c r="AT38" s="1"/>
      <c r="AU38" s="242"/>
      <c r="AV38" s="5"/>
      <c r="AW38" s="242"/>
      <c r="AX38" s="1"/>
      <c r="AY38" s="1"/>
      <c r="AZ38" s="5"/>
      <c r="BC38" s="1"/>
    </row>
  </sheetData>
  <autoFilter ref="A8:AU25"/>
  <mergeCells count="20">
    <mergeCell ref="A7:T7"/>
    <mergeCell ref="A1:AN1"/>
    <mergeCell ref="A2:AN2"/>
    <mergeCell ref="A3:AN3"/>
    <mergeCell ref="A4:AN4"/>
    <mergeCell ref="A5:AN5"/>
    <mergeCell ref="P37:Z37"/>
    <mergeCell ref="A29:F29"/>
    <mergeCell ref="J29:AN29"/>
    <mergeCell ref="A30:F30"/>
    <mergeCell ref="J30:AN30"/>
    <mergeCell ref="A31:F31"/>
    <mergeCell ref="J31:AN31"/>
    <mergeCell ref="A38:C38"/>
    <mergeCell ref="J38:M38"/>
    <mergeCell ref="A36:C36"/>
    <mergeCell ref="J36:M36"/>
    <mergeCell ref="A37:C37"/>
    <mergeCell ref="H37:I37"/>
    <mergeCell ref="J37:M37"/>
  </mergeCells>
  <phoneticPr fontId="60" type="noConversion"/>
  <conditionalFormatting sqref="B35 B26:B28">
    <cfRule type="duplicateValues" dxfId="7" priority="6"/>
  </conditionalFormatting>
  <conditionalFormatting sqref="B24">
    <cfRule type="duplicateValues" dxfId="6" priority="7"/>
  </conditionalFormatting>
  <conditionalFormatting sqref="B39:B1048576 B8:B9 B11:B15 B18:B20">
    <cfRule type="duplicateValues" dxfId="5" priority="8"/>
  </conditionalFormatting>
  <conditionalFormatting sqref="B10">
    <cfRule type="duplicateValues" dxfId="4" priority="5"/>
  </conditionalFormatting>
  <conditionalFormatting sqref="B21:B22">
    <cfRule type="duplicateValues" dxfId="3" priority="4"/>
  </conditionalFormatting>
  <conditionalFormatting sqref="B23">
    <cfRule type="duplicateValues" dxfId="2" priority="3"/>
  </conditionalFormatting>
  <conditionalFormatting sqref="B16">
    <cfRule type="duplicateValues" dxfId="1" priority="2"/>
  </conditionalFormatting>
  <conditionalFormatting sqref="B17">
    <cfRule type="duplicateValues" dxfId="0" priority="1"/>
  </conditionalFormatting>
  <pageMargins left="0" right="0.19685039370078741" top="0.19685039370078741" bottom="0.43307086614173229" header="0" footer="0"/>
  <pageSetup paperSize="119" scale="65" orientation="landscape" blackAndWhite="1" errors="NA" r:id="rId1"/>
  <headerFooter scaleWithDoc="0" alignWithMargins="0"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25"/>
  <sheetViews>
    <sheetView topLeftCell="A11" zoomScaleSheetLayoutView="100" workbookViewId="0">
      <pane xSplit="5" topLeftCell="F1" activePane="topRight" state="frozen"/>
      <selection activeCell="A70" sqref="A70"/>
      <selection pane="topRight" activeCell="M20" sqref="M20"/>
    </sheetView>
  </sheetViews>
  <sheetFormatPr defaultColWidth="9.140625" defaultRowHeight="12.75" x14ac:dyDescent="0.2"/>
  <cols>
    <col min="1" max="1" width="33.5703125" style="30" customWidth="1"/>
    <col min="2" max="2" width="3.7109375" style="31" customWidth="1"/>
    <col min="3" max="3" width="8.140625" style="32" customWidth="1"/>
    <col min="4" max="4" width="8.85546875" style="31" customWidth="1"/>
    <col min="5" max="5" width="10.140625" style="31" customWidth="1"/>
    <col min="6" max="6" width="7.7109375" style="33" bestFit="1" customWidth="1"/>
    <col min="7" max="7" width="7.7109375" style="33" customWidth="1"/>
    <col min="8" max="8" width="6.7109375" style="33" bestFit="1" customWidth="1"/>
    <col min="9" max="9" width="7.140625" style="33" customWidth="1"/>
    <col min="10" max="10" width="6.140625" style="33" customWidth="1"/>
    <col min="11" max="11" width="7.140625" style="33" customWidth="1"/>
    <col min="12" max="12" width="12" style="33" customWidth="1"/>
    <col min="13" max="13" width="7.7109375" style="33" customWidth="1"/>
    <col min="14" max="14" width="6" style="33" customWidth="1"/>
    <col min="15" max="16" width="5.140625" style="33" customWidth="1"/>
    <col min="17" max="17" width="7.42578125" style="33" customWidth="1"/>
    <col min="18" max="18" width="8.7109375" style="33" customWidth="1"/>
    <col min="19" max="19" width="10" style="33" customWidth="1"/>
    <col min="20" max="20" width="8.42578125" style="33" customWidth="1"/>
    <col min="21" max="21" width="7.7109375" style="33" customWidth="1"/>
    <col min="22" max="22" width="8" style="33" customWidth="1"/>
    <col min="23" max="23" width="7.140625" style="33" customWidth="1"/>
    <col min="24" max="24" width="6.42578125" style="33" customWidth="1"/>
    <col min="25" max="25" width="8.85546875" style="33" customWidth="1"/>
    <col min="26" max="26" width="13.28515625" style="34" customWidth="1"/>
    <col min="27" max="27" width="16.28515625" style="34" customWidth="1"/>
    <col min="28" max="28" width="5.42578125" style="28" customWidth="1"/>
    <col min="29" max="29" width="18.140625" style="29" customWidth="1"/>
    <col min="30" max="30" width="15" style="28" bestFit="1" customWidth="1"/>
    <col min="31" max="16384" width="9.140625" style="28"/>
  </cols>
  <sheetData>
    <row r="1" spans="1:38" s="19" customFormat="1" ht="20.25" x14ac:dyDescent="0.2">
      <c r="A1" s="9" t="s">
        <v>49</v>
      </c>
      <c r="B1" s="10"/>
      <c r="C1" s="11"/>
      <c r="D1" s="10"/>
      <c r="E1" s="12"/>
      <c r="F1" s="13"/>
      <c r="G1" s="13"/>
      <c r="H1" s="13"/>
      <c r="I1" s="13"/>
      <c r="J1" s="13"/>
      <c r="K1" s="13"/>
      <c r="L1" s="14"/>
      <c r="M1" s="14"/>
      <c r="N1" s="15"/>
      <c r="O1" s="15"/>
      <c r="P1" s="15"/>
      <c r="Q1" s="11"/>
      <c r="R1" s="16"/>
      <c r="S1" s="15"/>
      <c r="T1" s="17"/>
      <c r="U1" s="17"/>
      <c r="V1" s="17"/>
      <c r="W1" s="17"/>
      <c r="X1" s="17"/>
      <c r="Y1" s="17"/>
      <c r="Z1" s="18"/>
      <c r="AA1" s="18"/>
      <c r="AC1" s="20"/>
    </row>
    <row r="2" spans="1:38" s="19" customFormat="1" ht="9" customHeight="1" x14ac:dyDescent="0.2">
      <c r="A2" s="21"/>
      <c r="B2" s="10"/>
      <c r="C2" s="11"/>
      <c r="D2" s="10"/>
      <c r="E2" s="12"/>
      <c r="F2" s="13"/>
      <c r="G2" s="13"/>
      <c r="H2" s="13"/>
      <c r="I2" s="13"/>
      <c r="J2" s="13"/>
      <c r="K2" s="13"/>
      <c r="L2" s="14"/>
      <c r="M2" s="14"/>
      <c r="N2" s="15"/>
      <c r="O2" s="15"/>
      <c r="P2" s="15"/>
      <c r="Q2" s="11"/>
      <c r="R2" s="16"/>
      <c r="S2" s="15"/>
      <c r="T2" s="17"/>
      <c r="U2" s="17"/>
      <c r="V2" s="17"/>
      <c r="W2" s="17"/>
      <c r="X2" s="17"/>
      <c r="Y2" s="17"/>
      <c r="Z2" s="18"/>
      <c r="AA2" s="18"/>
      <c r="AC2" s="20"/>
    </row>
    <row r="3" spans="1:38" s="19" customFormat="1" ht="15" x14ac:dyDescent="0.2">
      <c r="A3" s="22" t="s">
        <v>50</v>
      </c>
      <c r="C3" s="23" t="s">
        <v>51</v>
      </c>
      <c r="F3" s="17"/>
      <c r="G3" s="17"/>
      <c r="H3" s="23"/>
      <c r="I3" s="23"/>
      <c r="J3" s="23"/>
      <c r="K3" s="23"/>
      <c r="L3" s="24"/>
      <c r="M3" s="24"/>
      <c r="N3" s="23"/>
      <c r="O3" s="23"/>
      <c r="P3" s="23"/>
      <c r="Q3" s="23"/>
      <c r="R3" s="23"/>
      <c r="S3" s="23"/>
      <c r="T3" s="17"/>
      <c r="U3" s="17"/>
      <c r="V3" s="17"/>
      <c r="W3" s="17"/>
      <c r="X3" s="17"/>
      <c r="Y3" s="17"/>
      <c r="Z3" s="18"/>
      <c r="AA3" s="18"/>
      <c r="AC3" s="20"/>
    </row>
    <row r="4" spans="1:38" s="19" customFormat="1" ht="15" x14ac:dyDescent="0.2">
      <c r="A4" s="22" t="s">
        <v>52</v>
      </c>
      <c r="C4" s="23" t="s">
        <v>53</v>
      </c>
      <c r="F4" s="17"/>
      <c r="G4" s="17"/>
      <c r="H4" s="23"/>
      <c r="I4" s="23"/>
      <c r="J4" s="23"/>
      <c r="K4" s="23"/>
      <c r="L4" s="24"/>
      <c r="M4" s="24"/>
      <c r="N4" s="23"/>
      <c r="O4" s="23"/>
      <c r="P4" s="23"/>
      <c r="Q4" s="23"/>
      <c r="R4" s="23"/>
      <c r="S4" s="23"/>
      <c r="T4" s="17"/>
      <c r="U4" s="17"/>
      <c r="V4" s="17"/>
      <c r="W4" s="17"/>
      <c r="X4" s="17"/>
      <c r="Y4" s="17"/>
      <c r="Z4" s="18"/>
      <c r="AA4" s="18"/>
      <c r="AC4" s="20"/>
    </row>
    <row r="5" spans="1:38" s="19" customFormat="1" ht="15" x14ac:dyDescent="0.2">
      <c r="A5" s="22" t="s">
        <v>54</v>
      </c>
      <c r="C5" s="23" t="s">
        <v>55</v>
      </c>
      <c r="F5" s="17"/>
      <c r="G5" s="17"/>
      <c r="H5" s="23"/>
      <c r="I5" s="23"/>
      <c r="J5" s="23"/>
      <c r="K5" s="23"/>
      <c r="L5" s="24"/>
      <c r="M5" s="24"/>
      <c r="N5" s="23"/>
      <c r="O5" s="23"/>
      <c r="P5" s="23"/>
      <c r="Q5" s="23"/>
      <c r="R5" s="23"/>
      <c r="S5" s="23"/>
      <c r="T5" s="17"/>
      <c r="U5" s="17"/>
      <c r="V5" s="17"/>
      <c r="W5" s="17"/>
      <c r="X5" s="17"/>
      <c r="Y5" s="17"/>
      <c r="Z5" s="18"/>
      <c r="AA5" s="18"/>
      <c r="AC5" s="20"/>
    </row>
    <row r="6" spans="1:38" s="19" customFormat="1" ht="15" x14ac:dyDescent="0.2">
      <c r="A6" s="22" t="s">
        <v>56</v>
      </c>
      <c r="C6" s="23" t="s">
        <v>57</v>
      </c>
      <c r="F6" s="17"/>
      <c r="G6" s="17"/>
      <c r="H6" s="23"/>
      <c r="I6" s="23"/>
      <c r="J6" s="23"/>
      <c r="K6" s="23"/>
      <c r="L6" s="24"/>
      <c r="M6" s="24"/>
      <c r="N6" s="23"/>
      <c r="O6" s="23"/>
      <c r="P6" s="23"/>
      <c r="Q6" s="23"/>
      <c r="R6" s="23"/>
      <c r="S6" s="23"/>
      <c r="T6" s="17"/>
      <c r="U6" s="17"/>
      <c r="V6" s="17"/>
      <c r="W6" s="17"/>
      <c r="X6" s="17"/>
      <c r="Y6" s="17"/>
      <c r="Z6" s="18"/>
      <c r="AA6" s="18"/>
      <c r="AC6" s="20"/>
    </row>
    <row r="7" spans="1:38" s="19" customFormat="1" ht="15.75" x14ac:dyDescent="0.2">
      <c r="A7" s="22" t="s">
        <v>58</v>
      </c>
      <c r="C7" s="25" t="s">
        <v>59</v>
      </c>
      <c r="F7" s="17"/>
      <c r="G7" s="17"/>
      <c r="H7" s="25"/>
      <c r="I7" s="25"/>
      <c r="J7" s="25"/>
      <c r="K7" s="25"/>
      <c r="L7" s="26"/>
      <c r="M7" s="26"/>
      <c r="N7" s="25"/>
      <c r="O7" s="25"/>
      <c r="P7" s="25"/>
      <c r="Q7" s="25"/>
      <c r="R7" s="25"/>
      <c r="S7" s="25"/>
      <c r="T7" s="17"/>
      <c r="U7" s="17"/>
      <c r="V7" s="17"/>
      <c r="W7" s="17"/>
      <c r="X7" s="17"/>
      <c r="Y7" s="17"/>
      <c r="Z7" s="18"/>
      <c r="AA7" s="18"/>
      <c r="AC7" s="20"/>
    </row>
    <row r="8" spans="1:38" s="19" customFormat="1" ht="15" x14ac:dyDescent="0.2">
      <c r="A8" s="22" t="s">
        <v>60</v>
      </c>
      <c r="C8" s="23" t="s">
        <v>61</v>
      </c>
      <c r="F8" s="17"/>
      <c r="G8" s="17"/>
      <c r="H8" s="23"/>
      <c r="I8" s="23"/>
      <c r="J8" s="23"/>
      <c r="K8" s="23"/>
      <c r="L8" s="24"/>
      <c r="M8" s="24"/>
      <c r="N8" s="23"/>
      <c r="O8" s="23"/>
      <c r="P8" s="23"/>
      <c r="Q8" s="23"/>
      <c r="R8" s="23"/>
      <c r="S8" s="23"/>
      <c r="T8" s="17"/>
      <c r="U8" s="17"/>
      <c r="V8" s="17"/>
      <c r="W8" s="17"/>
      <c r="X8" s="17"/>
      <c r="Y8" s="17"/>
      <c r="Z8" s="18"/>
      <c r="AA8" s="18"/>
      <c r="AC8" s="20"/>
    </row>
    <row r="9" spans="1:38" s="19" customFormat="1" ht="15" x14ac:dyDescent="0.2">
      <c r="A9" s="22" t="s">
        <v>62</v>
      </c>
      <c r="C9" s="23" t="s">
        <v>63</v>
      </c>
      <c r="F9" s="17"/>
      <c r="G9" s="17"/>
      <c r="H9" s="23"/>
      <c r="I9" s="23"/>
      <c r="J9" s="23"/>
      <c r="K9" s="23"/>
      <c r="L9" s="24"/>
      <c r="M9" s="24"/>
      <c r="N9" s="23"/>
      <c r="O9" s="23"/>
      <c r="P9" s="23"/>
      <c r="Q9" s="23"/>
      <c r="R9" s="23"/>
      <c r="S9" s="23"/>
      <c r="T9" s="17"/>
      <c r="U9" s="17"/>
      <c r="V9" s="17"/>
      <c r="W9" s="17"/>
      <c r="X9" s="17"/>
      <c r="Y9" s="17"/>
      <c r="Z9" s="18"/>
      <c r="AA9" s="18"/>
      <c r="AC9" s="20"/>
    </row>
    <row r="10" spans="1:38" s="19" customFormat="1" ht="15.75" x14ac:dyDescent="0.2">
      <c r="A10" s="22" t="s">
        <v>64</v>
      </c>
      <c r="C10" s="25" t="s">
        <v>65</v>
      </c>
      <c r="F10" s="17"/>
      <c r="G10" s="17"/>
      <c r="H10" s="23"/>
      <c r="I10" s="23"/>
      <c r="J10" s="23"/>
      <c r="K10" s="23"/>
      <c r="L10" s="24"/>
      <c r="M10" s="24"/>
      <c r="N10" s="23"/>
      <c r="O10" s="23"/>
      <c r="P10" s="23"/>
      <c r="Q10" s="23"/>
      <c r="R10" s="23"/>
      <c r="S10" s="23"/>
      <c r="T10" s="17"/>
      <c r="U10" s="17"/>
      <c r="V10" s="17"/>
      <c r="W10" s="17"/>
      <c r="X10" s="17"/>
      <c r="Y10" s="17"/>
      <c r="Z10" s="18"/>
      <c r="AA10" s="18"/>
      <c r="AC10" s="20"/>
      <c r="AL10" s="27" t="e">
        <f>Salary!#REF!+Salary!E17</f>
        <v>#REF!</v>
      </c>
    </row>
    <row r="11" spans="1:38" ht="15.75" x14ac:dyDescent="0.2">
      <c r="A11" s="655"/>
      <c r="B11" s="655"/>
      <c r="C11" s="655"/>
      <c r="D11" s="655"/>
      <c r="E11" s="655"/>
      <c r="F11" s="655"/>
      <c r="G11" s="655"/>
      <c r="H11" s="655"/>
      <c r="I11" s="655"/>
      <c r="J11" s="655"/>
      <c r="K11" s="655"/>
      <c r="L11" s="655"/>
      <c r="M11" s="655"/>
      <c r="N11" s="655"/>
      <c r="O11" s="655"/>
      <c r="P11" s="655"/>
      <c r="Q11" s="655"/>
      <c r="R11" s="655"/>
      <c r="S11" s="655"/>
      <c r="T11" s="655"/>
      <c r="U11" s="655"/>
      <c r="V11" s="655"/>
      <c r="W11" s="655"/>
      <c r="X11" s="655"/>
      <c r="Y11" s="655"/>
      <c r="Z11" s="655"/>
      <c r="AA11" s="655"/>
    </row>
    <row r="12" spans="1:38" ht="13.5" thickBot="1" x14ac:dyDescent="0.25"/>
    <row r="13" spans="1:38" ht="15.75" customHeight="1" thickTop="1" x14ac:dyDescent="0.2">
      <c r="A13" s="656" t="s">
        <v>66</v>
      </c>
      <c r="B13" s="659" t="s">
        <v>67</v>
      </c>
      <c r="C13" s="660"/>
      <c r="D13" s="665" t="s">
        <v>68</v>
      </c>
      <c r="E13" s="665" t="s">
        <v>69</v>
      </c>
      <c r="F13" s="668" t="s">
        <v>70</v>
      </c>
      <c r="G13" s="669"/>
      <c r="H13" s="669"/>
      <c r="I13" s="669"/>
      <c r="J13" s="669"/>
      <c r="K13" s="669"/>
      <c r="L13" s="670"/>
      <c r="M13" s="674" t="s">
        <v>71</v>
      </c>
      <c r="N13" s="675"/>
      <c r="O13" s="675"/>
      <c r="P13" s="675"/>
      <c r="Q13" s="676"/>
      <c r="R13" s="680" t="s">
        <v>72</v>
      </c>
      <c r="S13" s="680" t="s">
        <v>73</v>
      </c>
      <c r="T13" s="684" t="s">
        <v>74</v>
      </c>
      <c r="U13" s="685"/>
      <c r="V13" s="685"/>
      <c r="W13" s="685"/>
      <c r="X13" s="685"/>
      <c r="Y13" s="686"/>
      <c r="Z13" s="687" t="s">
        <v>75</v>
      </c>
      <c r="AA13" s="690" t="s">
        <v>76</v>
      </c>
    </row>
    <row r="14" spans="1:38" ht="12.75" customHeight="1" thickBot="1" x14ac:dyDescent="0.25">
      <c r="A14" s="657"/>
      <c r="B14" s="661"/>
      <c r="C14" s="662"/>
      <c r="D14" s="666"/>
      <c r="E14" s="666"/>
      <c r="F14" s="671"/>
      <c r="G14" s="672"/>
      <c r="H14" s="672"/>
      <c r="I14" s="672"/>
      <c r="J14" s="672"/>
      <c r="K14" s="672"/>
      <c r="L14" s="673"/>
      <c r="M14" s="677"/>
      <c r="N14" s="678"/>
      <c r="O14" s="678"/>
      <c r="P14" s="678"/>
      <c r="Q14" s="679"/>
      <c r="R14" s="681"/>
      <c r="S14" s="682"/>
      <c r="T14" s="651" t="s">
        <v>77</v>
      </c>
      <c r="U14" s="649" t="s">
        <v>78</v>
      </c>
      <c r="V14" s="651" t="s">
        <v>79</v>
      </c>
      <c r="W14" s="651" t="s">
        <v>80</v>
      </c>
      <c r="X14" s="649" t="s">
        <v>81</v>
      </c>
      <c r="Y14" s="653" t="s">
        <v>82</v>
      </c>
      <c r="Z14" s="688"/>
      <c r="AA14" s="691"/>
    </row>
    <row r="15" spans="1:38" ht="81.75" customHeight="1" thickTop="1" thickBot="1" x14ac:dyDescent="0.25">
      <c r="A15" s="658"/>
      <c r="B15" s="663"/>
      <c r="C15" s="664"/>
      <c r="D15" s="667"/>
      <c r="E15" s="667"/>
      <c r="F15" s="35" t="s">
        <v>83</v>
      </c>
      <c r="G15" s="35" t="s">
        <v>84</v>
      </c>
      <c r="H15" s="35" t="s">
        <v>85</v>
      </c>
      <c r="I15" s="35" t="s">
        <v>37</v>
      </c>
      <c r="J15" s="35" t="s">
        <v>38</v>
      </c>
      <c r="K15" s="36" t="s">
        <v>86</v>
      </c>
      <c r="L15" s="37" t="s">
        <v>87</v>
      </c>
      <c r="M15" s="38" t="s">
        <v>88</v>
      </c>
      <c r="N15" s="39" t="s">
        <v>89</v>
      </c>
      <c r="O15" s="39" t="s">
        <v>90</v>
      </c>
      <c r="P15" s="39" t="s">
        <v>8</v>
      </c>
      <c r="Q15" s="40" t="s">
        <v>33</v>
      </c>
      <c r="R15" s="41" t="s">
        <v>91</v>
      </c>
      <c r="S15" s="683"/>
      <c r="T15" s="652"/>
      <c r="U15" s="650"/>
      <c r="V15" s="652"/>
      <c r="W15" s="652"/>
      <c r="X15" s="650"/>
      <c r="Y15" s="654"/>
      <c r="Z15" s="689"/>
      <c r="AA15" s="692"/>
    </row>
    <row r="16" spans="1:38" ht="38.25" customHeight="1" x14ac:dyDescent="0.2">
      <c r="A16" s="42" t="s">
        <v>92</v>
      </c>
      <c r="B16" s="43">
        <v>23</v>
      </c>
      <c r="C16" s="44">
        <v>73811</v>
      </c>
      <c r="D16" s="45">
        <v>1</v>
      </c>
      <c r="E16" s="45">
        <v>7</v>
      </c>
      <c r="F16" s="46">
        <v>73811</v>
      </c>
      <c r="G16" s="46">
        <v>2000</v>
      </c>
      <c r="H16" s="46">
        <v>0</v>
      </c>
      <c r="I16" s="46">
        <v>1100</v>
      </c>
      <c r="J16" s="46">
        <v>150</v>
      </c>
      <c r="K16" s="47">
        <f>F16*11%</f>
        <v>8119.21</v>
      </c>
      <c r="L16" s="48">
        <f>SUM(F16:K16)</f>
        <v>85180.21</v>
      </c>
      <c r="M16" s="49">
        <f>F16*12%</f>
        <v>8857.32</v>
      </c>
      <c r="N16" s="46">
        <v>100</v>
      </c>
      <c r="O16" s="46">
        <v>550</v>
      </c>
      <c r="P16" s="46">
        <v>100</v>
      </c>
      <c r="Q16" s="50">
        <f>SUM(M16:P16)</f>
        <v>9607.32</v>
      </c>
      <c r="R16" s="50">
        <f>L16+Q16</f>
        <v>94787.53</v>
      </c>
      <c r="S16" s="50">
        <f t="shared" ref="S16:S23" si="0">R16*E16</f>
        <v>663512.71</v>
      </c>
      <c r="T16" s="46"/>
      <c r="U16" s="46">
        <v>6000</v>
      </c>
      <c r="V16" s="46">
        <f>F16</f>
        <v>73811</v>
      </c>
      <c r="W16" s="46">
        <f>2500*2</f>
        <v>5000</v>
      </c>
      <c r="X16" s="46">
        <v>5000</v>
      </c>
      <c r="Y16" s="46">
        <f>SUM(T16:X16)</f>
        <v>89811</v>
      </c>
      <c r="Z16" s="51">
        <f t="shared" ref="Z16" si="1">SUM(Y16+S16)</f>
        <v>753323.71</v>
      </c>
      <c r="AA16" s="52">
        <f t="shared" ref="AA16:AA23" si="2">Z16*D16</f>
        <v>753323.71</v>
      </c>
    </row>
    <row r="17" spans="1:29" ht="17.25" customHeight="1" x14ac:dyDescent="0.2">
      <c r="A17" s="53" t="s">
        <v>93</v>
      </c>
      <c r="B17" s="54">
        <v>17</v>
      </c>
      <c r="C17" s="55">
        <v>36942</v>
      </c>
      <c r="D17" s="56">
        <v>1</v>
      </c>
      <c r="E17" s="56">
        <v>7</v>
      </c>
      <c r="F17" s="57">
        <f t="shared" ref="F17:F23" si="3">C17</f>
        <v>36942</v>
      </c>
      <c r="G17" s="57">
        <v>2000</v>
      </c>
      <c r="H17" s="57">
        <v>0</v>
      </c>
      <c r="I17" s="57">
        <f t="shared" ref="I17:I23" si="4">50*22</f>
        <v>1100</v>
      </c>
      <c r="J17" s="57">
        <v>150</v>
      </c>
      <c r="K17" s="58">
        <f>F17*25%</f>
        <v>9235.5</v>
      </c>
      <c r="L17" s="59">
        <f>SUM(F17:K17)</f>
        <v>49427.5</v>
      </c>
      <c r="M17" s="60">
        <f>F17*12%</f>
        <v>4433.04</v>
      </c>
      <c r="N17" s="57">
        <v>100</v>
      </c>
      <c r="O17" s="57">
        <f t="shared" ref="O17:O23" si="5">(C17*2.75%)/2</f>
        <v>507.95249999999999</v>
      </c>
      <c r="P17" s="57">
        <v>100</v>
      </c>
      <c r="Q17" s="61">
        <f>SUM(M17:P17)</f>
        <v>5140.9925000000003</v>
      </c>
      <c r="R17" s="61">
        <f>L17+Q17</f>
        <v>54568.4925</v>
      </c>
      <c r="S17" s="61">
        <f t="shared" si="0"/>
        <v>381979.44750000001</v>
      </c>
      <c r="T17" s="57">
        <v>0</v>
      </c>
      <c r="U17" s="57">
        <v>6000</v>
      </c>
      <c r="V17" s="57">
        <f t="shared" ref="V17:V18" si="6">F17</f>
        <v>36942</v>
      </c>
      <c r="W17" s="57">
        <f t="shared" ref="W17:W23" si="7">2500*2</f>
        <v>5000</v>
      </c>
      <c r="X17" s="57">
        <v>5000</v>
      </c>
      <c r="Y17" s="57">
        <f t="shared" ref="Y17:Y23" si="8">SUM(T17:X17)</f>
        <v>52942</v>
      </c>
      <c r="Z17" s="62">
        <f t="shared" ref="Z17:Z23" si="9">SUM(Y17+S17)</f>
        <v>434921.44750000001</v>
      </c>
      <c r="AA17" s="63">
        <f t="shared" si="2"/>
        <v>434921.44750000001</v>
      </c>
    </row>
    <row r="18" spans="1:29" ht="17.25" customHeight="1" x14ac:dyDescent="0.2">
      <c r="A18" s="53" t="s">
        <v>94</v>
      </c>
      <c r="B18" s="54">
        <v>15</v>
      </c>
      <c r="C18" s="55">
        <v>30531</v>
      </c>
      <c r="D18" s="56">
        <v>1</v>
      </c>
      <c r="E18" s="56">
        <v>7</v>
      </c>
      <c r="F18" s="57">
        <f t="shared" si="3"/>
        <v>30531</v>
      </c>
      <c r="G18" s="57">
        <v>2000</v>
      </c>
      <c r="H18" s="57">
        <v>0</v>
      </c>
      <c r="I18" s="57">
        <f t="shared" si="4"/>
        <v>1100</v>
      </c>
      <c r="J18" s="57">
        <v>150</v>
      </c>
      <c r="K18" s="58">
        <f t="shared" ref="K18:K23" si="10">F18*25%</f>
        <v>7632.75</v>
      </c>
      <c r="L18" s="59">
        <f t="shared" ref="L18" si="11">SUM(F18:K18)</f>
        <v>41413.75</v>
      </c>
      <c r="M18" s="60">
        <f t="shared" ref="M18" si="12">F18*12%</f>
        <v>3663.72</v>
      </c>
      <c r="N18" s="57">
        <v>100</v>
      </c>
      <c r="O18" s="57">
        <f t="shared" si="5"/>
        <v>419.80124999999998</v>
      </c>
      <c r="P18" s="57">
        <v>100</v>
      </c>
      <c r="Q18" s="61">
        <f t="shared" ref="Q18" si="13">SUM(M18:P18)</f>
        <v>4283.5212499999998</v>
      </c>
      <c r="R18" s="61">
        <f t="shared" ref="R18" si="14">L18+Q18</f>
        <v>45697.271249999998</v>
      </c>
      <c r="S18" s="61">
        <f t="shared" si="0"/>
        <v>319880.89874999999</v>
      </c>
      <c r="T18" s="57">
        <v>0</v>
      </c>
      <c r="U18" s="57">
        <v>6000</v>
      </c>
      <c r="V18" s="57">
        <f t="shared" si="6"/>
        <v>30531</v>
      </c>
      <c r="W18" s="57">
        <f t="shared" si="7"/>
        <v>5000</v>
      </c>
      <c r="X18" s="57">
        <v>5000</v>
      </c>
      <c r="Y18" s="57">
        <f t="shared" si="8"/>
        <v>46531</v>
      </c>
      <c r="Z18" s="62">
        <f t="shared" si="9"/>
        <v>366411.89874999999</v>
      </c>
      <c r="AA18" s="63">
        <f t="shared" si="2"/>
        <v>366411.89874999999</v>
      </c>
    </row>
    <row r="19" spans="1:29" ht="17.25" customHeight="1" x14ac:dyDescent="0.2">
      <c r="A19" s="53" t="s">
        <v>95</v>
      </c>
      <c r="B19" s="54">
        <v>15</v>
      </c>
      <c r="C19" s="55">
        <v>30531</v>
      </c>
      <c r="D19" s="56">
        <v>1</v>
      </c>
      <c r="E19" s="56">
        <v>7</v>
      </c>
      <c r="F19" s="57">
        <f t="shared" si="3"/>
        <v>30531</v>
      </c>
      <c r="G19" s="57">
        <v>2000</v>
      </c>
      <c r="H19" s="57">
        <v>0</v>
      </c>
      <c r="I19" s="57">
        <f t="shared" si="4"/>
        <v>1100</v>
      </c>
      <c r="J19" s="57">
        <v>150</v>
      </c>
      <c r="K19" s="58">
        <f t="shared" si="10"/>
        <v>7632.75</v>
      </c>
      <c r="L19" s="59">
        <f>SUM(F19:K19)</f>
        <v>41413.75</v>
      </c>
      <c r="M19" s="60">
        <f>F19*12%</f>
        <v>3663.72</v>
      </c>
      <c r="N19" s="57">
        <v>100</v>
      </c>
      <c r="O19" s="57">
        <f t="shared" si="5"/>
        <v>419.80124999999998</v>
      </c>
      <c r="P19" s="57">
        <v>100</v>
      </c>
      <c r="Q19" s="61">
        <f>SUM(M19:P19)</f>
        <v>4283.5212499999998</v>
      </c>
      <c r="R19" s="61">
        <f>L19+Q19</f>
        <v>45697.271249999998</v>
      </c>
      <c r="S19" s="61">
        <f t="shared" si="0"/>
        <v>319880.89874999999</v>
      </c>
      <c r="T19" s="57">
        <v>0</v>
      </c>
      <c r="U19" s="57">
        <v>6000</v>
      </c>
      <c r="V19" s="57">
        <f>F19</f>
        <v>30531</v>
      </c>
      <c r="W19" s="57">
        <f t="shared" si="7"/>
        <v>5000</v>
      </c>
      <c r="X19" s="57">
        <v>5000</v>
      </c>
      <c r="Y19" s="57">
        <f t="shared" si="8"/>
        <v>46531</v>
      </c>
      <c r="Z19" s="62">
        <f t="shared" si="9"/>
        <v>366411.89874999999</v>
      </c>
      <c r="AA19" s="63">
        <f t="shared" si="2"/>
        <v>366411.89874999999</v>
      </c>
    </row>
    <row r="20" spans="1:29" ht="17.25" customHeight="1" x14ac:dyDescent="0.2">
      <c r="A20" s="53" t="s">
        <v>96</v>
      </c>
      <c r="B20" s="54">
        <v>15</v>
      </c>
      <c r="C20" s="55">
        <v>30531</v>
      </c>
      <c r="D20" s="56">
        <v>1</v>
      </c>
      <c r="E20" s="56">
        <v>7</v>
      </c>
      <c r="F20" s="57">
        <f t="shared" si="3"/>
        <v>30531</v>
      </c>
      <c r="G20" s="57">
        <v>2000</v>
      </c>
      <c r="H20" s="57">
        <v>0</v>
      </c>
      <c r="I20" s="57">
        <f t="shared" si="4"/>
        <v>1100</v>
      </c>
      <c r="J20" s="57">
        <v>150</v>
      </c>
      <c r="K20" s="58">
        <f t="shared" si="10"/>
        <v>7632.75</v>
      </c>
      <c r="L20" s="59">
        <f>SUM(F20:K20)</f>
        <v>41413.75</v>
      </c>
      <c r="M20" s="60">
        <f>F20*12%</f>
        <v>3663.72</v>
      </c>
      <c r="N20" s="57">
        <v>100</v>
      </c>
      <c r="O20" s="57">
        <f t="shared" si="5"/>
        <v>419.80124999999998</v>
      </c>
      <c r="P20" s="57">
        <v>100</v>
      </c>
      <c r="Q20" s="61">
        <f>SUM(M20:P20)</f>
        <v>4283.5212499999998</v>
      </c>
      <c r="R20" s="61">
        <f>L20+Q20</f>
        <v>45697.271249999998</v>
      </c>
      <c r="S20" s="61">
        <f t="shared" si="0"/>
        <v>319880.89874999999</v>
      </c>
      <c r="T20" s="57">
        <v>0</v>
      </c>
      <c r="U20" s="57">
        <v>6000</v>
      </c>
      <c r="V20" s="57">
        <f>F20</f>
        <v>30531</v>
      </c>
      <c r="W20" s="57">
        <f t="shared" si="7"/>
        <v>5000</v>
      </c>
      <c r="X20" s="57">
        <v>5000</v>
      </c>
      <c r="Y20" s="57">
        <f t="shared" si="8"/>
        <v>46531</v>
      </c>
      <c r="Z20" s="62">
        <f t="shared" si="9"/>
        <v>366411.89874999999</v>
      </c>
      <c r="AA20" s="63">
        <f t="shared" si="2"/>
        <v>366411.89874999999</v>
      </c>
    </row>
    <row r="21" spans="1:29" ht="17.25" customHeight="1" x14ac:dyDescent="0.2">
      <c r="A21" s="53" t="s">
        <v>97</v>
      </c>
      <c r="B21" s="54">
        <v>15</v>
      </c>
      <c r="C21" s="55">
        <v>30531</v>
      </c>
      <c r="D21" s="56">
        <v>1</v>
      </c>
      <c r="E21" s="56">
        <v>7</v>
      </c>
      <c r="F21" s="57">
        <f t="shared" si="3"/>
        <v>30531</v>
      </c>
      <c r="G21" s="57">
        <v>2000</v>
      </c>
      <c r="H21" s="57">
        <v>0</v>
      </c>
      <c r="I21" s="57">
        <f t="shared" si="4"/>
        <v>1100</v>
      </c>
      <c r="J21" s="57">
        <v>150</v>
      </c>
      <c r="K21" s="58">
        <f t="shared" si="10"/>
        <v>7632.75</v>
      </c>
      <c r="L21" s="59">
        <f t="shared" ref="L21:L22" si="15">SUM(F21:K21)</f>
        <v>41413.75</v>
      </c>
      <c r="M21" s="60">
        <f t="shared" ref="M21:M23" si="16">F21*12%</f>
        <v>3663.72</v>
      </c>
      <c r="N21" s="57">
        <v>100</v>
      </c>
      <c r="O21" s="57">
        <f t="shared" si="5"/>
        <v>419.80124999999998</v>
      </c>
      <c r="P21" s="57">
        <v>100</v>
      </c>
      <c r="Q21" s="61">
        <f t="shared" ref="Q21:Q23" si="17">SUM(M21:P21)</f>
        <v>4283.5212499999998</v>
      </c>
      <c r="R21" s="61">
        <f t="shared" ref="R21:R23" si="18">L21+Q21</f>
        <v>45697.271249999998</v>
      </c>
      <c r="S21" s="61">
        <f t="shared" si="0"/>
        <v>319880.89874999999</v>
      </c>
      <c r="T21" s="57">
        <v>0</v>
      </c>
      <c r="U21" s="57">
        <v>6000</v>
      </c>
      <c r="V21" s="57">
        <f>F21</f>
        <v>30531</v>
      </c>
      <c r="W21" s="57">
        <f t="shared" si="7"/>
        <v>5000</v>
      </c>
      <c r="X21" s="57">
        <v>5000</v>
      </c>
      <c r="Y21" s="57">
        <f t="shared" si="8"/>
        <v>46531</v>
      </c>
      <c r="Z21" s="62">
        <f t="shared" si="9"/>
        <v>366411.89874999999</v>
      </c>
      <c r="AA21" s="63">
        <f t="shared" si="2"/>
        <v>366411.89874999999</v>
      </c>
    </row>
    <row r="22" spans="1:29" ht="17.25" customHeight="1" x14ac:dyDescent="0.2">
      <c r="A22" s="53" t="s">
        <v>98</v>
      </c>
      <c r="B22" s="54">
        <v>11</v>
      </c>
      <c r="C22" s="55">
        <v>20754</v>
      </c>
      <c r="D22" s="56">
        <v>1</v>
      </c>
      <c r="E22" s="56">
        <v>7</v>
      </c>
      <c r="F22" s="57">
        <f t="shared" si="3"/>
        <v>20754</v>
      </c>
      <c r="G22" s="57">
        <v>2000</v>
      </c>
      <c r="H22" s="57">
        <v>0</v>
      </c>
      <c r="I22" s="57">
        <f t="shared" si="4"/>
        <v>1100</v>
      </c>
      <c r="J22" s="57">
        <v>150</v>
      </c>
      <c r="K22" s="58">
        <f t="shared" si="10"/>
        <v>5188.5</v>
      </c>
      <c r="L22" s="59">
        <f t="shared" si="15"/>
        <v>29192.5</v>
      </c>
      <c r="M22" s="60">
        <f t="shared" si="16"/>
        <v>2490.48</v>
      </c>
      <c r="N22" s="57">
        <v>100</v>
      </c>
      <c r="O22" s="57">
        <f t="shared" si="5"/>
        <v>285.36750000000001</v>
      </c>
      <c r="P22" s="57">
        <v>100</v>
      </c>
      <c r="Q22" s="61">
        <f t="shared" si="17"/>
        <v>2975.8474999999999</v>
      </c>
      <c r="R22" s="61">
        <f t="shared" si="18"/>
        <v>32168.3475</v>
      </c>
      <c r="S22" s="61">
        <f t="shared" si="0"/>
        <v>225178.4325</v>
      </c>
      <c r="T22" s="57">
        <v>0</v>
      </c>
      <c r="U22" s="57">
        <v>6000</v>
      </c>
      <c r="V22" s="57">
        <f t="shared" ref="V22" si="19">F22</f>
        <v>20754</v>
      </c>
      <c r="W22" s="57">
        <f t="shared" si="7"/>
        <v>5000</v>
      </c>
      <c r="X22" s="57">
        <v>5000</v>
      </c>
      <c r="Y22" s="57">
        <f t="shared" si="8"/>
        <v>36754</v>
      </c>
      <c r="Z22" s="62">
        <f t="shared" si="9"/>
        <v>261932.4325</v>
      </c>
      <c r="AA22" s="63">
        <f t="shared" si="2"/>
        <v>261932.4325</v>
      </c>
    </row>
    <row r="23" spans="1:29" ht="17.25" customHeight="1" thickBot="1" x14ac:dyDescent="0.25">
      <c r="A23" s="64" t="s">
        <v>97</v>
      </c>
      <c r="B23" s="65">
        <v>15</v>
      </c>
      <c r="C23" s="66">
        <v>30531</v>
      </c>
      <c r="D23" s="67">
        <v>1</v>
      </c>
      <c r="E23" s="67">
        <v>7</v>
      </c>
      <c r="F23" s="68">
        <f t="shared" si="3"/>
        <v>30531</v>
      </c>
      <c r="G23" s="68">
        <v>2000</v>
      </c>
      <c r="H23" s="68">
        <v>0</v>
      </c>
      <c r="I23" s="68">
        <f t="shared" si="4"/>
        <v>1100</v>
      </c>
      <c r="J23" s="68">
        <v>150</v>
      </c>
      <c r="K23" s="69">
        <f t="shared" si="10"/>
        <v>7632.75</v>
      </c>
      <c r="L23" s="70">
        <f t="shared" ref="L23" si="20">SUM(F23:K23)</f>
        <v>41413.75</v>
      </c>
      <c r="M23" s="71">
        <f t="shared" si="16"/>
        <v>3663.72</v>
      </c>
      <c r="N23" s="68">
        <v>100</v>
      </c>
      <c r="O23" s="68">
        <f t="shared" si="5"/>
        <v>419.80124999999998</v>
      </c>
      <c r="P23" s="68">
        <v>100</v>
      </c>
      <c r="Q23" s="72">
        <f t="shared" si="17"/>
        <v>4283.5212499999998</v>
      </c>
      <c r="R23" s="72">
        <f t="shared" si="18"/>
        <v>45697.271249999998</v>
      </c>
      <c r="S23" s="72">
        <f t="shared" si="0"/>
        <v>319880.89874999999</v>
      </c>
      <c r="T23" s="68">
        <v>0</v>
      </c>
      <c r="U23" s="68">
        <v>6000</v>
      </c>
      <c r="V23" s="68">
        <f>F23</f>
        <v>30531</v>
      </c>
      <c r="W23" s="68">
        <f t="shared" si="7"/>
        <v>5000</v>
      </c>
      <c r="X23" s="68">
        <v>5000</v>
      </c>
      <c r="Y23" s="68">
        <f t="shared" si="8"/>
        <v>46531</v>
      </c>
      <c r="Z23" s="73">
        <f t="shared" si="9"/>
        <v>366411.89874999999</v>
      </c>
      <c r="AA23" s="74">
        <f t="shared" si="2"/>
        <v>366411.89874999999</v>
      </c>
    </row>
    <row r="24" spans="1:29" ht="13.5" thickTop="1" x14ac:dyDescent="0.2">
      <c r="A24" s="75"/>
      <c r="D24" s="76"/>
      <c r="E24" s="76"/>
      <c r="L24" s="77"/>
      <c r="Q24" s="78"/>
      <c r="R24" s="78"/>
      <c r="S24" s="78"/>
      <c r="T24" s="33">
        <v>0</v>
      </c>
      <c r="Z24" s="79"/>
      <c r="AA24" s="80"/>
    </row>
    <row r="25" spans="1:29" s="88" customFormat="1" ht="15.75" customHeight="1" thickBot="1" x14ac:dyDescent="0.25">
      <c r="A25" s="81" t="s">
        <v>99</v>
      </c>
      <c r="B25" s="82"/>
      <c r="C25" s="83"/>
      <c r="D25" s="84">
        <f>SUM(D16:D23)</f>
        <v>8</v>
      </c>
      <c r="E25" s="84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87">
        <f>SUM(AA16:AA24)</f>
        <v>3282237.0837500002</v>
      </c>
      <c r="AC25" s="89"/>
    </row>
  </sheetData>
  <sheetProtection sheet="1" objects="1" scenarios="1"/>
  <mergeCells count="18">
    <mergeCell ref="A11:AA11"/>
    <mergeCell ref="A13:A15"/>
    <mergeCell ref="B13:C15"/>
    <mergeCell ref="D13:D15"/>
    <mergeCell ref="E13:E15"/>
    <mergeCell ref="F13:L14"/>
    <mergeCell ref="M13:Q14"/>
    <mergeCell ref="R13:R14"/>
    <mergeCell ref="S13:S15"/>
    <mergeCell ref="T13:Y13"/>
    <mergeCell ref="Z13:Z15"/>
    <mergeCell ref="AA13:AA15"/>
    <mergeCell ref="T14:T15"/>
    <mergeCell ref="U14:U15"/>
    <mergeCell ref="V14:V15"/>
    <mergeCell ref="W14:W15"/>
    <mergeCell ref="X14:X15"/>
    <mergeCell ref="Y14:Y15"/>
  </mergeCells>
  <printOptions horizontalCentered="1"/>
  <pageMargins left="0.19685039370078741" right="0.23622047244094491" top="0.31496062992125984" bottom="0.74803149606299213" header="0.31496062992125984" footer="0.31496062992125984"/>
  <pageSetup paperSize="14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OB-R-NDP</vt:lpstr>
      <vt:lpstr>OB-R-Midwives</vt:lpstr>
      <vt:lpstr>OB-R-PDP MTDP</vt:lpstr>
      <vt:lpstr>NDP</vt:lpstr>
      <vt:lpstr>RHMPP</vt:lpstr>
      <vt:lpstr>PDP MTDP...</vt:lpstr>
      <vt:lpstr>Salary</vt:lpstr>
      <vt:lpstr>NDP!Print_Area</vt:lpstr>
      <vt:lpstr>'OB-R-Midwives'!Print_Area</vt:lpstr>
      <vt:lpstr>'OB-R-NDP'!Print_Area</vt:lpstr>
      <vt:lpstr>'OB-R-PDP MTDP'!Print_Area</vt:lpstr>
      <vt:lpstr>'PDP MTDP...'!Print_Area</vt:lpstr>
      <vt:lpstr>RHMPP!Print_Area</vt:lpstr>
      <vt:lpstr>Salary!Print_Area</vt:lpstr>
      <vt:lpstr>NDP!Print_Titles</vt:lpstr>
      <vt:lpstr>'PDP MTDP...'!Print_Titles</vt:lpstr>
      <vt:lpstr>RHMPP!Print_Titles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Doh</cp:lastModifiedBy>
  <cp:lastPrinted>2023-06-21T23:50:55Z</cp:lastPrinted>
  <dcterms:created xsi:type="dcterms:W3CDTF">2015-10-20T00:34:46Z</dcterms:created>
  <dcterms:modified xsi:type="dcterms:W3CDTF">2023-06-21T23:59:38Z</dcterms:modified>
</cp:coreProperties>
</file>