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enesasgroup-my.sharepoint.com/personal/gary_kidwell_wz_renesas_com/Documents/python/charger/mathmodels/pdis_2or3lvl_bb/data/"/>
    </mc:Choice>
  </mc:AlternateContent>
  <xr:revisionPtr revIDLastSave="803" documentId="11_88A5EEC595FCDE19E65C93C75DD0486FD8C93E14" xr6:coauthVersionLast="47" xr6:coauthVersionMax="47" xr10:uidLastSave="{160B5F0C-4B7F-4577-AABA-9F5AB12CA9CB}"/>
  <bookViews>
    <workbookView xWindow="-120" yWindow="-120" windowWidth="29040" windowHeight="17640" tabRatio="772" firstSheet="11" activeTab="23" xr2:uid="{00000000-000D-0000-FFFF-FFFF00000000}"/>
  </bookViews>
  <sheets>
    <sheet name="htel20121b" sheetId="21" r:id="rId1"/>
    <sheet name="htep32251b" sheetId="22" r:id="rId2"/>
    <sheet name="htey030S" sheetId="19" r:id="rId3"/>
    <sheet name="hbeq031b" sheetId="20" r:id="rId4"/>
    <sheet name="cmle051e" sheetId="13" r:id="rId5"/>
    <sheet name="cmle051h" sheetId="14" r:id="rId6"/>
    <sheet name="hbed053t" sheetId="16" r:id="rId7"/>
    <sheet name="pimb053t" sheetId="12" r:id="rId8"/>
    <sheet name="cmlb053t" sheetId="5" r:id="rId9"/>
    <sheet name="cmle061b" sheetId="9" r:id="rId10"/>
    <sheet name="cmle061e" sheetId="10" r:id="rId11"/>
    <sheet name="cmle062t" sheetId="8" r:id="rId12"/>
    <sheet name="cmls062d" sheetId="15" r:id="rId13"/>
    <sheet name="cmlb063t" sheetId="6" r:id="rId14"/>
    <sheet name="cmle063t" sheetId="2" r:id="rId15"/>
    <sheet name="hbed063t" sheetId="18" r:id="rId16"/>
    <sheet name="cmll063t" sheetId="17" r:id="rId17"/>
    <sheet name="pimb063t" sheetId="11" r:id="rId18"/>
    <sheet name="cmle064t" sheetId="24" r:id="rId19"/>
    <sheet name="cmle083t" sheetId="27" r:id="rId20"/>
    <sheet name="cmle103t" sheetId="25" r:id="rId21"/>
    <sheet name="cmle104t" sheetId="26" r:id="rId22"/>
    <sheet name="cmlb104t" sheetId="4" r:id="rId23"/>
    <sheet name="cmle105t" sheetId="28" r:id="rId24"/>
    <sheet name="cmls135t" sheetId="23" r:id="rId2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8" l="1"/>
  <c r="F2" i="28"/>
  <c r="E2" i="27"/>
  <c r="F2" i="27"/>
  <c r="E3" i="26"/>
  <c r="E4" i="26"/>
  <c r="E2" i="26"/>
  <c r="F3" i="26"/>
  <c r="F4" i="26"/>
  <c r="F2" i="26"/>
  <c r="F3" i="25"/>
  <c r="F2" i="25"/>
  <c r="E2" i="24" l="1"/>
  <c r="F2" i="24"/>
  <c r="F2" i="23"/>
  <c r="E2" i="23" s="1"/>
  <c r="F2" i="22"/>
  <c r="E2" i="22" s="1"/>
  <c r="F2" i="21"/>
  <c r="E2" i="21" s="1"/>
  <c r="G2" i="19"/>
  <c r="F2" i="20"/>
  <c r="E2" i="20" s="1"/>
  <c r="F2" i="19"/>
  <c r="E2" i="19" s="1"/>
  <c r="F2" i="18"/>
  <c r="E2" i="18" s="1"/>
  <c r="E2" i="17"/>
  <c r="F2" i="17"/>
  <c r="E3" i="16"/>
  <c r="F3" i="16"/>
  <c r="E4" i="16"/>
  <c r="F4" i="16"/>
  <c r="E5" i="16"/>
  <c r="F5" i="16"/>
  <c r="E6" i="16"/>
  <c r="F6" i="16"/>
  <c r="E7" i="16"/>
  <c r="F7" i="16"/>
  <c r="E8" i="16"/>
  <c r="F8" i="16"/>
  <c r="E9" i="16"/>
  <c r="F9" i="16"/>
  <c r="E10" i="16"/>
  <c r="F10" i="16"/>
  <c r="E11" i="16"/>
  <c r="F11" i="16"/>
  <c r="E2" i="16"/>
  <c r="F2" i="16"/>
  <c r="G11" i="16"/>
  <c r="G10" i="16"/>
  <c r="G9" i="16"/>
  <c r="G8" i="16"/>
  <c r="G7" i="16"/>
  <c r="G6" i="16"/>
  <c r="G5" i="16"/>
  <c r="G4" i="16"/>
  <c r="G3" i="16"/>
  <c r="G2" i="16"/>
  <c r="F3" i="14"/>
  <c r="E3" i="14" s="1"/>
  <c r="G3" i="14"/>
  <c r="F3" i="13"/>
  <c r="E3" i="13" s="1"/>
  <c r="G3" i="13"/>
  <c r="G2" i="2"/>
  <c r="G4" i="14"/>
  <c r="F4" i="14"/>
  <c r="E4" i="14" s="1"/>
  <c r="F2" i="14"/>
  <c r="E2" i="14" s="1"/>
  <c r="F4" i="13"/>
  <c r="E4" i="13" s="1"/>
  <c r="F2" i="13"/>
  <c r="E2" i="13" s="1"/>
  <c r="G2" i="13"/>
  <c r="E3" i="11"/>
  <c r="F3" i="11"/>
  <c r="F2" i="11"/>
  <c r="E2" i="11" s="1"/>
  <c r="F2" i="12"/>
  <c r="E2" i="12" s="1"/>
  <c r="G2" i="12"/>
  <c r="G3" i="11"/>
  <c r="G2" i="11"/>
  <c r="G3" i="10"/>
  <c r="G2" i="10"/>
  <c r="F3" i="10"/>
  <c r="E3" i="10" s="1"/>
  <c r="F2" i="10"/>
  <c r="E2" i="10" s="1"/>
  <c r="E3" i="9"/>
  <c r="E2" i="9"/>
  <c r="F3" i="9"/>
  <c r="F2" i="9"/>
  <c r="G3" i="9"/>
  <c r="G2" i="9"/>
  <c r="E3" i="8"/>
  <c r="E2" i="8"/>
  <c r="F3" i="8"/>
  <c r="F2" i="8"/>
  <c r="G3" i="8"/>
  <c r="G2" i="8"/>
  <c r="E2" i="2"/>
  <c r="E3" i="2"/>
  <c r="F2" i="2"/>
  <c r="F3" i="2"/>
  <c r="G3" i="2"/>
  <c r="G2" i="6"/>
  <c r="F4" i="6"/>
  <c r="E4" i="6" s="1"/>
  <c r="F3" i="6"/>
  <c r="E3" i="6" s="1"/>
  <c r="F2" i="6"/>
  <c r="E2" i="6" s="1"/>
  <c r="G5" i="5"/>
  <c r="G4" i="5"/>
  <c r="G3" i="5"/>
  <c r="G2" i="5"/>
  <c r="F5" i="5"/>
  <c r="E5" i="5" s="1"/>
  <c r="F4" i="5"/>
  <c r="E4" i="5" s="1"/>
  <c r="F3" i="5"/>
  <c r="E3" i="5" s="1"/>
  <c r="F2" i="5"/>
  <c r="E2" i="5" s="1"/>
  <c r="F3" i="4"/>
  <c r="F4" i="4"/>
  <c r="E4" i="4" s="1"/>
  <c r="F5" i="4"/>
  <c r="E5" i="4" s="1"/>
  <c r="F6" i="4"/>
  <c r="F7" i="4"/>
  <c r="E7" i="4" s="1"/>
  <c r="F8" i="4"/>
  <c r="E8" i="4" s="1"/>
  <c r="F9" i="4"/>
  <c r="E9" i="4" s="1"/>
  <c r="F10" i="4"/>
  <c r="F11" i="4"/>
  <c r="F12" i="4"/>
  <c r="F13" i="4"/>
  <c r="F14" i="4"/>
  <c r="F15" i="4"/>
  <c r="E15" i="4" s="1"/>
  <c r="F16" i="4"/>
  <c r="F2" i="4"/>
  <c r="E2" i="4" s="1"/>
  <c r="F5" i="2"/>
  <c r="E5" i="2" s="1"/>
  <c r="F6" i="2"/>
  <c r="E6" i="2" s="1"/>
  <c r="F7" i="2"/>
  <c r="E7" i="2" s="1"/>
  <c r="F8" i="2"/>
  <c r="E8" i="2" s="1"/>
  <c r="F9" i="2"/>
  <c r="E9" i="2" s="1"/>
  <c r="F10" i="2"/>
  <c r="E10" i="2" s="1"/>
  <c r="F11" i="2"/>
  <c r="E11" i="2" s="1"/>
  <c r="F12" i="2"/>
  <c r="E12" i="2" s="1"/>
  <c r="F13" i="2"/>
  <c r="E13" i="2" s="1"/>
  <c r="F14" i="2"/>
  <c r="E14" i="2" s="1"/>
  <c r="F15" i="2"/>
  <c r="E15" i="2" s="1"/>
  <c r="F16" i="2"/>
  <c r="E16" i="2" s="1"/>
  <c r="F4" i="2"/>
  <c r="E4" i="2" s="1"/>
  <c r="E3" i="4"/>
  <c r="E6" i="4"/>
  <c r="E10" i="4"/>
  <c r="E11" i="4"/>
  <c r="E12" i="4"/>
  <c r="E13" i="4"/>
  <c r="E14" i="4"/>
  <c r="E16" i="4"/>
</calcChain>
</file>

<file path=xl/sharedStrings.xml><?xml version="1.0" encoding="utf-8"?>
<sst xmlns="http://schemas.openxmlformats.org/spreadsheetml/2006/main" count="428" uniqueCount="39">
  <si>
    <t>Lout</t>
  </si>
  <si>
    <t>DCR</t>
  </si>
  <si>
    <t>Iheat</t>
  </si>
  <si>
    <t>Isat</t>
  </si>
  <si>
    <t>family</t>
  </si>
  <si>
    <t>x</t>
  </si>
  <si>
    <t>y</t>
  </si>
  <si>
    <t>z</t>
  </si>
  <si>
    <t>cmle063t</t>
  </si>
  <si>
    <t>Pheat</t>
  </si>
  <si>
    <t>Rth</t>
  </si>
  <si>
    <t>cmlb104t</t>
  </si>
  <si>
    <t>Kb</t>
  </si>
  <si>
    <t>Kx</t>
  </si>
  <si>
    <t>Ky</t>
  </si>
  <si>
    <t>Ka</t>
  </si>
  <si>
    <t>cmlb053t</t>
  </si>
  <si>
    <t>cmlb063t</t>
  </si>
  <si>
    <t>cmls062d</t>
  </si>
  <si>
    <t>cmle062t</t>
  </si>
  <si>
    <t>cmle061b</t>
  </si>
  <si>
    <t>cmle061e</t>
  </si>
  <si>
    <t>pimb063t</t>
  </si>
  <si>
    <t>pimb053t</t>
  </si>
  <si>
    <t>cmle051e</t>
  </si>
  <si>
    <t>cmle051h</t>
  </si>
  <si>
    <t>hbed053t</t>
  </si>
  <si>
    <t>cmll063t</t>
  </si>
  <si>
    <t>hbed063t</t>
  </si>
  <si>
    <t>htey030s</t>
  </si>
  <si>
    <t>hbeq031b</t>
  </si>
  <si>
    <t>htep32251b</t>
  </si>
  <si>
    <t>htel20121b</t>
  </si>
  <si>
    <t>cmls135t</t>
  </si>
  <si>
    <t>cmle064t</t>
  </si>
  <si>
    <t>cmle103t</t>
  </si>
  <si>
    <t>cmle104t</t>
  </si>
  <si>
    <t>cmle083t</t>
  </si>
  <si>
    <t>cmle105t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</si>
</sst>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" x14ac:knownFonts="1"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5" fontId="0" fillId="0" borderId="0" xfId="0" applyNumberFormat="1"/>
    <xf numFmtId="164" fontId="0" fillId="0" borderId="0" xfId="0" applyNumberFormat="1"/>
    <xf numFmtId="11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937AC-E842-4976-9135-6999A76DBDFC}">
  <dimension ref="A1:N2"/>
  <sheetViews>
    <sheetView zoomScale="140" zoomScaleNormal="140" workbookViewId="0">
      <selection activeCell="C2" sqref="C2"/>
    </sheetView>
  </sheetViews>
  <sheetFormatPr defaultRowHeight="12.75" x14ac:dyDescent="0.2"/>
  <cols>
    <col min="7" max="7" width="13.28515625" bestFit="1" customWidth="1"/>
    <col min="11" max="11" width="11.42578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0.11</v>
      </c>
      <c r="B2">
        <v>5.0000000000000001E-3</v>
      </c>
      <c r="C2">
        <v>9.4</v>
      </c>
      <c r="D2">
        <v>12</v>
      </c>
      <c r="E2" s="2">
        <f t="shared" ref="E2" si="0">40/F2</f>
        <v>78.729308953490658</v>
      </c>
      <c r="F2" s="1">
        <f t="shared" ref="F2" si="1">C2^2*B2*1.15</f>
        <v>0.50807000000000002</v>
      </c>
      <c r="G2" s="3">
        <v>2.7809999999999998E-7</v>
      </c>
      <c r="H2" s="3">
        <v>2.1440000000000001E-2</v>
      </c>
      <c r="I2">
        <v>1.2549999999999999</v>
      </c>
      <c r="J2">
        <v>2.3090000000000002</v>
      </c>
      <c r="K2" t="s">
        <v>32</v>
      </c>
      <c r="L2">
        <v>2</v>
      </c>
      <c r="M2">
        <v>1.2</v>
      </c>
      <c r="N2">
        <v>1.2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13006-9952-428D-8BC6-3F226A0269EB}">
  <dimension ref="A1:N3"/>
  <sheetViews>
    <sheetView zoomScale="140" zoomScaleNormal="140" workbookViewId="0">
      <selection activeCell="H9" sqref="H9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2.4E-2</v>
      </c>
      <c r="C2">
        <v>6.7</v>
      </c>
      <c r="D2">
        <v>9.1</v>
      </c>
      <c r="E2">
        <f>40/F2</f>
        <v>32.285038144772571</v>
      </c>
      <c r="F2">
        <f>C2^2*B2*1.15</f>
        <v>1.238964</v>
      </c>
      <c r="G2">
        <f>0.0000466</f>
        <v>4.6600000000000001E-5</v>
      </c>
      <c r="H2">
        <v>1.528E-2</v>
      </c>
      <c r="I2">
        <v>1.101</v>
      </c>
      <c r="J2">
        <v>2.2490000000000001</v>
      </c>
      <c r="K2" t="s">
        <v>20</v>
      </c>
      <c r="L2">
        <v>8.4</v>
      </c>
      <c r="M2">
        <v>6.8</v>
      </c>
      <c r="N2">
        <v>1.2</v>
      </c>
    </row>
    <row r="3" spans="1:14" x14ac:dyDescent="0.2">
      <c r="A3">
        <v>2.2000000000000002</v>
      </c>
      <c r="B3">
        <v>0.05</v>
      </c>
      <c r="C3">
        <v>4.8</v>
      </c>
      <c r="D3">
        <v>6.2</v>
      </c>
      <c r="E3">
        <f>40/F3</f>
        <v>30.19323671497585</v>
      </c>
      <c r="F3">
        <f>C3^2*B3*1.15</f>
        <v>1.3247999999999998</v>
      </c>
      <c r="G3">
        <f>0.0000517</f>
        <v>5.1700000000000003E-5</v>
      </c>
      <c r="H3">
        <v>2.051E-2</v>
      </c>
      <c r="I3">
        <v>1.101</v>
      </c>
      <c r="J3">
        <v>2.2490000000000001</v>
      </c>
      <c r="K3" t="s">
        <v>20</v>
      </c>
      <c r="L3">
        <v>8.4</v>
      </c>
      <c r="M3">
        <v>6.8</v>
      </c>
      <c r="N3">
        <v>1.2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95D26-706C-492F-A2B4-D5602699B03D}">
  <dimension ref="A1:N3"/>
  <sheetViews>
    <sheetView zoomScale="140" zoomScaleNormal="140" workbookViewId="0">
      <selection activeCell="B4" sqref="B4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1.8499999999999999E-2</v>
      </c>
      <c r="C2">
        <v>8.1999999999999993</v>
      </c>
      <c r="D2">
        <v>12</v>
      </c>
      <c r="E2">
        <f>40/F2</f>
        <v>27.961645011537676</v>
      </c>
      <c r="F2">
        <f>C2^2*B2*1.15</f>
        <v>1.4305309999999998</v>
      </c>
      <c r="G2">
        <f>0.0000656</f>
        <v>6.5599999999999995E-5</v>
      </c>
      <c r="H2">
        <v>1.3599999999999999E-2</v>
      </c>
      <c r="I2">
        <v>1.101</v>
      </c>
      <c r="J2">
        <v>2.2490000000000001</v>
      </c>
      <c r="K2" t="s">
        <v>21</v>
      </c>
      <c r="L2">
        <v>8.4</v>
      </c>
      <c r="M2">
        <v>6.8</v>
      </c>
      <c r="N2">
        <v>1.5</v>
      </c>
    </row>
    <row r="3" spans="1:14" x14ac:dyDescent="0.2">
      <c r="A3">
        <v>2.2000000000000002</v>
      </c>
      <c r="B3">
        <v>3.5000000000000003E-2</v>
      </c>
      <c r="C3">
        <v>6</v>
      </c>
      <c r="D3">
        <v>7.2</v>
      </c>
      <c r="E3">
        <f>40/F3</f>
        <v>27.605244996549342</v>
      </c>
      <c r="F3">
        <f>C3^2*B3*1.15</f>
        <v>1.4490000000000001</v>
      </c>
      <c r="G3">
        <f>0.0000634</f>
        <v>6.3399999999999996E-5</v>
      </c>
      <c r="H3">
        <v>2.0830000000000001E-2</v>
      </c>
      <c r="I3">
        <v>1.101</v>
      </c>
      <c r="J3">
        <v>2.2490000000000001</v>
      </c>
      <c r="K3" t="s">
        <v>21</v>
      </c>
      <c r="L3">
        <v>8.4</v>
      </c>
      <c r="M3">
        <v>6.8</v>
      </c>
      <c r="N3">
        <v>1.5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CF10-DCB3-444E-AA0E-E9C95D47B18D}">
  <dimension ref="A1:N3"/>
  <sheetViews>
    <sheetView zoomScale="140" zoomScaleNormal="140" workbookViewId="0">
      <selection activeCell="D3" sqref="D3"/>
    </sheetView>
  </sheetViews>
  <sheetFormatPr defaultRowHeight="12.75" x14ac:dyDescent="0.2"/>
  <cols>
    <col min="7" max="7" width="10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0.01</v>
      </c>
      <c r="C2">
        <v>10.5</v>
      </c>
      <c r="D2">
        <v>14.7</v>
      </c>
      <c r="E2">
        <f>40/F2</f>
        <v>31.548851424627827</v>
      </c>
      <c r="F2">
        <f>C2^2*B2*1.15</f>
        <v>1.2678749999999999</v>
      </c>
      <c r="G2">
        <f>0.0000882</f>
        <v>8.8200000000000003E-5</v>
      </c>
      <c r="H2">
        <v>1.204E-2</v>
      </c>
      <c r="I2">
        <v>1.101</v>
      </c>
      <c r="J2">
        <v>2.2490000000000001</v>
      </c>
      <c r="K2" t="s">
        <v>19</v>
      </c>
      <c r="L2">
        <v>8.4</v>
      </c>
      <c r="M2">
        <v>6.8</v>
      </c>
      <c r="N2">
        <v>2</v>
      </c>
    </row>
    <row r="3" spans="1:14" x14ac:dyDescent="0.2">
      <c r="A3">
        <v>2.2000000000000002</v>
      </c>
      <c r="B3">
        <v>2.1999999999999999E-2</v>
      </c>
      <c r="C3">
        <v>8.3000000000000007</v>
      </c>
      <c r="D3">
        <v>10.3</v>
      </c>
      <c r="E3">
        <f>40/F3</f>
        <v>22.950031470230652</v>
      </c>
      <c r="F3">
        <f>C3^2*B3*1.15</f>
        <v>1.742917</v>
      </c>
      <c r="G3">
        <f>0.000083</f>
        <v>8.2999999999999998E-5</v>
      </c>
      <c r="H3">
        <v>1.7489999999999999E-2</v>
      </c>
      <c r="I3">
        <v>1.101</v>
      </c>
      <c r="J3">
        <v>2.2490000000000001</v>
      </c>
      <c r="K3" t="s">
        <v>19</v>
      </c>
      <c r="L3">
        <v>8.4</v>
      </c>
      <c r="M3">
        <v>6.8</v>
      </c>
      <c r="N3">
        <v>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BC391-7CE4-427C-A1D0-C3A0CD4B07F8}">
  <dimension ref="A1:N2"/>
  <sheetViews>
    <sheetView zoomScale="150" zoomScaleNormal="150" workbookViewId="0">
      <selection activeCell="I19" sqref="I19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0.12</v>
      </c>
      <c r="B2">
        <v>8.9999999999999998E-4</v>
      </c>
      <c r="C2">
        <v>32</v>
      </c>
      <c r="D2">
        <v>57</v>
      </c>
      <c r="E2">
        <v>37.74154589371981</v>
      </c>
      <c r="F2">
        <v>1.0598399999999999</v>
      </c>
      <c r="G2">
        <v>4.9799999999999996E-4</v>
      </c>
      <c r="H2">
        <v>3.552E-3</v>
      </c>
      <c r="I2">
        <v>1.0109999999999999</v>
      </c>
      <c r="J2">
        <v>2.363</v>
      </c>
      <c r="K2" t="s">
        <v>18</v>
      </c>
      <c r="L2">
        <v>8.4</v>
      </c>
      <c r="M2">
        <v>6.8</v>
      </c>
      <c r="N2">
        <v>2.4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A6BDF-C8EC-4A56-8A8C-7D4D9FABD0E6}">
  <dimension ref="A1:N4"/>
  <sheetViews>
    <sheetView zoomScale="150" zoomScaleNormal="150" workbookViewId="0">
      <selection activeCell="K29" sqref="K29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6.6E-3</v>
      </c>
      <c r="C2">
        <v>13</v>
      </c>
      <c r="D2">
        <v>16.5</v>
      </c>
      <c r="E2" s="2">
        <f t="shared" ref="E2:E4" si="0">40/F2</f>
        <v>31.183977672271993</v>
      </c>
      <c r="F2" s="1">
        <f t="shared" ref="F2:F4" si="1">C2^2*B2*1.15</f>
        <v>1.2827099999999998</v>
      </c>
      <c r="G2">
        <f>0.00142</f>
        <v>1.42E-3</v>
      </c>
      <c r="H2">
        <v>9.2300000000000004E-3</v>
      </c>
      <c r="I2">
        <v>1.028</v>
      </c>
      <c r="J2">
        <v>2.5179999999999998</v>
      </c>
      <c r="K2" t="s">
        <v>17</v>
      </c>
      <c r="L2">
        <v>8.4</v>
      </c>
      <c r="M2">
        <v>6.8</v>
      </c>
      <c r="N2">
        <v>3</v>
      </c>
    </row>
    <row r="3" spans="1:14" x14ac:dyDescent="0.2">
      <c r="A3">
        <v>1.5</v>
      </c>
      <c r="B3">
        <v>9.1000000000000004E-3</v>
      </c>
      <c r="C3">
        <v>11</v>
      </c>
      <c r="D3">
        <v>14.2</v>
      </c>
      <c r="E3" s="2">
        <f t="shared" si="0"/>
        <v>31.588964395288507</v>
      </c>
      <c r="F3" s="1">
        <f t="shared" si="1"/>
        <v>1.266265</v>
      </c>
      <c r="G3">
        <v>1.2800000000000001E-3</v>
      </c>
      <c r="H3">
        <v>1.124E-2</v>
      </c>
      <c r="I3">
        <v>1.028</v>
      </c>
      <c r="J3">
        <v>2.5179999999999998</v>
      </c>
      <c r="K3" t="s">
        <v>17</v>
      </c>
      <c r="L3">
        <v>8.4</v>
      </c>
      <c r="M3">
        <v>6.8</v>
      </c>
      <c r="N3">
        <v>3</v>
      </c>
    </row>
    <row r="4" spans="1:14" x14ac:dyDescent="0.2">
      <c r="A4">
        <v>2.2000000000000002</v>
      </c>
      <c r="B4">
        <v>1.34E-2</v>
      </c>
      <c r="C4">
        <v>8.5</v>
      </c>
      <c r="D4">
        <v>12.5</v>
      </c>
      <c r="E4" s="2">
        <f t="shared" si="0"/>
        <v>35.926879817850718</v>
      </c>
      <c r="F4" s="1">
        <f t="shared" si="1"/>
        <v>1.1133725000000001</v>
      </c>
      <c r="G4">
        <v>1.43E-2</v>
      </c>
      <c r="H4">
        <v>1.3729999999999999E-2</v>
      </c>
      <c r="I4">
        <v>1.028</v>
      </c>
      <c r="J4">
        <v>2.5179999999999998</v>
      </c>
      <c r="K4" t="s">
        <v>17</v>
      </c>
      <c r="L4">
        <v>8.4</v>
      </c>
      <c r="M4">
        <v>6.8</v>
      </c>
      <c r="N4">
        <v>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AFF8E-C5B7-433D-B580-B909E8C2DFC6}">
  <dimension ref="A1:N16"/>
  <sheetViews>
    <sheetView zoomScale="140" zoomScaleNormal="140" workbookViewId="0">
      <selection sqref="A1:N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0.12</v>
      </c>
      <c r="B2">
        <v>6.2E-4</v>
      </c>
      <c r="C2">
        <v>41.5</v>
      </c>
      <c r="D2">
        <v>60</v>
      </c>
      <c r="E2" s="2">
        <f t="shared" ref="E2:E3" si="0">40/F2</f>
        <v>32.574238215811256</v>
      </c>
      <c r="F2" s="1">
        <f t="shared" ref="F2:F3" si="1">C2^2*B2*1.15</f>
        <v>1.2279642499999999</v>
      </c>
      <c r="G2" s="3">
        <f>0.000141</f>
        <v>1.4100000000000001E-4</v>
      </c>
      <c r="H2">
        <v>3.1099999999999999E-3</v>
      </c>
      <c r="I2">
        <v>1.1011044400000001</v>
      </c>
      <c r="J2">
        <v>2.2485574389999998</v>
      </c>
      <c r="K2" t="s">
        <v>8</v>
      </c>
      <c r="L2">
        <v>8.4</v>
      </c>
      <c r="M2">
        <v>6.8</v>
      </c>
      <c r="N2">
        <v>3</v>
      </c>
    </row>
    <row r="3" spans="1:14" x14ac:dyDescent="0.2">
      <c r="A3">
        <v>0.15</v>
      </c>
      <c r="B3">
        <v>8.4999999999999995E-4</v>
      </c>
      <c r="C3">
        <v>38</v>
      </c>
      <c r="D3">
        <v>45</v>
      </c>
      <c r="E3" s="2">
        <f t="shared" si="0"/>
        <v>28.338446061310236</v>
      </c>
      <c r="F3" s="1">
        <f t="shared" si="1"/>
        <v>1.4115099999999996</v>
      </c>
      <c r="G3">
        <f>0.000145</f>
        <v>1.45E-4</v>
      </c>
      <c r="H3">
        <v>3.64E-3</v>
      </c>
      <c r="I3">
        <v>1.1011044400000001</v>
      </c>
      <c r="J3">
        <v>2.2485574389999998</v>
      </c>
      <c r="K3" t="s">
        <v>8</v>
      </c>
      <c r="L3">
        <v>8.4</v>
      </c>
      <c r="M3">
        <v>6.8</v>
      </c>
      <c r="N3">
        <v>3</v>
      </c>
    </row>
    <row r="4" spans="1:14" x14ac:dyDescent="0.2">
      <c r="A4">
        <v>0.22</v>
      </c>
      <c r="B4">
        <v>1.15E-3</v>
      </c>
      <c r="C4">
        <v>37</v>
      </c>
      <c r="D4">
        <v>35</v>
      </c>
      <c r="E4" s="2">
        <f>40/F4</f>
        <v>22.093313872806036</v>
      </c>
      <c r="F4" s="1">
        <f>C4^2*B4*1.15</f>
        <v>1.8105024999999997</v>
      </c>
      <c r="G4">
        <v>1.3501225235866448E-4</v>
      </c>
      <c r="H4">
        <v>4.356435643564356E-3</v>
      </c>
      <c r="I4">
        <v>1.1011044400000001</v>
      </c>
      <c r="J4">
        <v>2.2485574389999998</v>
      </c>
      <c r="K4" t="s">
        <v>8</v>
      </c>
      <c r="L4">
        <v>8.4</v>
      </c>
      <c r="M4">
        <v>6.8</v>
      </c>
      <c r="N4">
        <v>3</v>
      </c>
    </row>
    <row r="5" spans="1:14" x14ac:dyDescent="0.2">
      <c r="A5">
        <v>0.36</v>
      </c>
      <c r="B5">
        <v>2.3E-3</v>
      </c>
      <c r="C5">
        <v>25</v>
      </c>
      <c r="D5">
        <v>29</v>
      </c>
      <c r="E5" s="2">
        <f t="shared" ref="E5:E16" si="2">40/F5</f>
        <v>24.196597353497165</v>
      </c>
      <c r="F5" s="1">
        <f t="shared" ref="F5:F16" si="3">C5^2*B5*1.15</f>
        <v>1.653125</v>
      </c>
      <c r="G5">
        <v>1.376473325313729E-4</v>
      </c>
      <c r="H5">
        <v>5.3019145802650951E-3</v>
      </c>
      <c r="I5">
        <v>1.1011044400000001</v>
      </c>
      <c r="J5">
        <v>2.2485574389999998</v>
      </c>
      <c r="K5" t="s">
        <v>8</v>
      </c>
      <c r="L5">
        <v>8.4</v>
      </c>
      <c r="M5">
        <v>6.8</v>
      </c>
      <c r="N5">
        <v>3</v>
      </c>
    </row>
    <row r="6" spans="1:14" x14ac:dyDescent="0.2">
      <c r="A6">
        <v>0.47</v>
      </c>
      <c r="B6">
        <v>2.8999999999999998E-3</v>
      </c>
      <c r="C6">
        <v>23</v>
      </c>
      <c r="D6">
        <v>23</v>
      </c>
      <c r="E6" s="2">
        <f t="shared" si="2"/>
        <v>22.672973532137526</v>
      </c>
      <c r="F6" s="1">
        <f t="shared" si="3"/>
        <v>1.7642149999999996</v>
      </c>
      <c r="G6">
        <v>1.3370514184172459E-4</v>
      </c>
      <c r="H6">
        <v>6.1882817643186304E-3</v>
      </c>
      <c r="I6">
        <v>1.1011044400000001</v>
      </c>
      <c r="J6">
        <v>2.2485574389999998</v>
      </c>
      <c r="K6" t="s">
        <v>8</v>
      </c>
      <c r="L6">
        <v>8.4</v>
      </c>
      <c r="M6">
        <v>6.8</v>
      </c>
      <c r="N6">
        <v>3</v>
      </c>
    </row>
    <row r="7" spans="1:14" x14ac:dyDescent="0.2">
      <c r="A7">
        <v>0.68</v>
      </c>
      <c r="B7">
        <v>4.5999999999999999E-3</v>
      </c>
      <c r="C7">
        <v>16.5</v>
      </c>
      <c r="D7">
        <v>18.5</v>
      </c>
      <c r="E7" s="2">
        <f t="shared" si="2"/>
        <v>27.773872077016946</v>
      </c>
      <c r="F7" s="1">
        <f t="shared" si="3"/>
        <v>1.4402025000000001</v>
      </c>
      <c r="G7">
        <v>1.2971540574127974E-4</v>
      </c>
      <c r="H7">
        <v>7.5329566854990589E-3</v>
      </c>
      <c r="I7">
        <v>1.1011044400000001</v>
      </c>
      <c r="J7">
        <v>2.2485574389999998</v>
      </c>
      <c r="K7" t="s">
        <v>8</v>
      </c>
      <c r="L7">
        <v>8.4</v>
      </c>
      <c r="M7">
        <v>6.8</v>
      </c>
      <c r="N7">
        <v>3</v>
      </c>
    </row>
    <row r="8" spans="1:14" x14ac:dyDescent="0.2">
      <c r="A8">
        <v>0.82</v>
      </c>
      <c r="B8">
        <v>4.7000000000000002E-3</v>
      </c>
      <c r="C8">
        <v>16</v>
      </c>
      <c r="D8">
        <v>18</v>
      </c>
      <c r="E8" s="2">
        <f t="shared" si="2"/>
        <v>28.908418131359852</v>
      </c>
      <c r="F8" s="1">
        <f t="shared" si="3"/>
        <v>1.38368</v>
      </c>
      <c r="G8">
        <v>1.2516818230835344E-4</v>
      </c>
      <c r="H8">
        <v>8.7238682908665332E-3</v>
      </c>
      <c r="I8">
        <v>1.1011044400000001</v>
      </c>
      <c r="J8">
        <v>2.2485574389999998</v>
      </c>
      <c r="K8" t="s">
        <v>8</v>
      </c>
      <c r="L8">
        <v>8.4</v>
      </c>
      <c r="M8">
        <v>6.8</v>
      </c>
      <c r="N8">
        <v>3</v>
      </c>
    </row>
    <row r="9" spans="1:14" x14ac:dyDescent="0.2">
      <c r="A9">
        <v>1</v>
      </c>
      <c r="B9">
        <v>5.5999999999999999E-3</v>
      </c>
      <c r="C9">
        <v>16</v>
      </c>
      <c r="D9">
        <v>16</v>
      </c>
      <c r="E9" s="2">
        <f t="shared" si="2"/>
        <v>24.262422360248451</v>
      </c>
      <c r="F9" s="1">
        <f t="shared" si="3"/>
        <v>1.6486399999999999</v>
      </c>
      <c r="G9">
        <v>1.219240464639678E-4</v>
      </c>
      <c r="H9">
        <v>9.7432649680908069E-3</v>
      </c>
      <c r="I9">
        <v>1.1011044400000001</v>
      </c>
      <c r="J9">
        <v>2.2485574389999998</v>
      </c>
      <c r="K9" t="s">
        <v>8</v>
      </c>
      <c r="L9">
        <v>8.4</v>
      </c>
      <c r="M9">
        <v>6.8</v>
      </c>
      <c r="N9">
        <v>3</v>
      </c>
    </row>
    <row r="10" spans="1:14" x14ac:dyDescent="0.2">
      <c r="A10">
        <v>1.5</v>
      </c>
      <c r="B10">
        <v>7.7000000000000002E-3</v>
      </c>
      <c r="C10">
        <v>12</v>
      </c>
      <c r="D10">
        <v>14.8</v>
      </c>
      <c r="E10" s="2">
        <f t="shared" si="2"/>
        <v>31.369596586987896</v>
      </c>
      <c r="F10" s="1">
        <f t="shared" si="3"/>
        <v>1.2751199999999998</v>
      </c>
      <c r="G10">
        <v>1.2994143443969275E-4</v>
      </c>
      <c r="H10">
        <v>1.1702293649555313E-2</v>
      </c>
      <c r="I10">
        <v>1.1011044400000001</v>
      </c>
      <c r="J10">
        <v>2.2485574389999998</v>
      </c>
      <c r="K10" t="s">
        <v>8</v>
      </c>
      <c r="L10">
        <v>8.4</v>
      </c>
      <c r="M10">
        <v>6.8</v>
      </c>
      <c r="N10">
        <v>3</v>
      </c>
    </row>
    <row r="11" spans="1:14" x14ac:dyDescent="0.2">
      <c r="A11">
        <v>2.2000000000000002</v>
      </c>
      <c r="B11">
        <v>1.0999999999999999E-2</v>
      </c>
      <c r="C11">
        <v>10</v>
      </c>
      <c r="D11">
        <v>14</v>
      </c>
      <c r="E11" s="2">
        <f t="shared" si="2"/>
        <v>31.620553359683804</v>
      </c>
      <c r="F11" s="1">
        <f t="shared" si="3"/>
        <v>1.2649999999999997</v>
      </c>
      <c r="G11">
        <v>1.3377368105053566E-4</v>
      </c>
      <c r="H11">
        <v>1.4048531289910602E-2</v>
      </c>
      <c r="I11">
        <v>1.1011044400000001</v>
      </c>
      <c r="J11">
        <v>2.2485574389999998</v>
      </c>
      <c r="K11" t="s">
        <v>8</v>
      </c>
      <c r="L11">
        <v>8.4</v>
      </c>
      <c r="M11">
        <v>6.8</v>
      </c>
      <c r="N11">
        <v>3</v>
      </c>
    </row>
    <row r="12" spans="1:14" x14ac:dyDescent="0.2">
      <c r="A12">
        <v>3.3</v>
      </c>
      <c r="B12">
        <v>1.8499999999999999E-2</v>
      </c>
      <c r="C12">
        <v>8</v>
      </c>
      <c r="D12">
        <v>11</v>
      </c>
      <c r="E12" s="2">
        <f t="shared" si="2"/>
        <v>29.377203290246769</v>
      </c>
      <c r="F12" s="1">
        <f t="shared" si="3"/>
        <v>1.3615999999999999</v>
      </c>
      <c r="G12">
        <v>1.3472229701541578E-4</v>
      </c>
      <c r="H12">
        <v>1.6176470588235292E-2</v>
      </c>
      <c r="I12">
        <v>1.1011044400000001</v>
      </c>
      <c r="J12">
        <v>2.2485574389999998</v>
      </c>
      <c r="K12" t="s">
        <v>8</v>
      </c>
      <c r="L12">
        <v>8.4</v>
      </c>
      <c r="M12">
        <v>6.8</v>
      </c>
      <c r="N12">
        <v>3</v>
      </c>
    </row>
    <row r="13" spans="1:14" x14ac:dyDescent="0.2">
      <c r="A13">
        <v>4.7</v>
      </c>
      <c r="B13">
        <v>2.3599999999999999E-2</v>
      </c>
      <c r="C13">
        <v>6.7</v>
      </c>
      <c r="D13">
        <v>8</v>
      </c>
      <c r="E13" s="2">
        <f t="shared" si="2"/>
        <v>32.832242181124641</v>
      </c>
      <c r="F13" s="1">
        <f t="shared" si="3"/>
        <v>1.2183146</v>
      </c>
      <c r="G13">
        <v>1.209556005886322E-4</v>
      </c>
      <c r="H13">
        <v>2.1385021385021383E-2</v>
      </c>
      <c r="I13">
        <v>1.1011044400000001</v>
      </c>
      <c r="J13">
        <v>2.2485574389999998</v>
      </c>
      <c r="K13" t="s">
        <v>8</v>
      </c>
      <c r="L13">
        <v>8.4</v>
      </c>
      <c r="M13">
        <v>6.8</v>
      </c>
      <c r="N13">
        <v>3</v>
      </c>
    </row>
    <row r="14" spans="1:14" x14ac:dyDescent="0.2">
      <c r="A14">
        <v>6.8</v>
      </c>
      <c r="B14">
        <v>4.1000000000000002E-2</v>
      </c>
      <c r="C14">
        <v>5.5</v>
      </c>
      <c r="D14">
        <v>7</v>
      </c>
      <c r="E14" s="2">
        <f t="shared" si="2"/>
        <v>28.044836682646384</v>
      </c>
      <c r="F14" s="1">
        <f t="shared" si="3"/>
        <v>1.4262874999999999</v>
      </c>
      <c r="G14">
        <v>1.3401599208292029E-4</v>
      </c>
      <c r="H14">
        <v>2.4323937616254114E-2</v>
      </c>
      <c r="I14">
        <v>1.1011044400000001</v>
      </c>
      <c r="J14">
        <v>2.2485574389999998</v>
      </c>
      <c r="K14" t="s">
        <v>8</v>
      </c>
      <c r="L14">
        <v>8.4</v>
      </c>
      <c r="M14">
        <v>6.8</v>
      </c>
      <c r="N14">
        <v>3</v>
      </c>
    </row>
    <row r="15" spans="1:14" x14ac:dyDescent="0.2">
      <c r="A15">
        <v>8.1999999999999993</v>
      </c>
      <c r="B15">
        <v>5.1999999999999998E-2</v>
      </c>
      <c r="C15">
        <v>5.0999999999999996</v>
      </c>
      <c r="D15">
        <v>6.6</v>
      </c>
      <c r="E15" s="2">
        <f t="shared" si="2"/>
        <v>25.716890467905966</v>
      </c>
      <c r="F15" s="1">
        <f t="shared" si="3"/>
        <v>1.5553979999999998</v>
      </c>
      <c r="G15">
        <v>1.3398808883921352E-4</v>
      </c>
      <c r="H15">
        <v>2.4761818483791578E-2</v>
      </c>
      <c r="I15">
        <v>1.1011044400000001</v>
      </c>
      <c r="J15">
        <v>2.2485574389999998</v>
      </c>
      <c r="K15" t="s">
        <v>8</v>
      </c>
      <c r="L15">
        <v>8.4</v>
      </c>
      <c r="M15">
        <v>6.8</v>
      </c>
      <c r="N15">
        <v>3</v>
      </c>
    </row>
    <row r="16" spans="1:14" x14ac:dyDescent="0.2">
      <c r="A16">
        <v>10</v>
      </c>
      <c r="B16">
        <v>5.8999999999999997E-2</v>
      </c>
      <c r="C16">
        <v>4.2</v>
      </c>
      <c r="D16">
        <v>6.2</v>
      </c>
      <c r="E16" s="2">
        <f t="shared" si="2"/>
        <v>33.420393458292189</v>
      </c>
      <c r="F16" s="1">
        <f t="shared" si="3"/>
        <v>1.1968739999999998</v>
      </c>
      <c r="G16">
        <v>1.2835091883740127E-4</v>
      </c>
      <c r="H16">
        <v>3.1402103940964037E-2</v>
      </c>
      <c r="I16">
        <v>1.1011044400000001</v>
      </c>
      <c r="J16">
        <v>2.2485574389999998</v>
      </c>
      <c r="K16" t="s">
        <v>8</v>
      </c>
      <c r="L16">
        <v>8.4</v>
      </c>
      <c r="M16">
        <v>6.8</v>
      </c>
      <c r="N16">
        <v>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93CA2-7319-4057-AD3C-7C4101A3AA7E}">
  <dimension ref="A1:N2"/>
  <sheetViews>
    <sheetView zoomScale="140" zoomScaleNormal="140" workbookViewId="0">
      <selection activeCell="H14" sqref="H14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2.2000000000000002</v>
      </c>
      <c r="B2">
        <v>1.0699999999999999E-2</v>
      </c>
      <c r="C2">
        <v>11.5</v>
      </c>
      <c r="D2">
        <v>18</v>
      </c>
      <c r="E2" s="2">
        <f t="shared" ref="E2" si="0">40/F2</f>
        <v>24.580046072223862</v>
      </c>
      <c r="F2" s="1">
        <f t="shared" ref="F2" si="1">C2^2*B2*1.15</f>
        <v>1.6273362499999997</v>
      </c>
      <c r="G2">
        <v>1.3499999999999999E-5</v>
      </c>
      <c r="H2">
        <v>1.3480000000000001E-2</v>
      </c>
      <c r="I2">
        <v>1.254</v>
      </c>
      <c r="J2">
        <v>2.3260000000000001</v>
      </c>
      <c r="K2" t="s">
        <v>28</v>
      </c>
      <c r="L2">
        <v>8.4</v>
      </c>
      <c r="M2">
        <v>6.8</v>
      </c>
      <c r="N2">
        <v>3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1A3F-2BB9-4559-ACF3-D3704694A32E}">
  <dimension ref="A1:N2"/>
  <sheetViews>
    <sheetView workbookViewId="0">
      <selection activeCell="O18" sqref="O18"/>
    </sheetView>
  </sheetViews>
  <sheetFormatPr defaultRowHeight="12.75" x14ac:dyDescent="0.2"/>
  <cols>
    <col min="8" max="8" width="25.57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0.4</v>
      </c>
      <c r="B2">
        <v>1.8699999999999999E-3</v>
      </c>
      <c r="C2">
        <v>24</v>
      </c>
      <c r="D2">
        <v>36</v>
      </c>
      <c r="E2" s="1">
        <f>40/F2</f>
        <v>37.136066547831255</v>
      </c>
      <c r="F2" s="1">
        <f>C2^2*B2</f>
        <v>1.0771199999999999</v>
      </c>
      <c r="G2">
        <v>1.248E-4</v>
      </c>
      <c r="H2">
        <v>5.391E-3</v>
      </c>
      <c r="I2">
        <v>1.1011044400000001</v>
      </c>
      <c r="J2">
        <v>2.2485574389999998</v>
      </c>
      <c r="K2" t="s">
        <v>27</v>
      </c>
      <c r="L2">
        <v>8.4</v>
      </c>
      <c r="M2">
        <v>6.8</v>
      </c>
      <c r="N2">
        <v>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0FBE5-C15D-498B-9A1C-8FA65C0F7F27}">
  <dimension ref="A1:N3"/>
  <sheetViews>
    <sheetView zoomScale="140" zoomScaleNormal="140" workbookViewId="0">
      <selection activeCell="F11" sqref="F1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6.7000000000000002E-3</v>
      </c>
      <c r="C2">
        <v>14</v>
      </c>
      <c r="D2">
        <v>15</v>
      </c>
      <c r="E2">
        <f>40/F2</f>
        <v>26.486908845303208</v>
      </c>
      <c r="F2">
        <f>C2^2*B2*1.15</f>
        <v>1.5101800000000001</v>
      </c>
      <c r="G2">
        <f>0.00142</f>
        <v>1.42E-3</v>
      </c>
      <c r="H2">
        <v>9.2300000000000004E-3</v>
      </c>
      <c r="I2">
        <v>1.028</v>
      </c>
      <c r="J2">
        <v>2.5179999999999998</v>
      </c>
      <c r="K2" t="s">
        <v>22</v>
      </c>
      <c r="L2">
        <v>8.4</v>
      </c>
      <c r="M2">
        <v>6.8</v>
      </c>
      <c r="N2">
        <v>3</v>
      </c>
    </row>
    <row r="3" spans="1:14" x14ac:dyDescent="0.2">
      <c r="A3">
        <v>2.2000000000000002</v>
      </c>
      <c r="B3">
        <v>1.35E-2</v>
      </c>
      <c r="C3">
        <v>9.5</v>
      </c>
      <c r="D3">
        <v>10</v>
      </c>
      <c r="E3">
        <f>40/F3</f>
        <v>28.548360476579195</v>
      </c>
      <c r="F3">
        <f>C3^2*B3*1.15</f>
        <v>1.4011312499999999</v>
      </c>
      <c r="G3">
        <f>0.00143</f>
        <v>1.4300000000000001E-3</v>
      </c>
      <c r="H3">
        <v>1.3729999999999999E-2</v>
      </c>
      <c r="I3">
        <v>1.028</v>
      </c>
      <c r="J3">
        <v>2.5179999999999998</v>
      </c>
      <c r="K3" t="s">
        <v>22</v>
      </c>
      <c r="L3">
        <v>8.4</v>
      </c>
      <c r="M3">
        <v>6.8</v>
      </c>
      <c r="N3">
        <v>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573D-AEF5-48A1-9870-479DF8E5F424}">
  <dimension ref="A1:N2"/>
  <sheetViews>
    <sheetView workbookViewId="0">
      <selection sqref="A1:N1"/>
    </sheetView>
  </sheetViews>
  <sheetFormatPr defaultRowHeight="12.75" x14ac:dyDescent="0.2"/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>
        <v>0.42</v>
      </c>
      <c r="B2">
        <v>1.5499999999999999E-3</v>
      </c>
      <c r="C2">
        <v>24</v>
      </c>
      <c r="D2">
        <v>23</v>
      </c>
      <c r="E2">
        <f>40/F2</f>
        <v>38.959015116097873</v>
      </c>
      <c r="F2">
        <f>C2^2*B2*1.15</f>
        <v>1.0267199999999999</v>
      </c>
      <c r="G2" s="3">
        <v>1.7699999999999999E-4</v>
      </c>
      <c r="H2">
        <v>5.8300000000000001E-3</v>
      </c>
      <c r="I2">
        <v>1.101</v>
      </c>
      <c r="J2">
        <v>2.2490000000000001</v>
      </c>
      <c r="K2" t="s">
        <v>34</v>
      </c>
      <c r="L2">
        <v>8.4</v>
      </c>
      <c r="M2">
        <v>6.8</v>
      </c>
      <c r="N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19C39-A8AF-48EA-8DDB-56678885135F}">
  <dimension ref="A1:N2"/>
  <sheetViews>
    <sheetView zoomScale="140" zoomScaleNormal="140" workbookViewId="0">
      <selection activeCell="Q6" sqref="Q6"/>
    </sheetView>
  </sheetViews>
  <sheetFormatPr defaultRowHeight="12.75" x14ac:dyDescent="0.2"/>
  <cols>
    <col min="7" max="7" width="13.28515625" bestFit="1" customWidth="1"/>
    <col min="11" max="11" width="11.1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0.11</v>
      </c>
      <c r="B2">
        <v>5.0000000000000001E-3</v>
      </c>
      <c r="C2">
        <v>10</v>
      </c>
      <c r="D2">
        <v>19</v>
      </c>
      <c r="E2" s="2">
        <f t="shared" ref="E2" si="0">40/F2</f>
        <v>69.565217391304358</v>
      </c>
      <c r="F2" s="1">
        <f t="shared" ref="F2" si="1">C2^2*B2*1.15</f>
        <v>0.57499999999999996</v>
      </c>
      <c r="G2" s="3">
        <v>1.888E-6</v>
      </c>
      <c r="H2" s="3">
        <v>1.0999999999999999E-2</v>
      </c>
      <c r="I2">
        <v>1.2190000000000001</v>
      </c>
      <c r="J2">
        <v>2.363</v>
      </c>
      <c r="K2" t="s">
        <v>31</v>
      </c>
      <c r="L2">
        <v>3.2</v>
      </c>
      <c r="M2">
        <v>2.5</v>
      </c>
      <c r="N2">
        <v>1.2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66CC-3168-4352-A7B2-396C26867B98}">
  <dimension ref="A1:N2"/>
  <sheetViews>
    <sheetView workbookViewId="0">
      <selection activeCell="E3" sqref="E3"/>
    </sheetView>
  </sheetViews>
  <sheetFormatPr defaultRowHeight="12.75" x14ac:dyDescent="0.2"/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>
        <v>0.47</v>
      </c>
      <c r="B2">
        <v>2.8E-3</v>
      </c>
      <c r="C2">
        <v>21</v>
      </c>
      <c r="D2">
        <v>30</v>
      </c>
      <c r="E2">
        <f>40/F2</f>
        <v>28.168617343417701</v>
      </c>
      <c r="F2">
        <f>C2^2*B2*1.15</f>
        <v>1.4200199999999998</v>
      </c>
      <c r="G2" s="3">
        <v>1.8000000000000001E-4</v>
      </c>
      <c r="H2">
        <v>5.47E-3</v>
      </c>
      <c r="I2">
        <v>1.101</v>
      </c>
      <c r="J2">
        <v>2.2490000000000001</v>
      </c>
      <c r="K2" t="s">
        <v>37</v>
      </c>
      <c r="L2">
        <v>9.6</v>
      </c>
      <c r="M2">
        <v>8.3000000000000007</v>
      </c>
      <c r="N2">
        <v>3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84553-0357-4668-80B7-A59E449DE9A2}">
  <dimension ref="A1:N3"/>
  <sheetViews>
    <sheetView workbookViewId="0">
      <selection sqref="A1:N1"/>
    </sheetView>
  </sheetViews>
  <sheetFormatPr defaultRowHeight="12.75" x14ac:dyDescent="0.2"/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>
        <v>0.47</v>
      </c>
      <c r="B2">
        <v>1.48E-3</v>
      </c>
      <c r="C2">
        <v>27</v>
      </c>
      <c r="D2">
        <v>42</v>
      </c>
      <c r="F2">
        <f>C2^2*B2*1.15</f>
        <v>1.2407579999999998</v>
      </c>
      <c r="G2" s="3">
        <v>3.1599999999999998E-4</v>
      </c>
      <c r="H2">
        <v>4.0299999999999997E-3</v>
      </c>
      <c r="I2">
        <v>1.101</v>
      </c>
      <c r="J2">
        <v>2.2490000000000001</v>
      </c>
      <c r="K2" t="s">
        <v>35</v>
      </c>
      <c r="L2">
        <v>13.6</v>
      </c>
      <c r="M2">
        <v>10.3</v>
      </c>
      <c r="N2">
        <v>3</v>
      </c>
    </row>
    <row r="3" spans="1:14" x14ac:dyDescent="0.2">
      <c r="A3">
        <v>1</v>
      </c>
      <c r="B3">
        <v>3.5000000000000001E-3</v>
      </c>
      <c r="C3">
        <v>17</v>
      </c>
      <c r="D3">
        <v>25</v>
      </c>
      <c r="F3">
        <f>C3^2*B3*1.15</f>
        <v>1.163225</v>
      </c>
      <c r="G3" s="3">
        <v>3.1500000000000001E-4</v>
      </c>
      <c r="H3">
        <v>6.1900000000000002E-3</v>
      </c>
      <c r="I3">
        <v>1.101</v>
      </c>
      <c r="J3">
        <v>2.2490000000000001</v>
      </c>
      <c r="K3" t="s">
        <v>35</v>
      </c>
      <c r="L3">
        <v>13.6</v>
      </c>
      <c r="M3">
        <v>10.3</v>
      </c>
      <c r="N3">
        <v>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69611-9C4A-4D12-ACD1-572EFA17A665}">
  <dimension ref="A1:N4"/>
  <sheetViews>
    <sheetView workbookViewId="0">
      <selection activeCell="N22" sqref="N22"/>
    </sheetView>
  </sheetViews>
  <sheetFormatPr defaultRowHeight="12.75" x14ac:dyDescent="0.2"/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>
        <v>0.45</v>
      </c>
      <c r="B2">
        <v>1E-3</v>
      </c>
      <c r="C2">
        <v>35</v>
      </c>
      <c r="D2">
        <v>48</v>
      </c>
      <c r="E2" s="2">
        <f>40/F2</f>
        <v>28.393966282165042</v>
      </c>
      <c r="F2" s="5">
        <f>C2^2*B2*1.15</f>
        <v>1.4087499999999999</v>
      </c>
      <c r="G2" s="3">
        <v>4.4930000000000002E-4</v>
      </c>
      <c r="H2">
        <v>3.1449999999999998E-3</v>
      </c>
      <c r="I2">
        <v>1.101</v>
      </c>
      <c r="J2">
        <v>2.2490000000000001</v>
      </c>
      <c r="K2" t="s">
        <v>36</v>
      </c>
      <c r="L2">
        <v>13.6</v>
      </c>
      <c r="M2">
        <v>10.3</v>
      </c>
      <c r="N2">
        <v>4</v>
      </c>
    </row>
    <row r="3" spans="1:14" x14ac:dyDescent="0.2">
      <c r="A3">
        <v>0.68</v>
      </c>
      <c r="B3">
        <v>1.6000000000000001E-3</v>
      </c>
      <c r="C3">
        <v>31</v>
      </c>
      <c r="D3">
        <v>34</v>
      </c>
      <c r="E3" s="2">
        <f t="shared" ref="E3:E4" si="0">40/F3</f>
        <v>22.62136361579876</v>
      </c>
      <c r="F3" s="5">
        <f t="shared" ref="F3:F4" si="1">C3^2*B3*1.15</f>
        <v>1.76824</v>
      </c>
      <c r="G3" s="3">
        <v>3.9599999999999998E-4</v>
      </c>
      <c r="H3">
        <v>4.5100000000000001E-3</v>
      </c>
      <c r="I3">
        <v>1.101</v>
      </c>
      <c r="J3">
        <v>2.2490000000000001</v>
      </c>
      <c r="K3" t="s">
        <v>36</v>
      </c>
      <c r="L3">
        <v>13.6</v>
      </c>
      <c r="M3">
        <v>10.3</v>
      </c>
      <c r="N3">
        <v>4</v>
      </c>
    </row>
    <row r="4" spans="1:14" x14ac:dyDescent="0.2">
      <c r="A4">
        <v>1</v>
      </c>
      <c r="B4">
        <v>2.3E-3</v>
      </c>
      <c r="C4">
        <v>25</v>
      </c>
      <c r="D4">
        <v>32</v>
      </c>
      <c r="E4" s="2">
        <f t="shared" si="0"/>
        <v>24.196597353497165</v>
      </c>
      <c r="F4" s="5">
        <f t="shared" si="1"/>
        <v>1.653125</v>
      </c>
      <c r="G4" s="3">
        <v>3.9899999999999999E-4</v>
      </c>
      <c r="H4">
        <v>5.1500000000000001E-3</v>
      </c>
      <c r="I4">
        <v>1.101</v>
      </c>
      <c r="J4">
        <v>2.2490000000000001</v>
      </c>
      <c r="K4" t="s">
        <v>36</v>
      </c>
      <c r="L4">
        <v>13.6</v>
      </c>
      <c r="M4">
        <v>10.3</v>
      </c>
      <c r="N4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42642-2AB9-4E4E-BC92-700C7AD35014}">
  <dimension ref="A1:N16"/>
  <sheetViews>
    <sheetView zoomScale="150" zoomScaleNormal="150" workbookViewId="0">
      <selection sqref="A1:N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0.36</v>
      </c>
      <c r="B2">
        <v>1.0499999999999999E-3</v>
      </c>
      <c r="C2">
        <v>33</v>
      </c>
      <c r="D2">
        <v>51</v>
      </c>
      <c r="E2" s="2">
        <f>40/F2</f>
        <v>30.419002751018571</v>
      </c>
      <c r="F2" s="1">
        <f>C2^2*B2*1.15</f>
        <v>1.3149674999999996</v>
      </c>
      <c r="G2">
        <v>4.4962287207989402E-3</v>
      </c>
      <c r="H2">
        <v>2.7906976744186043E-3</v>
      </c>
      <c r="I2">
        <v>1.0280380382624399</v>
      </c>
      <c r="J2">
        <v>2.51785650480713</v>
      </c>
      <c r="K2" t="s">
        <v>11</v>
      </c>
      <c r="L2">
        <v>13.6</v>
      </c>
      <c r="M2">
        <v>10.3</v>
      </c>
      <c r="N2">
        <v>4</v>
      </c>
    </row>
    <row r="3" spans="1:14" x14ac:dyDescent="0.2">
      <c r="A3">
        <v>0.47</v>
      </c>
      <c r="B3">
        <v>1.2999999999999999E-3</v>
      </c>
      <c r="C3">
        <v>32</v>
      </c>
      <c r="D3">
        <v>46</v>
      </c>
      <c r="E3" s="2">
        <f t="shared" ref="E3:E16" si="0">40/F3</f>
        <v>26.128762541806022</v>
      </c>
      <c r="F3" s="1">
        <f t="shared" ref="F3:F16" si="1">C3^2*B3*1.15</f>
        <v>1.5308799999999998</v>
      </c>
      <c r="G3">
        <v>4.0935840852075502E-3</v>
      </c>
      <c r="H3">
        <v>3.5619552860932172E-3</v>
      </c>
      <c r="I3">
        <v>1.0280380382624399</v>
      </c>
      <c r="J3">
        <v>2.51785650480713</v>
      </c>
      <c r="K3" t="s">
        <v>11</v>
      </c>
      <c r="L3">
        <v>13.6</v>
      </c>
      <c r="M3">
        <v>10.3</v>
      </c>
      <c r="N3">
        <v>4</v>
      </c>
    </row>
    <row r="4" spans="1:14" x14ac:dyDescent="0.2">
      <c r="A4">
        <v>0.56000000000000005</v>
      </c>
      <c r="B4">
        <v>1.5900000000000001E-3</v>
      </c>
      <c r="C4">
        <v>25</v>
      </c>
      <c r="D4">
        <v>33.5</v>
      </c>
      <c r="E4" s="2">
        <f t="shared" si="0"/>
        <v>35.001367240907847</v>
      </c>
      <c r="F4" s="1">
        <f t="shared" si="1"/>
        <v>1.1428125</v>
      </c>
      <c r="G4">
        <v>4.50692554059053E-3</v>
      </c>
      <c r="H4">
        <v>3.695150115473441E-3</v>
      </c>
      <c r="I4">
        <v>1.0280380382624399</v>
      </c>
      <c r="J4">
        <v>2.51785650480713</v>
      </c>
      <c r="K4" t="s">
        <v>11</v>
      </c>
      <c r="L4">
        <v>13.6</v>
      </c>
      <c r="M4">
        <v>10.3</v>
      </c>
      <c r="N4">
        <v>4</v>
      </c>
    </row>
    <row r="5" spans="1:14" x14ac:dyDescent="0.2">
      <c r="A5">
        <v>1</v>
      </c>
      <c r="B5">
        <v>2.8500000000000001E-3</v>
      </c>
      <c r="C5">
        <v>19</v>
      </c>
      <c r="D5">
        <v>29</v>
      </c>
      <c r="E5" s="2">
        <f t="shared" si="0"/>
        <v>33.807268985422731</v>
      </c>
      <c r="F5" s="1">
        <f t="shared" si="1"/>
        <v>1.1831775</v>
      </c>
      <c r="G5">
        <v>4.2248688117616879E-3</v>
      </c>
      <c r="H5">
        <v>5.4815545688757326E-3</v>
      </c>
      <c r="I5">
        <v>1.0280380382624399</v>
      </c>
      <c r="J5">
        <v>2.51785650480713</v>
      </c>
      <c r="K5" t="s">
        <v>11</v>
      </c>
      <c r="L5">
        <v>13.6</v>
      </c>
      <c r="M5">
        <v>10.3</v>
      </c>
      <c r="N5">
        <v>4</v>
      </c>
    </row>
    <row r="6" spans="1:14" x14ac:dyDescent="0.2">
      <c r="A6">
        <v>1.5</v>
      </c>
      <c r="B6">
        <v>3.8E-3</v>
      </c>
      <c r="C6">
        <v>16</v>
      </c>
      <c r="D6">
        <v>22</v>
      </c>
      <c r="E6" s="2">
        <f t="shared" si="0"/>
        <v>35.755148741418765</v>
      </c>
      <c r="F6" s="1">
        <f t="shared" si="1"/>
        <v>1.1187199999999999</v>
      </c>
      <c r="G6">
        <v>3.9161453990648959E-3</v>
      </c>
      <c r="H6">
        <v>6.4811614241272048E-3</v>
      </c>
      <c r="I6">
        <v>1.0280380382624399</v>
      </c>
      <c r="J6">
        <v>2.51785650480713</v>
      </c>
      <c r="K6" t="s">
        <v>11</v>
      </c>
      <c r="L6">
        <v>13.6</v>
      </c>
      <c r="M6">
        <v>10.3</v>
      </c>
      <c r="N6">
        <v>4</v>
      </c>
    </row>
    <row r="7" spans="1:14" x14ac:dyDescent="0.2">
      <c r="A7">
        <v>2.2000000000000002</v>
      </c>
      <c r="B7">
        <v>6.0000000000000001E-3</v>
      </c>
      <c r="C7">
        <v>12</v>
      </c>
      <c r="D7">
        <v>20</v>
      </c>
      <c r="E7" s="2">
        <f t="shared" si="0"/>
        <v>40.257648953301128</v>
      </c>
      <c r="F7" s="1">
        <f t="shared" si="1"/>
        <v>0.99359999999999993</v>
      </c>
      <c r="G7">
        <v>3.9723160813784969E-3</v>
      </c>
      <c r="H7">
        <v>8.175399479747306E-3</v>
      </c>
      <c r="I7">
        <v>1.0280380382624399</v>
      </c>
      <c r="J7">
        <v>2.51785650480713</v>
      </c>
      <c r="K7" t="s">
        <v>11</v>
      </c>
      <c r="L7">
        <v>13.6</v>
      </c>
      <c r="M7">
        <v>10.3</v>
      </c>
      <c r="N7">
        <v>4</v>
      </c>
    </row>
    <row r="8" spans="1:14" x14ac:dyDescent="0.2">
      <c r="A8">
        <v>3.3</v>
      </c>
      <c r="B8">
        <v>1.0500000000000001E-2</v>
      </c>
      <c r="C8">
        <v>10</v>
      </c>
      <c r="D8">
        <v>16.2</v>
      </c>
      <c r="E8" s="2">
        <f t="shared" si="0"/>
        <v>33.126293995859214</v>
      </c>
      <c r="F8" s="1">
        <f t="shared" si="1"/>
        <v>1.2075</v>
      </c>
      <c r="G8">
        <v>3.911282814454551E-3</v>
      </c>
      <c r="H8">
        <v>9.166666666666665E-3</v>
      </c>
      <c r="I8">
        <v>1.0280380382624399</v>
      </c>
      <c r="J8">
        <v>2.51785650480713</v>
      </c>
      <c r="K8" t="s">
        <v>11</v>
      </c>
      <c r="L8">
        <v>13.6</v>
      </c>
      <c r="M8">
        <v>10.3</v>
      </c>
      <c r="N8">
        <v>4</v>
      </c>
    </row>
    <row r="9" spans="1:14" x14ac:dyDescent="0.2">
      <c r="A9">
        <v>4.7</v>
      </c>
      <c r="B9">
        <v>1.6799999999999999E-2</v>
      </c>
      <c r="C9">
        <v>8.5</v>
      </c>
      <c r="D9">
        <v>15.2</v>
      </c>
      <c r="E9" s="2">
        <f t="shared" si="0"/>
        <v>28.655963664238076</v>
      </c>
      <c r="F9" s="1">
        <f t="shared" si="1"/>
        <v>1.3958699999999999</v>
      </c>
      <c r="G9">
        <v>4.4614194693495309E-3</v>
      </c>
      <c r="H9">
        <v>1.1170528817587641E-2</v>
      </c>
      <c r="I9">
        <v>1.0280380382624399</v>
      </c>
      <c r="J9">
        <v>2.51785650480713</v>
      </c>
      <c r="K9" t="s">
        <v>11</v>
      </c>
      <c r="L9">
        <v>13.6</v>
      </c>
      <c r="M9">
        <v>10.3</v>
      </c>
      <c r="N9">
        <v>4</v>
      </c>
    </row>
    <row r="10" spans="1:14" x14ac:dyDescent="0.2">
      <c r="A10">
        <v>5.6</v>
      </c>
      <c r="B10">
        <v>1.9800000000000002E-2</v>
      </c>
      <c r="C10">
        <v>8</v>
      </c>
      <c r="D10">
        <v>14.1</v>
      </c>
      <c r="E10" s="2">
        <f t="shared" si="0"/>
        <v>27.448397013614407</v>
      </c>
      <c r="F10" s="1">
        <f t="shared" si="1"/>
        <v>1.4572799999999999</v>
      </c>
      <c r="G10">
        <v>4.4505622402651454E-3</v>
      </c>
      <c r="H10">
        <v>1.1013432454225421E-2</v>
      </c>
      <c r="I10">
        <v>1.0280380382624399</v>
      </c>
      <c r="J10">
        <v>2.51785650480713</v>
      </c>
      <c r="K10" t="s">
        <v>11</v>
      </c>
      <c r="L10">
        <v>13.6</v>
      </c>
      <c r="M10">
        <v>10.3</v>
      </c>
      <c r="N10">
        <v>4</v>
      </c>
    </row>
    <row r="11" spans="1:14" x14ac:dyDescent="0.2">
      <c r="A11">
        <v>6.8</v>
      </c>
      <c r="B11">
        <v>2.1999999999999999E-2</v>
      </c>
      <c r="C11">
        <v>7.5</v>
      </c>
      <c r="D11">
        <v>12</v>
      </c>
      <c r="E11" s="2">
        <f t="shared" si="0"/>
        <v>28.107158541941157</v>
      </c>
      <c r="F11" s="1">
        <f t="shared" si="1"/>
        <v>1.4231249999999998</v>
      </c>
      <c r="G11">
        <v>4.6925148802466569E-3</v>
      </c>
      <c r="H11">
        <v>1.3959026152646055E-2</v>
      </c>
      <c r="I11">
        <v>1.0280380382624399</v>
      </c>
      <c r="J11">
        <v>2.51785650480713</v>
      </c>
      <c r="K11" t="s">
        <v>11</v>
      </c>
      <c r="L11">
        <v>13.6</v>
      </c>
      <c r="M11">
        <v>10.3</v>
      </c>
      <c r="N11">
        <v>4</v>
      </c>
    </row>
    <row r="12" spans="1:14" x14ac:dyDescent="0.2">
      <c r="A12">
        <v>8.1999999999999993</v>
      </c>
      <c r="B12">
        <v>2.4E-2</v>
      </c>
      <c r="C12">
        <v>7.6</v>
      </c>
      <c r="D12">
        <v>9</v>
      </c>
      <c r="E12" s="2">
        <f t="shared" si="0"/>
        <v>25.091332450118433</v>
      </c>
      <c r="F12" s="1">
        <f t="shared" si="1"/>
        <v>1.5941759999999998</v>
      </c>
      <c r="G12">
        <v>4.6035237082785061E-3</v>
      </c>
      <c r="H12">
        <v>1.4920348990601998E-2</v>
      </c>
      <c r="I12">
        <v>1.0280380382624399</v>
      </c>
      <c r="J12">
        <v>2.51785650480713</v>
      </c>
      <c r="K12" t="s">
        <v>11</v>
      </c>
      <c r="L12">
        <v>13.6</v>
      </c>
      <c r="M12">
        <v>10.3</v>
      </c>
      <c r="N12">
        <v>4</v>
      </c>
    </row>
    <row r="13" spans="1:14" x14ac:dyDescent="0.2">
      <c r="A13">
        <v>10</v>
      </c>
      <c r="B13">
        <v>2.7E-2</v>
      </c>
      <c r="C13">
        <v>7.5</v>
      </c>
      <c r="D13">
        <v>8.6</v>
      </c>
      <c r="E13" s="2">
        <f t="shared" si="0"/>
        <v>22.902129182322419</v>
      </c>
      <c r="F13" s="1">
        <f t="shared" si="1"/>
        <v>1.7465625</v>
      </c>
      <c r="G13">
        <v>4.1664368901409548E-3</v>
      </c>
      <c r="H13">
        <v>1.7113031573543252E-2</v>
      </c>
      <c r="I13">
        <v>1.0280380382624399</v>
      </c>
      <c r="J13">
        <v>2.51785650480713</v>
      </c>
      <c r="K13" t="s">
        <v>11</v>
      </c>
      <c r="L13">
        <v>13.6</v>
      </c>
      <c r="M13">
        <v>10.3</v>
      </c>
      <c r="N13">
        <v>4</v>
      </c>
    </row>
    <row r="14" spans="1:14" x14ac:dyDescent="0.2">
      <c r="A14">
        <v>22</v>
      </c>
      <c r="B14">
        <v>5.8999999999999997E-2</v>
      </c>
      <c r="C14">
        <v>5</v>
      </c>
      <c r="D14">
        <v>6.2</v>
      </c>
      <c r="E14" s="2">
        <f t="shared" si="0"/>
        <v>23.581429624170969</v>
      </c>
      <c r="F14" s="1">
        <f t="shared" si="1"/>
        <v>1.6962499999999998</v>
      </c>
      <c r="G14">
        <v>4.4269179040928716E-3</v>
      </c>
      <c r="H14">
        <v>2.0077633516262881E-2</v>
      </c>
      <c r="I14">
        <v>1.0280380382624399</v>
      </c>
      <c r="J14">
        <v>2.51785650480713</v>
      </c>
      <c r="K14" t="s">
        <v>11</v>
      </c>
      <c r="L14">
        <v>13.6</v>
      </c>
      <c r="M14">
        <v>10.3</v>
      </c>
      <c r="N14">
        <v>4</v>
      </c>
    </row>
    <row r="15" spans="1:14" x14ac:dyDescent="0.2">
      <c r="A15">
        <v>33</v>
      </c>
      <c r="B15">
        <v>8.4000000000000005E-2</v>
      </c>
      <c r="C15">
        <v>4.4000000000000004</v>
      </c>
      <c r="D15">
        <v>5.5</v>
      </c>
      <c r="E15" s="2">
        <f t="shared" si="0"/>
        <v>21.388361309309921</v>
      </c>
      <c r="F15" s="1">
        <f t="shared" si="1"/>
        <v>1.8701760000000003</v>
      </c>
      <c r="G15">
        <v>4.4397430223775299E-3</v>
      </c>
      <c r="H15">
        <v>2.4753867791842476E-2</v>
      </c>
      <c r="I15">
        <v>1.0280380382624399</v>
      </c>
      <c r="J15">
        <v>2.51785650480713</v>
      </c>
      <c r="K15" t="s">
        <v>11</v>
      </c>
      <c r="L15">
        <v>13.6</v>
      </c>
      <c r="M15">
        <v>10.3</v>
      </c>
      <c r="N15">
        <v>4</v>
      </c>
    </row>
    <row r="16" spans="1:14" x14ac:dyDescent="0.2">
      <c r="A16">
        <v>47</v>
      </c>
      <c r="B16">
        <v>0.129</v>
      </c>
      <c r="C16">
        <v>3.3</v>
      </c>
      <c r="D16">
        <v>4</v>
      </c>
      <c r="E16" s="2">
        <f t="shared" si="0"/>
        <v>24.759653401991859</v>
      </c>
      <c r="F16" s="1">
        <f t="shared" si="1"/>
        <v>1.6155314999999997</v>
      </c>
      <c r="G16">
        <v>4.0913696062391822E-3</v>
      </c>
      <c r="H16">
        <v>3.0971665618635551E-2</v>
      </c>
      <c r="I16">
        <v>1.0280380382624399</v>
      </c>
      <c r="J16">
        <v>2.51785650480713</v>
      </c>
      <c r="K16" t="s">
        <v>11</v>
      </c>
      <c r="L16">
        <v>13.6</v>
      </c>
      <c r="M16">
        <v>10.3</v>
      </c>
      <c r="N16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0A832-EF70-43A1-B39D-AE9C42882809}">
  <dimension ref="A1:N2"/>
  <sheetViews>
    <sheetView tabSelected="1" workbookViewId="0">
      <selection activeCell="K2" sqref="K2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2.2000000000000001E-3</v>
      </c>
      <c r="C2">
        <v>25.5</v>
      </c>
      <c r="D2">
        <v>36</v>
      </c>
      <c r="E2" s="2">
        <f>40/F2</f>
        <v>24.314150987838367</v>
      </c>
      <c r="F2" s="5">
        <f>C2^2*B2*1.15</f>
        <v>1.6451324999999999</v>
      </c>
      <c r="G2" s="3">
        <v>5.1800000000000001E-4</v>
      </c>
      <c r="H2">
        <v>4.2700000000000004E-3</v>
      </c>
      <c r="I2">
        <v>1.101</v>
      </c>
      <c r="J2">
        <v>2.2490000000000001</v>
      </c>
      <c r="K2" t="s">
        <v>38</v>
      </c>
      <c r="L2">
        <v>13.6</v>
      </c>
      <c r="M2">
        <v>10</v>
      </c>
      <c r="N2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43545-A402-4460-BE10-D9DDD354CCCC}">
  <dimension ref="A1:N2"/>
  <sheetViews>
    <sheetView workbookViewId="0">
      <selection activeCell="N2" sqref="N2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2.2000000000000002</v>
      </c>
      <c r="B2">
        <v>4.4999999999999997E-3</v>
      </c>
      <c r="C2">
        <v>20</v>
      </c>
      <c r="D2">
        <v>36</v>
      </c>
      <c r="E2">
        <f>40/F2</f>
        <v>19.323671497584542</v>
      </c>
      <c r="F2">
        <f>C2^2*B2*1.15</f>
        <v>2.0699999999999998</v>
      </c>
      <c r="G2" s="3">
        <v>3.81E-3</v>
      </c>
      <c r="H2">
        <v>5.0400000000000002E-3</v>
      </c>
      <c r="I2">
        <v>1.0109999999999999</v>
      </c>
      <c r="J2">
        <v>2.363</v>
      </c>
      <c r="K2" t="s">
        <v>33</v>
      </c>
      <c r="L2">
        <v>14.5</v>
      </c>
      <c r="M2">
        <v>12.8</v>
      </c>
      <c r="N2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37D76-5C82-409A-8724-0CA9B1438264}">
  <dimension ref="A1:N2"/>
  <sheetViews>
    <sheetView zoomScale="140" zoomScaleNormal="140" workbookViewId="0">
      <selection activeCell="K2" sqref="K2"/>
    </sheetView>
  </sheetViews>
  <sheetFormatPr defaultRowHeight="12.75" x14ac:dyDescent="0.2"/>
  <cols>
    <col min="7" max="7" width="13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2.3E-2</v>
      </c>
      <c r="C2">
        <v>5.0999999999999996</v>
      </c>
      <c r="D2">
        <v>6.2</v>
      </c>
      <c r="E2" s="2">
        <f t="shared" ref="E2" si="0">40/F2</f>
        <v>58.142534970917843</v>
      </c>
      <c r="F2" s="1">
        <f t="shared" ref="F2" si="1">C2^2*B2*1.15</f>
        <v>0.68796449999999987</v>
      </c>
      <c r="G2">
        <f>0.000000446</f>
        <v>4.46E-7</v>
      </c>
      <c r="H2">
        <v>3.5999999999999997E-2</v>
      </c>
      <c r="I2">
        <v>1.3140000000000001</v>
      </c>
      <c r="J2">
        <v>2.2850000000000001</v>
      </c>
      <c r="K2" t="s">
        <v>29</v>
      </c>
      <c r="L2">
        <v>3</v>
      </c>
      <c r="M2">
        <v>3</v>
      </c>
      <c r="N2">
        <v>0.9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93BEB-5A01-48EC-839D-26C22180712E}">
  <dimension ref="A1:N2"/>
  <sheetViews>
    <sheetView zoomScale="140" zoomScaleNormal="140" workbookViewId="0">
      <selection activeCell="K3" sqref="K3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0.47</v>
      </c>
      <c r="B2">
        <v>1.7000000000000001E-2</v>
      </c>
      <c r="C2">
        <v>6.5</v>
      </c>
      <c r="D2">
        <v>7.5</v>
      </c>
      <c r="E2" s="2">
        <f t="shared" ref="E2" si="0">40/F2</f>
        <v>48.426882973410613</v>
      </c>
      <c r="F2" s="1">
        <f t="shared" ref="F2" si="1">C2^2*B2*1.15</f>
        <v>0.82598749999999999</v>
      </c>
      <c r="G2">
        <v>3.6900000000000002E-4</v>
      </c>
      <c r="H2">
        <v>1.519E-2</v>
      </c>
      <c r="I2">
        <v>1.028</v>
      </c>
      <c r="J2">
        <v>2.5179999999999998</v>
      </c>
      <c r="K2" t="s">
        <v>30</v>
      </c>
      <c r="L2">
        <v>3.1</v>
      </c>
      <c r="M2">
        <v>3.1</v>
      </c>
      <c r="N2">
        <v>1.2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B5906-5371-47ED-8BD9-50A2EE17B788}">
  <dimension ref="A1:N4"/>
  <sheetViews>
    <sheetView zoomScale="150" zoomScaleNormal="150" workbookViewId="0">
      <selection activeCell="H11" sqref="H1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1.9E-2</v>
      </c>
      <c r="C2">
        <v>7.5</v>
      </c>
      <c r="D2">
        <v>10</v>
      </c>
      <c r="E2">
        <f>40/F2</f>
        <v>32.545130943300286</v>
      </c>
      <c r="F2">
        <f>C2^2*B2*1.15</f>
        <v>1.2290624999999997</v>
      </c>
      <c r="G2">
        <f>0.0000417</f>
        <v>4.1699999999999997E-5</v>
      </c>
      <c r="H2">
        <v>1.7440000000000001E-2</v>
      </c>
      <c r="I2">
        <v>1.101</v>
      </c>
      <c r="J2">
        <v>2.2490000000000001</v>
      </c>
      <c r="K2" t="s">
        <v>24</v>
      </c>
      <c r="L2">
        <v>7</v>
      </c>
      <c r="M2">
        <v>4.7</v>
      </c>
      <c r="N2">
        <v>1.5</v>
      </c>
    </row>
    <row r="3" spans="1:14" x14ac:dyDescent="0.2">
      <c r="A3">
        <v>1.5</v>
      </c>
      <c r="B3">
        <v>0.03</v>
      </c>
      <c r="C3">
        <v>6</v>
      </c>
      <c r="D3">
        <v>7.8</v>
      </c>
      <c r="E3">
        <f>40/F3</f>
        <v>32.206119162640903</v>
      </c>
      <c r="F3">
        <f>C3^2*B3*1.15</f>
        <v>1.242</v>
      </c>
      <c r="G3">
        <f>0.0000361</f>
        <v>3.6100000000000003E-5</v>
      </c>
      <c r="H3">
        <v>2.1080000000000002E-2</v>
      </c>
      <c r="I3">
        <v>1.101</v>
      </c>
      <c r="J3">
        <v>2.2490000000000001</v>
      </c>
      <c r="K3" t="s">
        <v>24</v>
      </c>
      <c r="L3">
        <v>7</v>
      </c>
      <c r="M3">
        <v>4.7</v>
      </c>
      <c r="N3">
        <v>1.5</v>
      </c>
    </row>
    <row r="4" spans="1:14" x14ac:dyDescent="0.2">
      <c r="A4">
        <v>2.2000000000000002</v>
      </c>
      <c r="B4">
        <v>4.4999999999999998E-2</v>
      </c>
      <c r="C4">
        <v>5</v>
      </c>
      <c r="D4">
        <v>7</v>
      </c>
      <c r="E4">
        <f>40/F4</f>
        <v>30.917874396135268</v>
      </c>
      <c r="F4">
        <f>C4^2*B4*1.15</f>
        <v>1.29375</v>
      </c>
      <c r="G4" s="3">
        <v>4.1300000000000001E-5</v>
      </c>
      <c r="H4">
        <v>2.453E-2</v>
      </c>
      <c r="I4">
        <v>1.101</v>
      </c>
      <c r="J4">
        <v>2.2490000000000001</v>
      </c>
      <c r="K4" t="s">
        <v>24</v>
      </c>
      <c r="L4">
        <v>7</v>
      </c>
      <c r="M4">
        <v>4.7</v>
      </c>
      <c r="N4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06258-9C79-430A-ADA3-56A4A12710BB}">
  <dimension ref="A1:N4"/>
  <sheetViews>
    <sheetView zoomScale="150" zoomScaleNormal="150" workbookViewId="0">
      <selection sqref="A1:N1"/>
    </sheetView>
  </sheetViews>
  <sheetFormatPr defaultRowHeight="12.75" x14ac:dyDescent="0.2"/>
  <cols>
    <col min="7" max="7" width="10.28515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1.9E-2</v>
      </c>
      <c r="C2">
        <v>8.1999999999999993</v>
      </c>
      <c r="D2">
        <v>11.8</v>
      </c>
      <c r="E2">
        <f>40/F2</f>
        <v>27.225812248076164</v>
      </c>
      <c r="F2">
        <f>C2^2*B2*1.15</f>
        <v>1.4691939999999997</v>
      </c>
      <c r="G2" s="3">
        <v>4.8900000000000003E-5</v>
      </c>
      <c r="H2">
        <v>1.434E-2</v>
      </c>
      <c r="I2">
        <v>1.101</v>
      </c>
      <c r="J2">
        <v>2.2490000000000001</v>
      </c>
      <c r="K2" t="s">
        <v>25</v>
      </c>
      <c r="L2">
        <v>7</v>
      </c>
      <c r="M2">
        <v>4.7</v>
      </c>
      <c r="N2">
        <v>1.8</v>
      </c>
    </row>
    <row r="3" spans="1:14" x14ac:dyDescent="0.2">
      <c r="A3">
        <v>1.5</v>
      </c>
      <c r="B3">
        <v>2.2499999999999999E-2</v>
      </c>
      <c r="C3">
        <v>7.5</v>
      </c>
      <c r="D3">
        <v>10.5</v>
      </c>
      <c r="E3">
        <f>40/F3</f>
        <v>27.482555018786904</v>
      </c>
      <c r="F3">
        <f>C3^2*B3*1.15</f>
        <v>1.4554687499999999</v>
      </c>
      <c r="G3" s="3">
        <f>0.0000478</f>
        <v>4.7800000000000003E-5</v>
      </c>
      <c r="H3">
        <v>1.8030000000000001E-2</v>
      </c>
      <c r="I3">
        <v>1.101</v>
      </c>
      <c r="J3">
        <v>2.2490000000000001</v>
      </c>
      <c r="K3" t="s">
        <v>25</v>
      </c>
      <c r="L3">
        <v>7</v>
      </c>
      <c r="M3">
        <v>4.7</v>
      </c>
      <c r="N3">
        <v>1.8</v>
      </c>
    </row>
    <row r="4" spans="1:14" x14ac:dyDescent="0.2">
      <c r="A4">
        <v>2.2000000000000002</v>
      </c>
      <c r="B4">
        <v>4.4999999999999998E-2</v>
      </c>
      <c r="C4">
        <v>5.7</v>
      </c>
      <c r="D4">
        <v>7.4</v>
      </c>
      <c r="E4">
        <f>40/F4</f>
        <v>23.790300397149327</v>
      </c>
      <c r="F4">
        <f>C4^2*B4*1.15</f>
        <v>1.6813575000000001</v>
      </c>
      <c r="G4" s="3">
        <f>0.0000466</f>
        <v>4.6600000000000001E-5</v>
      </c>
      <c r="H4">
        <v>2.5690000000000001E-2</v>
      </c>
      <c r="I4">
        <v>1.101</v>
      </c>
      <c r="J4">
        <v>2.2490000000000001</v>
      </c>
      <c r="K4" t="s">
        <v>25</v>
      </c>
      <c r="L4">
        <v>7</v>
      </c>
      <c r="M4">
        <v>4.7</v>
      </c>
      <c r="N4">
        <v>1.8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419B-A406-4BFE-8A46-5F910D217C80}">
  <dimension ref="A1:N11"/>
  <sheetViews>
    <sheetView workbookViewId="0">
      <selection activeCell="L17" sqref="L17"/>
    </sheetView>
  </sheetViews>
  <sheetFormatPr defaultRowHeight="12.75" x14ac:dyDescent="0.2"/>
  <cols>
    <col min="1" max="1" width="10" bestFit="1" customWidth="1"/>
    <col min="7" max="7" width="12" bestFit="1" customWidth="1"/>
  </cols>
  <sheetData>
    <row r="1" spans="1:14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10</v>
      </c>
      <c r="F1" s="4" t="s">
        <v>9</v>
      </c>
      <c r="G1" s="4" t="s">
        <v>15</v>
      </c>
      <c r="H1" s="4" t="s">
        <v>12</v>
      </c>
      <c r="I1" s="4" t="s">
        <v>13</v>
      </c>
      <c r="J1" s="4" t="s">
        <v>14</v>
      </c>
      <c r="K1" s="4" t="s">
        <v>4</v>
      </c>
      <c r="L1" s="4" t="s">
        <v>5</v>
      </c>
      <c r="M1" s="4" t="s">
        <v>6</v>
      </c>
      <c r="N1" s="4" t="s">
        <v>7</v>
      </c>
    </row>
    <row r="2" spans="1:14" x14ac:dyDescent="0.2">
      <c r="A2" s="4">
        <v>0.15</v>
      </c>
      <c r="B2">
        <v>8.4999999999999995E-4</v>
      </c>
      <c r="C2">
        <v>38</v>
      </c>
      <c r="D2">
        <v>45</v>
      </c>
      <c r="E2">
        <f>40/F2</f>
        <v>28.338446061310236</v>
      </c>
      <c r="F2">
        <f>C2^2*B2*1.15</f>
        <v>1.4115099999999996</v>
      </c>
      <c r="G2">
        <f>0.00000957</f>
        <v>9.5699999999999999E-6</v>
      </c>
      <c r="H2">
        <v>5.1599999999999997E-3</v>
      </c>
      <c r="I2">
        <v>1.254</v>
      </c>
      <c r="J2">
        <v>2.3260000000000001</v>
      </c>
      <c r="K2" t="s">
        <v>26</v>
      </c>
      <c r="L2">
        <v>5.5</v>
      </c>
      <c r="M2">
        <v>5.7</v>
      </c>
      <c r="N2">
        <v>3</v>
      </c>
    </row>
    <row r="3" spans="1:14" x14ac:dyDescent="0.2">
      <c r="A3" s="4">
        <v>0.33</v>
      </c>
      <c r="B3" s="3">
        <v>1.8E-3</v>
      </c>
      <c r="C3">
        <v>28.5</v>
      </c>
      <c r="D3">
        <v>32</v>
      </c>
      <c r="E3">
        <f t="shared" ref="E3:E11" si="0">40/F3</f>
        <v>23.790300397149334</v>
      </c>
      <c r="F3">
        <f t="shared" ref="F3:F11" si="1">C3^2*B3*1.15</f>
        <v>1.6813574999999996</v>
      </c>
      <c r="G3">
        <f>0.0000096</f>
        <v>9.5999999999999996E-6</v>
      </c>
      <c r="H3">
        <v>6.7799999999999996E-3</v>
      </c>
      <c r="I3">
        <v>1.254</v>
      </c>
      <c r="J3">
        <v>2.3260000000000001</v>
      </c>
      <c r="K3" t="s">
        <v>26</v>
      </c>
      <c r="L3">
        <v>5.5</v>
      </c>
      <c r="M3">
        <v>5.7</v>
      </c>
      <c r="N3">
        <v>3</v>
      </c>
    </row>
    <row r="4" spans="1:14" x14ac:dyDescent="0.2">
      <c r="A4" s="4">
        <v>0.36</v>
      </c>
      <c r="B4">
        <v>2E-3</v>
      </c>
      <c r="C4">
        <v>27</v>
      </c>
      <c r="D4">
        <v>29</v>
      </c>
      <c r="E4">
        <f t="shared" si="0"/>
        <v>23.856384564919189</v>
      </c>
      <c r="F4">
        <f t="shared" si="1"/>
        <v>1.6766999999999999</v>
      </c>
      <c r="G4">
        <f>0.00000983</f>
        <v>9.8300000000000008E-6</v>
      </c>
      <c r="H4">
        <v>6.9899999999999997E-3</v>
      </c>
      <c r="I4">
        <v>1.254</v>
      </c>
      <c r="J4">
        <v>2.3260000000000001</v>
      </c>
      <c r="K4" t="s">
        <v>26</v>
      </c>
      <c r="L4">
        <v>5.5</v>
      </c>
      <c r="M4">
        <v>5.7</v>
      </c>
      <c r="N4">
        <v>3</v>
      </c>
    </row>
    <row r="5" spans="1:14" x14ac:dyDescent="0.2">
      <c r="A5" s="4">
        <v>0.47</v>
      </c>
      <c r="B5">
        <v>2.5000000000000001E-3</v>
      </c>
      <c r="C5">
        <v>24</v>
      </c>
      <c r="D5">
        <v>26</v>
      </c>
      <c r="E5">
        <f t="shared" si="0"/>
        <v>24.154589371980677</v>
      </c>
      <c r="F5">
        <f t="shared" si="1"/>
        <v>1.6559999999999999</v>
      </c>
      <c r="G5">
        <f>0.00000883</f>
        <v>8.8300000000000002E-6</v>
      </c>
      <c r="H5">
        <v>9.2999999999999992E-3</v>
      </c>
      <c r="I5">
        <v>1.254</v>
      </c>
      <c r="J5">
        <v>2.3260000000000001</v>
      </c>
      <c r="K5" t="s">
        <v>26</v>
      </c>
      <c r="L5">
        <v>5.5</v>
      </c>
      <c r="M5">
        <v>5.7</v>
      </c>
      <c r="N5">
        <v>3</v>
      </c>
    </row>
    <row r="6" spans="1:14" x14ac:dyDescent="0.2">
      <c r="A6" s="4">
        <v>0.56000000000000005</v>
      </c>
      <c r="B6">
        <v>3.0000000000000001E-3</v>
      </c>
      <c r="C6">
        <v>22</v>
      </c>
      <c r="D6">
        <v>24</v>
      </c>
      <c r="E6">
        <f t="shared" si="0"/>
        <v>23.95496466642712</v>
      </c>
      <c r="F6">
        <f t="shared" si="1"/>
        <v>1.6697999999999997</v>
      </c>
      <c r="G6">
        <f>0.00000921</f>
        <v>9.2099999999999999E-6</v>
      </c>
      <c r="H6">
        <v>1.03E-2</v>
      </c>
      <c r="I6">
        <v>1.254</v>
      </c>
      <c r="J6">
        <v>2.3260000000000001</v>
      </c>
      <c r="K6" t="s">
        <v>26</v>
      </c>
      <c r="L6">
        <v>5.5</v>
      </c>
      <c r="M6">
        <v>5.7</v>
      </c>
      <c r="N6">
        <v>3</v>
      </c>
    </row>
    <row r="7" spans="1:14" x14ac:dyDescent="0.2">
      <c r="A7" s="4">
        <v>0.68</v>
      </c>
      <c r="B7">
        <v>3.8E-3</v>
      </c>
      <c r="C7">
        <v>19.5</v>
      </c>
      <c r="D7">
        <v>21.5</v>
      </c>
      <c r="E7">
        <f t="shared" si="0"/>
        <v>24.07184241368364</v>
      </c>
      <c r="F7">
        <f t="shared" si="1"/>
        <v>1.6616924999999998</v>
      </c>
      <c r="G7">
        <f>0.00000871</f>
        <v>8.7099999999999996E-6</v>
      </c>
      <c r="H7">
        <v>1.0200000000000001E-2</v>
      </c>
      <c r="I7">
        <v>1.254</v>
      </c>
      <c r="J7">
        <v>2.3260000000000001</v>
      </c>
      <c r="K7" t="s">
        <v>26</v>
      </c>
      <c r="L7">
        <v>5.5</v>
      </c>
      <c r="M7">
        <v>5.7</v>
      </c>
      <c r="N7">
        <v>3</v>
      </c>
    </row>
    <row r="8" spans="1:14" x14ac:dyDescent="0.2">
      <c r="A8" s="4">
        <v>1</v>
      </c>
      <c r="B8">
        <v>5.0000000000000001E-3</v>
      </c>
      <c r="C8">
        <v>17</v>
      </c>
      <c r="D8">
        <v>18</v>
      </c>
      <c r="E8">
        <f t="shared" si="0"/>
        <v>24.071009477959983</v>
      </c>
      <c r="F8">
        <f t="shared" si="1"/>
        <v>1.6617499999999998</v>
      </c>
      <c r="G8">
        <f>0.00000872</f>
        <v>8.7199999999999995E-6</v>
      </c>
      <c r="H8">
        <v>1.2200000000000001E-2</v>
      </c>
      <c r="I8">
        <v>1.254</v>
      </c>
      <c r="J8">
        <v>2.3260000000000001</v>
      </c>
      <c r="K8" t="s">
        <v>26</v>
      </c>
      <c r="L8">
        <v>5.5</v>
      </c>
      <c r="M8">
        <v>5.7</v>
      </c>
      <c r="N8">
        <v>3</v>
      </c>
    </row>
    <row r="9" spans="1:14" x14ac:dyDescent="0.2">
      <c r="A9" s="4">
        <v>1.5</v>
      </c>
      <c r="B9">
        <v>7.1999999999999998E-3</v>
      </c>
      <c r="C9">
        <v>14</v>
      </c>
      <c r="D9">
        <v>15</v>
      </c>
      <c r="E9">
        <f t="shared" si="0"/>
        <v>24.647540175490487</v>
      </c>
      <c r="F9">
        <f t="shared" si="1"/>
        <v>1.6228799999999999</v>
      </c>
      <c r="G9">
        <f>0.000008982</f>
        <v>8.9819999999999997E-6</v>
      </c>
      <c r="H9">
        <v>1.5900000000000001E-2</v>
      </c>
      <c r="I9">
        <v>1.254</v>
      </c>
      <c r="J9">
        <v>2.3260000000000001</v>
      </c>
      <c r="K9" t="s">
        <v>26</v>
      </c>
      <c r="L9">
        <v>5.5</v>
      </c>
      <c r="M9">
        <v>5.7</v>
      </c>
      <c r="N9">
        <v>3</v>
      </c>
    </row>
    <row r="10" spans="1:14" x14ac:dyDescent="0.2">
      <c r="A10" s="4">
        <v>2.2000000000000002</v>
      </c>
      <c r="B10">
        <v>9.7999999999999997E-3</v>
      </c>
      <c r="C10">
        <v>12</v>
      </c>
      <c r="D10">
        <v>11</v>
      </c>
      <c r="E10">
        <f t="shared" si="0"/>
        <v>24.647540175490487</v>
      </c>
      <c r="F10">
        <f t="shared" si="1"/>
        <v>1.6228799999999999</v>
      </c>
      <c r="G10">
        <f>0.00000891</f>
        <v>8.9099999999999994E-6</v>
      </c>
      <c r="H10">
        <v>1.9599999999999999E-2</v>
      </c>
      <c r="I10">
        <v>1.254</v>
      </c>
      <c r="J10">
        <v>2.3260000000000001</v>
      </c>
      <c r="K10" t="s">
        <v>26</v>
      </c>
      <c r="L10">
        <v>5.5</v>
      </c>
      <c r="M10">
        <v>5.7</v>
      </c>
      <c r="N10">
        <v>3</v>
      </c>
    </row>
    <row r="11" spans="1:14" x14ac:dyDescent="0.2">
      <c r="A11" s="4">
        <v>3.3</v>
      </c>
      <c r="B11">
        <v>1.4999999999999999E-2</v>
      </c>
      <c r="C11">
        <v>10</v>
      </c>
      <c r="D11">
        <v>9.1999999999999993</v>
      </c>
      <c r="E11">
        <f t="shared" si="0"/>
        <v>23.188405797101453</v>
      </c>
      <c r="F11">
        <f t="shared" si="1"/>
        <v>1.7249999999999999</v>
      </c>
      <c r="G11">
        <f>0.00000885</f>
        <v>8.85E-6</v>
      </c>
      <c r="H11">
        <v>2.3199999999999998E-2</v>
      </c>
      <c r="I11">
        <v>1.254</v>
      </c>
      <c r="J11">
        <v>2.3260000000000001</v>
      </c>
      <c r="K11" t="s">
        <v>26</v>
      </c>
      <c r="L11">
        <v>5.5</v>
      </c>
      <c r="M11">
        <v>5.7</v>
      </c>
      <c r="N11">
        <v>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5FAB1-3D42-4172-B790-7D8771165FE4}">
  <dimension ref="A1:N2"/>
  <sheetViews>
    <sheetView zoomScale="140" zoomScaleNormal="140" workbookViewId="0">
      <selection activeCell="F17" sqref="F17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1</v>
      </c>
      <c r="B2">
        <v>1.2999999999999999E-2</v>
      </c>
      <c r="C2">
        <v>8.5</v>
      </c>
      <c r="D2">
        <v>11</v>
      </c>
      <c r="E2">
        <f>40/F2</f>
        <v>37.032322273784594</v>
      </c>
      <c r="F2">
        <f>C2^2*B2*1.15</f>
        <v>1.0801374999999998</v>
      </c>
      <c r="G2">
        <f>0.000669</f>
        <v>6.69E-4</v>
      </c>
      <c r="H2">
        <v>1.4370000000000001E-2</v>
      </c>
      <c r="I2">
        <v>1.028</v>
      </c>
      <c r="J2">
        <v>2.5179999999999998</v>
      </c>
      <c r="K2" t="s">
        <v>23</v>
      </c>
      <c r="L2">
        <v>7</v>
      </c>
      <c r="M2">
        <v>4.7</v>
      </c>
      <c r="N2">
        <v>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5A2FD-4FF8-4DE7-9D64-03112843A7F5}">
  <dimension ref="A1:N5"/>
  <sheetViews>
    <sheetView topLeftCell="D1" zoomScale="150" zoomScaleNormal="150" workbookViewId="0">
      <selection sqref="A1:N1"/>
    </sheetView>
  </sheetViews>
  <sheetFormatPr defaultRowHeight="12.75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9</v>
      </c>
      <c r="G1" t="s">
        <v>15</v>
      </c>
      <c r="H1" t="s">
        <v>12</v>
      </c>
      <c r="I1" t="s">
        <v>13</v>
      </c>
      <c r="J1" t="s">
        <v>14</v>
      </c>
      <c r="K1" t="s">
        <v>4</v>
      </c>
      <c r="L1" t="s">
        <v>5</v>
      </c>
      <c r="M1" t="s">
        <v>6</v>
      </c>
      <c r="N1" t="s">
        <v>7</v>
      </c>
    </row>
    <row r="2" spans="1:14" x14ac:dyDescent="0.2">
      <c r="A2">
        <v>0.56000000000000005</v>
      </c>
      <c r="B2">
        <v>8.0000000000000002E-3</v>
      </c>
      <c r="C2">
        <v>11</v>
      </c>
      <c r="D2">
        <v>10</v>
      </c>
      <c r="E2" s="2">
        <f t="shared" ref="E2:E5" si="0">40/F2</f>
        <v>35.932446999640675</v>
      </c>
      <c r="F2" s="1">
        <f t="shared" ref="F2:F5" si="1">C2^2*B2*1.15</f>
        <v>1.1132</v>
      </c>
      <c r="G2">
        <f>0.000714</f>
        <v>7.1400000000000001E-4</v>
      </c>
      <c r="H2">
        <v>9.5600000000000008E-3</v>
      </c>
      <c r="I2">
        <v>1.028</v>
      </c>
      <c r="J2">
        <v>2.5179999999999998</v>
      </c>
      <c r="K2" t="s">
        <v>16</v>
      </c>
      <c r="L2">
        <v>7</v>
      </c>
      <c r="M2">
        <v>4.7</v>
      </c>
      <c r="N2">
        <v>3</v>
      </c>
    </row>
    <row r="3" spans="1:14" x14ac:dyDescent="0.2">
      <c r="A3">
        <v>0.68</v>
      </c>
      <c r="B3">
        <v>8.0000000000000002E-3</v>
      </c>
      <c r="C3">
        <v>11</v>
      </c>
      <c r="D3">
        <v>11.5</v>
      </c>
      <c r="E3" s="2">
        <f t="shared" si="0"/>
        <v>35.932446999640675</v>
      </c>
      <c r="F3" s="1">
        <f t="shared" si="1"/>
        <v>1.1132</v>
      </c>
      <c r="G3">
        <f>0.000715</f>
        <v>7.1500000000000003E-4</v>
      </c>
      <c r="H3">
        <v>1.06E-2</v>
      </c>
      <c r="I3">
        <v>1.028</v>
      </c>
      <c r="J3">
        <v>2.5179999999999998</v>
      </c>
      <c r="K3" t="s">
        <v>16</v>
      </c>
      <c r="L3">
        <v>7</v>
      </c>
      <c r="M3">
        <v>4.7</v>
      </c>
      <c r="N3">
        <v>3</v>
      </c>
    </row>
    <row r="4" spans="1:14" x14ac:dyDescent="0.2">
      <c r="A4">
        <v>1</v>
      </c>
      <c r="B4">
        <v>1.0500000000000001E-2</v>
      </c>
      <c r="C4">
        <v>9.8000000000000007</v>
      </c>
      <c r="D4">
        <v>10</v>
      </c>
      <c r="E4" s="2">
        <f t="shared" si="0"/>
        <v>34.492184502144113</v>
      </c>
      <c r="F4" s="1">
        <f t="shared" si="1"/>
        <v>1.1596830000000002</v>
      </c>
      <c r="G4">
        <f>0.000642</f>
        <v>6.4199999999999999E-4</v>
      </c>
      <c r="H4">
        <v>1.465E-2</v>
      </c>
      <c r="I4">
        <v>1.028</v>
      </c>
      <c r="J4">
        <v>2.5179999999999998</v>
      </c>
      <c r="K4" t="s">
        <v>16</v>
      </c>
      <c r="L4">
        <v>7</v>
      </c>
      <c r="M4">
        <v>4.7</v>
      </c>
      <c r="N4">
        <v>3</v>
      </c>
    </row>
    <row r="5" spans="1:14" x14ac:dyDescent="0.2">
      <c r="A5">
        <v>1.5</v>
      </c>
      <c r="B5">
        <v>1.7000000000000001E-2</v>
      </c>
      <c r="C5">
        <v>7.8</v>
      </c>
      <c r="D5">
        <v>8.6</v>
      </c>
      <c r="E5" s="2">
        <f t="shared" si="0"/>
        <v>33.629779842646258</v>
      </c>
      <c r="F5" s="1">
        <f t="shared" si="1"/>
        <v>1.189422</v>
      </c>
      <c r="G5">
        <f>0.000657</f>
        <v>6.5700000000000003E-4</v>
      </c>
      <c r="H5">
        <v>1.562E-2</v>
      </c>
      <c r="I5">
        <v>1.028</v>
      </c>
      <c r="J5">
        <v>2.5179999999999998</v>
      </c>
      <c r="K5" t="s">
        <v>16</v>
      </c>
      <c r="L5">
        <v>7</v>
      </c>
      <c r="M5">
        <v>4.7</v>
      </c>
      <c r="N5">
        <v>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htel20121b</vt:lpstr>
      <vt:lpstr>htep32251b</vt:lpstr>
      <vt:lpstr>htey030S</vt:lpstr>
      <vt:lpstr>hbeq031b</vt:lpstr>
      <vt:lpstr>cmle051e</vt:lpstr>
      <vt:lpstr>cmle051h</vt:lpstr>
      <vt:lpstr>hbed053t</vt:lpstr>
      <vt:lpstr>pimb053t</vt:lpstr>
      <vt:lpstr>cmlb053t</vt:lpstr>
      <vt:lpstr>cmle061b</vt:lpstr>
      <vt:lpstr>cmle061e</vt:lpstr>
      <vt:lpstr>cmle062t</vt:lpstr>
      <vt:lpstr>cmls062d</vt:lpstr>
      <vt:lpstr>cmlb063t</vt:lpstr>
      <vt:lpstr>cmle063t</vt:lpstr>
      <vt:lpstr>hbed063t</vt:lpstr>
      <vt:lpstr>cmll063t</vt:lpstr>
      <vt:lpstr>pimb063t</vt:lpstr>
      <vt:lpstr>cmle064t</vt:lpstr>
      <vt:lpstr>cmle083t</vt:lpstr>
      <vt:lpstr>cmle103t</vt:lpstr>
      <vt:lpstr>cmle104t</vt:lpstr>
      <vt:lpstr>cmlb104t</vt:lpstr>
      <vt:lpstr>cmle105t</vt:lpstr>
      <vt:lpstr>cmls135t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Gary Kidwell</cp:lastModifiedBy>
  <cp:revision>7</cp:revision>
  <dcterms:created xsi:type="dcterms:W3CDTF">2021-06-11T12:23:08Z</dcterms:created>
  <dcterms:modified xsi:type="dcterms:W3CDTF">2025-05-29T17:49:48Z</dcterms:modified>
  <dc:language>en-US</dc:language>
</cp:coreProperties>
</file>