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1350ECF6-1725-43BF-9A63-F66936C35692}" xr6:coauthVersionLast="47" xr6:coauthVersionMax="47" xr10:uidLastSave="{00000000-0000-0000-0000-000000000000}"/>
  <bookViews>
    <workbookView xWindow="-120" yWindow="-120" windowWidth="29040" windowHeight="16440" xr2:uid="{B612C9A5-B15E-4EDC-BF1B-7FB0148FB41B}"/>
  </bookViews>
  <sheets>
    <sheet name="C" sheetId="4" r:id="rId1"/>
  </sheets>
  <externalReferences>
    <externalReference r:id="rId2"/>
    <externalReference r:id="rId3"/>
    <externalReference r:id="rId4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 localSheetId="0">[3]A!#REF!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4" l="1"/>
  <c r="J31" i="4" s="1"/>
  <c r="J32" i="4" s="1"/>
  <c r="J33" i="4" s="1"/>
  <c r="J34" i="4" s="1"/>
  <c r="J35" i="4" s="1"/>
  <c r="J36" i="4" s="1"/>
  <c r="J37" i="4" s="1"/>
  <c r="J38" i="4" s="1"/>
  <c r="J29" i="4"/>
  <c r="O2" i="4"/>
  <c r="T2" i="4"/>
  <c r="M3" i="4"/>
  <c r="N3" i="4"/>
  <c r="T3" i="4"/>
  <c r="U4" i="4"/>
  <c r="V4" i="4"/>
  <c r="W4" i="4"/>
  <c r="X4" i="4"/>
  <c r="B6" i="4"/>
  <c r="C6" i="4"/>
  <c r="F6" i="4"/>
  <c r="G6" i="4"/>
  <c r="H6" i="4"/>
  <c r="O6" i="4" s="1"/>
  <c r="O28" i="4" s="1"/>
  <c r="B7" i="4"/>
  <c r="C7" i="4"/>
  <c r="F7" i="4"/>
  <c r="G7" i="4"/>
  <c r="H7" i="4"/>
  <c r="O7" i="4" s="1"/>
  <c r="O29" i="4" s="1"/>
  <c r="B8" i="4"/>
  <c r="C8" i="4"/>
  <c r="F8" i="4"/>
  <c r="G8" i="4"/>
  <c r="H8" i="4"/>
  <c r="O8" i="4" s="1"/>
  <c r="O30" i="4" s="1"/>
  <c r="B9" i="4"/>
  <c r="C9" i="4"/>
  <c r="F9" i="4"/>
  <c r="G9" i="4"/>
  <c r="H9" i="4"/>
  <c r="O9" i="4" s="1"/>
  <c r="O31" i="4" s="1"/>
  <c r="B10" i="4"/>
  <c r="C10" i="4"/>
  <c r="F10" i="4"/>
  <c r="G10" i="4"/>
  <c r="H10" i="4"/>
  <c r="O10" i="4" s="1"/>
  <c r="O32" i="4" s="1"/>
  <c r="AE10" i="4"/>
  <c r="AF10" i="4"/>
  <c r="AG10" i="4"/>
  <c r="B11" i="4"/>
  <c r="C11" i="4"/>
  <c r="F11" i="4"/>
  <c r="G11" i="4"/>
  <c r="H11" i="4"/>
  <c r="O11" i="4" s="1"/>
  <c r="AE11" i="4"/>
  <c r="AF11" i="4"/>
  <c r="AG11" i="4"/>
  <c r="B12" i="4"/>
  <c r="C12" i="4"/>
  <c r="F12" i="4"/>
  <c r="G12" i="4"/>
  <c r="H12" i="4"/>
  <c r="O12" i="4" s="1"/>
  <c r="AE12" i="4"/>
  <c r="AF12" i="4"/>
  <c r="AG12" i="4"/>
  <c r="B13" i="4"/>
  <c r="C13" i="4"/>
  <c r="F13" i="4"/>
  <c r="G13" i="4"/>
  <c r="H13" i="4"/>
  <c r="O13" i="4" s="1"/>
  <c r="O35" i="4" s="1"/>
  <c r="B14" i="4"/>
  <c r="C14" i="4"/>
  <c r="F14" i="4"/>
  <c r="G14" i="4"/>
  <c r="H14" i="4"/>
  <c r="O14" i="4" s="1"/>
  <c r="B15" i="4"/>
  <c r="C15" i="4"/>
  <c r="F15" i="4"/>
  <c r="G15" i="4"/>
  <c r="H15" i="4"/>
  <c r="O15" i="4" s="1"/>
  <c r="O37" i="4" s="1"/>
  <c r="B16" i="4"/>
  <c r="C16" i="4"/>
  <c r="F16" i="4"/>
  <c r="G16" i="4"/>
  <c r="H16" i="4"/>
  <c r="O16" i="4" s="1"/>
  <c r="AE20" i="4"/>
  <c r="AE21" i="4"/>
  <c r="AD22" i="4" s="1" a="1"/>
  <c r="AF21" i="4"/>
  <c r="AG21" i="4"/>
  <c r="Z22" i="4"/>
  <c r="AA22" i="4"/>
  <c r="AB22" i="4"/>
  <c r="M24" i="4"/>
  <c r="M25" i="4"/>
  <c r="D4" i="4" l="1"/>
  <c r="H4" i="4"/>
  <c r="AG20" i="4" s="1"/>
  <c r="M6" i="4"/>
  <c r="M28" i="4" s="1"/>
  <c r="M8" i="4"/>
  <c r="M30" i="4" s="1"/>
  <c r="M9" i="4"/>
  <c r="M31" i="4" s="1"/>
  <c r="M10" i="4"/>
  <c r="M32" i="4" s="1"/>
  <c r="M12" i="4"/>
  <c r="M34" i="4" s="1"/>
  <c r="M7" i="4"/>
  <c r="M29" i="4" s="1"/>
  <c r="N15" i="4"/>
  <c r="N10" i="4"/>
  <c r="N8" i="4"/>
  <c r="N6" i="4"/>
  <c r="N11" i="4"/>
  <c r="M16" i="4"/>
  <c r="M38" i="4" s="1"/>
  <c r="M14" i="4"/>
  <c r="M36" i="4" s="1"/>
  <c r="N12" i="4"/>
  <c r="N9" i="4"/>
  <c r="N7" i="4"/>
  <c r="M11" i="4"/>
  <c r="M33" i="4" s="1"/>
  <c r="N13" i="4"/>
  <c r="M15" i="4"/>
  <c r="M37" i="4" s="1"/>
  <c r="M13" i="4"/>
  <c r="M35" i="4" s="1"/>
  <c r="N16" i="4"/>
  <c r="N14" i="4"/>
  <c r="O36" i="4"/>
  <c r="O17" i="4"/>
  <c r="AK11" i="4" s="1"/>
  <c r="AD24" i="4"/>
  <c r="AD23" i="4"/>
  <c r="AD22" i="4"/>
  <c r="O33" i="4"/>
  <c r="O38" i="4"/>
  <c r="O34" i="4"/>
  <c r="N32" i="4" l="1"/>
  <c r="N38" i="4"/>
  <c r="N35" i="4"/>
  <c r="N29" i="4"/>
  <c r="N31" i="4"/>
  <c r="N34" i="4"/>
  <c r="N30" i="4"/>
  <c r="N37" i="4"/>
  <c r="N33" i="4"/>
  <c r="N36" i="4"/>
  <c r="N28" i="4"/>
  <c r="O19" i="4"/>
  <c r="M17" i="4"/>
  <c r="AA16" i="4" s="1"/>
  <c r="N17" i="4"/>
  <c r="K11" i="4" s="1"/>
  <c r="S31" i="4"/>
  <c r="AK10" i="4"/>
  <c r="S35" i="4"/>
  <c r="S37" i="4"/>
  <c r="AK13" i="4"/>
  <c r="S36" i="4"/>
  <c r="S32" i="4"/>
  <c r="AK7" i="4"/>
  <c r="S34" i="4"/>
  <c r="S33" i="4"/>
  <c r="S38" i="4"/>
  <c r="AK14" i="4"/>
  <c r="AK15" i="4"/>
  <c r="AK6" i="4"/>
  <c r="AK8" i="4"/>
  <c r="AK16" i="4"/>
  <c r="AK9" i="4"/>
  <c r="AK12" i="4"/>
  <c r="S28" i="4"/>
  <c r="S29" i="4"/>
  <c r="S30" i="4"/>
  <c r="M19" i="4"/>
  <c r="M18" i="4"/>
  <c r="O18" i="4"/>
  <c r="N19" i="4" l="1"/>
  <c r="N18" i="4"/>
  <c r="AA13" i="4"/>
  <c r="V38" i="4"/>
  <c r="Q14" i="4"/>
  <c r="U36" i="4" s="1"/>
  <c r="Q37" i="4"/>
  <c r="AB8" i="4"/>
  <c r="AB10" i="4"/>
  <c r="Q7" i="4"/>
  <c r="U29" i="4" s="1"/>
  <c r="V12" i="4"/>
  <c r="Q12" i="4"/>
  <c r="U12" i="4" s="1"/>
  <c r="Z13" i="4"/>
  <c r="Z12" i="4"/>
  <c r="V29" i="4"/>
  <c r="Q10" i="4"/>
  <c r="U32" i="4" s="1"/>
  <c r="V11" i="4"/>
  <c r="AI6" i="4"/>
  <c r="V14" i="4"/>
  <c r="W9" i="4"/>
  <c r="Q11" i="4"/>
  <c r="U11" i="4" s="1"/>
  <c r="V6" i="4"/>
  <c r="Q32" i="4"/>
  <c r="J11" i="4"/>
  <c r="V31" i="4"/>
  <c r="J7" i="4"/>
  <c r="V16" i="4"/>
  <c r="AI10" i="4"/>
  <c r="V15" i="4"/>
  <c r="AI14" i="4"/>
  <c r="J14" i="4"/>
  <c r="Q34" i="4"/>
  <c r="Q13" i="4"/>
  <c r="U13" i="4" s="1"/>
  <c r="AK18" i="4"/>
  <c r="AG24" i="4" s="1"/>
  <c r="V36" i="4"/>
  <c r="R34" i="4"/>
  <c r="AJ12" i="4"/>
  <c r="Q35" i="4"/>
  <c r="Q6" i="4"/>
  <c r="U6" i="4" s="1"/>
  <c r="J9" i="4"/>
  <c r="AJ13" i="4"/>
  <c r="Q8" i="4"/>
  <c r="U30" i="4" s="1"/>
  <c r="V35" i="4"/>
  <c r="V33" i="4"/>
  <c r="J15" i="4"/>
  <c r="AI11" i="4"/>
  <c r="Z8" i="4"/>
  <c r="Q16" i="4"/>
  <c r="U16" i="4" s="1"/>
  <c r="Q36" i="4"/>
  <c r="J6" i="4"/>
  <c r="R6" i="4"/>
  <c r="V13" i="4"/>
  <c r="Q30" i="4"/>
  <c r="Z7" i="4"/>
  <c r="K13" i="4"/>
  <c r="AI9" i="4"/>
  <c r="AI8" i="4"/>
  <c r="V32" i="4"/>
  <c r="Q38" i="4"/>
  <c r="AI16" i="4"/>
  <c r="Q28" i="4"/>
  <c r="AA15" i="4"/>
  <c r="Z15" i="4"/>
  <c r="Q31" i="4"/>
  <c r="AI7" i="4"/>
  <c r="Q15" i="4"/>
  <c r="U15" i="4" s="1"/>
  <c r="Q33" i="4"/>
  <c r="AA8" i="4"/>
  <c r="V10" i="4"/>
  <c r="V7" i="4"/>
  <c r="AA14" i="4"/>
  <c r="V9" i="4"/>
  <c r="V28" i="4"/>
  <c r="V8" i="4"/>
  <c r="Q29" i="4"/>
  <c r="AI13" i="4"/>
  <c r="Z9" i="4"/>
  <c r="J13" i="4"/>
  <c r="AA7" i="4"/>
  <c r="W15" i="4"/>
  <c r="R8" i="4"/>
  <c r="R33" i="4"/>
  <c r="AB14" i="4"/>
  <c r="W7" i="4"/>
  <c r="R4" i="4"/>
  <c r="AJ7" i="4"/>
  <c r="J8" i="4"/>
  <c r="AA11" i="4"/>
  <c r="V34" i="4"/>
  <c r="Q9" i="4"/>
  <c r="U31" i="4" s="1"/>
  <c r="J16" i="4"/>
  <c r="AA12" i="4"/>
  <c r="AB12" i="4"/>
  <c r="W10" i="4"/>
  <c r="W11" i="4"/>
  <c r="R28" i="4"/>
  <c r="R7" i="4"/>
  <c r="R36" i="4"/>
  <c r="Z14" i="4"/>
  <c r="AJ15" i="4"/>
  <c r="K7" i="4"/>
  <c r="K12" i="4"/>
  <c r="AA9" i="4"/>
  <c r="V37" i="4"/>
  <c r="AI12" i="4"/>
  <c r="V30" i="4"/>
  <c r="J12" i="4"/>
  <c r="AA6" i="4"/>
  <c r="AJ14" i="4"/>
  <c r="K9" i="4"/>
  <c r="W6" i="4"/>
  <c r="AJ6" i="4"/>
  <c r="R9" i="4"/>
  <c r="AJ10" i="4"/>
  <c r="K15" i="4"/>
  <c r="Z11" i="4"/>
  <c r="R32" i="4"/>
  <c r="R10" i="4"/>
  <c r="R35" i="4"/>
  <c r="K10" i="4"/>
  <c r="W12" i="4"/>
  <c r="K16" i="4"/>
  <c r="R37" i="4"/>
  <c r="R13" i="4"/>
  <c r="W16" i="4"/>
  <c r="R29" i="4"/>
  <c r="Z16" i="4"/>
  <c r="R12" i="4"/>
  <c r="AI15" i="4"/>
  <c r="J10" i="4"/>
  <c r="AA10" i="4"/>
  <c r="K6" i="4"/>
  <c r="Z6" i="4"/>
  <c r="Z10" i="4"/>
  <c r="W8" i="4"/>
  <c r="AB11" i="4"/>
  <c r="AB7" i="4"/>
  <c r="AJ8" i="4"/>
  <c r="AB6" i="4"/>
  <c r="R16" i="4"/>
  <c r="R31" i="4"/>
  <c r="R14" i="4"/>
  <c r="AJ9" i="4"/>
  <c r="AB9" i="4"/>
  <c r="AJ11" i="4"/>
  <c r="W13" i="4"/>
  <c r="K8" i="4"/>
  <c r="AB15" i="4"/>
  <c r="AB16" i="4"/>
  <c r="W14" i="4"/>
  <c r="R15" i="4"/>
  <c r="AJ16" i="4"/>
  <c r="R11" i="4"/>
  <c r="K14" i="4"/>
  <c r="AB13" i="4"/>
  <c r="R38" i="4"/>
  <c r="R30" i="4"/>
  <c r="T33" i="4" l="1"/>
  <c r="T7" i="4"/>
  <c r="M21" i="4" a="1"/>
  <c r="N22" i="4" s="1"/>
  <c r="U10" i="4"/>
  <c r="U28" i="4"/>
  <c r="T6" i="4"/>
  <c r="U7" i="4"/>
  <c r="U14" i="4"/>
  <c r="U33" i="4"/>
  <c r="T14" i="4"/>
  <c r="U34" i="4"/>
  <c r="T28" i="4"/>
  <c r="T34" i="4"/>
  <c r="T10" i="4"/>
  <c r="U35" i="4"/>
  <c r="T35" i="4"/>
  <c r="U8" i="4"/>
  <c r="T30" i="4"/>
  <c r="U38" i="4"/>
  <c r="P21" i="4"/>
  <c r="V18" i="4"/>
  <c r="T38" i="4"/>
  <c r="T8" i="4"/>
  <c r="V19" i="4"/>
  <c r="U37" i="4"/>
  <c r="T37" i="4"/>
  <c r="T31" i="4"/>
  <c r="AI18" i="4"/>
  <c r="AE22" i="4" s="1"/>
  <c r="T15" i="4"/>
  <c r="U9" i="4"/>
  <c r="T29" i="4"/>
  <c r="T16" i="4"/>
  <c r="AA18" i="4"/>
  <c r="AE24" i="4" s="1"/>
  <c r="Z18" i="4"/>
  <c r="AF22" i="4" s="1"/>
  <c r="T9" i="4"/>
  <c r="T32" i="4"/>
  <c r="T12" i="4"/>
  <c r="T13" i="4"/>
  <c r="AJ18" i="4"/>
  <c r="AF23" i="4" s="1"/>
  <c r="T36" i="4"/>
  <c r="W19" i="4"/>
  <c r="AB18" i="4"/>
  <c r="T11" i="4"/>
  <c r="W18" i="4"/>
  <c r="V22" i="4"/>
  <c r="M21" i="4"/>
  <c r="Q21" i="4"/>
  <c r="U21" i="4"/>
  <c r="M22" i="4"/>
  <c r="P22" i="4"/>
  <c r="N21" i="4"/>
  <c r="S21" i="4"/>
  <c r="T21" i="4"/>
  <c r="O21" i="4"/>
  <c r="X22" i="4"/>
  <c r="W21" i="4" l="1"/>
  <c r="V21" i="4"/>
  <c r="R22" i="4"/>
  <c r="AF24" i="4"/>
  <c r="AG23" i="4"/>
  <c r="T22" i="4"/>
  <c r="U22" i="4"/>
  <c r="Q22" i="4"/>
  <c r="W22" i="4"/>
  <c r="X21" i="4"/>
  <c r="O22" i="4"/>
  <c r="AG22" i="4"/>
  <c r="S22" i="4"/>
  <c r="R21" i="4"/>
  <c r="V20" i="4"/>
  <c r="V2" i="4"/>
  <c r="W20" i="4"/>
  <c r="W2" i="4"/>
  <c r="AE23" i="4"/>
  <c r="T4" i="4"/>
  <c r="T18" i="4" s="1"/>
  <c r="Z21" i="4" s="1"/>
  <c r="N24" i="4" l="1" a="1"/>
  <c r="W24" i="4" s="1"/>
  <c r="N25" i="4" a="1"/>
  <c r="N25" i="4" s="1"/>
  <c r="V24" i="4" l="1"/>
  <c r="R24" i="4"/>
  <c r="Q24" i="4"/>
  <c r="P24" i="4"/>
  <c r="X24" i="4"/>
  <c r="T24" i="4"/>
  <c r="U25" i="4"/>
  <c r="U24" i="4"/>
  <c r="O25" i="4"/>
  <c r="T25" i="4"/>
  <c r="S24" i="4"/>
  <c r="O24" i="4"/>
  <c r="N24" i="4"/>
  <c r="R25" i="4"/>
  <c r="X25" i="4"/>
  <c r="V25" i="4"/>
  <c r="P25" i="4"/>
  <c r="S25" i="4"/>
  <c r="W25" i="4"/>
  <c r="Q25" i="4"/>
</calcChain>
</file>

<file path=xl/sharedStrings.xml><?xml version="1.0" encoding="utf-8"?>
<sst xmlns="http://schemas.openxmlformats.org/spreadsheetml/2006/main" count="44" uniqueCount="32">
  <si>
    <t>y</t>
  </si>
  <si>
    <t>x</t>
  </si>
  <si>
    <t>Input E</t>
  </si>
  <si>
    <t>Covariance matrix!</t>
  </si>
  <si>
    <t>MMULT</t>
  </si>
  <si>
    <t>T</t>
  </si>
  <si>
    <t>-</t>
  </si>
  <si>
    <t>Variance P</t>
  </si>
  <si>
    <t>Input D</t>
  </si>
  <si>
    <t>Input C</t>
  </si>
  <si>
    <t>Variance S</t>
  </si>
  <si>
    <t>aux</t>
  </si>
  <si>
    <t>Mean</t>
  </si>
  <si>
    <t>VAR</t>
  </si>
  <si>
    <t>COV</t>
  </si>
  <si>
    <t>z</t>
  </si>
  <si>
    <t>Input B</t>
  </si>
  <si>
    <t>Input A</t>
  </si>
  <si>
    <t>zz</t>
  </si>
  <si>
    <t>yy</t>
  </si>
  <si>
    <t>xx</t>
  </si>
  <si>
    <t>yz</t>
  </si>
  <si>
    <t>xz</t>
  </si>
  <si>
    <t>xy</t>
  </si>
  <si>
    <t>OUT</t>
  </si>
  <si>
    <t>IN</t>
  </si>
  <si>
    <r>
      <t>X</t>
    </r>
    <r>
      <rPr>
        <b/>
        <vertAlign val="superscript"/>
        <sz val="20"/>
        <color rgb="FFFF0000"/>
        <rFont val="Calibri"/>
        <family val="2"/>
        <scheme val="minor"/>
      </rPr>
      <t>T</t>
    </r>
    <r>
      <rPr>
        <b/>
        <sz val="20"/>
        <color rgb="FFFF0000"/>
        <rFont val="Calibri"/>
        <family val="2"/>
        <scheme val="minor"/>
      </rPr>
      <t>X</t>
    </r>
  </si>
  <si>
    <r>
      <t>X</t>
    </r>
    <r>
      <rPr>
        <b/>
        <vertAlign val="superscript"/>
        <sz val="20"/>
        <color rgb="FFFF0000"/>
        <rFont val="Calibri"/>
        <family val="2"/>
        <scheme val="minor"/>
      </rPr>
      <t>T</t>
    </r>
    <r>
      <rPr>
        <b/>
        <sz val="20"/>
        <color rgb="FFFF0000"/>
        <rFont val="Calibri"/>
        <family val="2"/>
        <scheme val="minor"/>
      </rPr>
      <t>Y</t>
    </r>
  </si>
  <si>
    <t>X</t>
  </si>
  <si>
    <t xml:space="preserve">std = </t>
  </si>
  <si>
    <t>Correlation coefficient:</t>
  </si>
  <si>
    <t>len()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</si>
</sst>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-;\-* #,##0.00_-;_-* &quot;-&quot;??_-;_-@_-"/>
    <numFmt numFmtId="166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name val="Arial"/>
      <family val="2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vertAlign val="superscript"/>
      <sz val="20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8" fillId="0" borderId="0" applyFont="0" applyFill="0" applyBorder="0" applyAlignment="0" applyProtection="0"/>
  </cellStyleXfs>
  <cellXfs count="135">
    <xf numFmtId="0" fontId="0" fillId="0" borderId="0" xfId="0"/>
    <xf numFmtId="2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" fontId="14" fillId="3" borderId="6" xfId="0" applyNumberFormat="1" applyFont="1" applyFill="1" applyBorder="1" applyAlignment="1">
      <alignment horizontal="center" vertical="center"/>
    </xf>
    <xf numFmtId="1" fontId="14" fillId="3" borderId="4" xfId="0" applyNumberFormat="1" applyFont="1" applyFill="1" applyBorder="1" applyAlignment="1">
      <alignment horizontal="center" vertical="center"/>
    </xf>
    <xf numFmtId="1" fontId="14" fillId="3" borderId="5" xfId="0" applyNumberFormat="1" applyFont="1" applyFill="1" applyBorder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14" fillId="3" borderId="8" xfId="0" applyNumberFormat="1" applyFont="1" applyFill="1" applyBorder="1" applyAlignment="1">
      <alignment horizontal="center" vertical="center"/>
    </xf>
    <xf numFmtId="1" fontId="14" fillId="3" borderId="9" xfId="0" applyNumberFormat="1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9" fillId="11" borderId="0" xfId="0" applyNumberFormat="1" applyFont="1" applyFill="1" applyAlignment="1">
      <alignment horizontal="left" vertical="center"/>
    </xf>
    <xf numFmtId="164" fontId="0" fillId="5" borderId="6" xfId="0" applyNumberFormat="1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" fontId="14" fillId="3" borderId="11" xfId="0" applyNumberFormat="1" applyFont="1" applyFill="1" applyBorder="1" applyAlignment="1">
      <alignment horizontal="center" vertical="center"/>
    </xf>
    <xf numFmtId="1" fontId="14" fillId="3" borderId="12" xfId="0" applyNumberFormat="1" applyFont="1" applyFill="1" applyBorder="1" applyAlignment="1">
      <alignment horizontal="center" vertical="center"/>
    </xf>
    <xf numFmtId="1" fontId="14" fillId="3" borderId="13" xfId="0" applyNumberFormat="1" applyFon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" fontId="1" fillId="12" borderId="0" xfId="0" applyNumberFormat="1" applyFont="1" applyFill="1" applyAlignment="1">
      <alignment horizontal="right" vertical="center"/>
    </xf>
    <xf numFmtId="1" fontId="0" fillId="12" borderId="0" xfId="0" applyNumberFormat="1" applyFill="1" applyAlignment="1">
      <alignment horizontal="center" vertical="center"/>
    </xf>
    <xf numFmtId="164" fontId="16" fillId="2" borderId="14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164" fontId="17" fillId="6" borderId="15" xfId="0" applyNumberFormat="1" applyFont="1" applyFill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right" vertical="center"/>
    </xf>
    <xf numFmtId="1" fontId="0" fillId="3" borderId="8" xfId="0" applyNumberFormat="1" applyFill="1" applyBorder="1" applyAlignment="1">
      <alignment horizontal="center" vertical="center"/>
    </xf>
    <xf numFmtId="164" fontId="16" fillId="10" borderId="8" xfId="0" applyNumberFormat="1" applyFont="1" applyFill="1" applyBorder="1" applyAlignment="1">
      <alignment horizontal="center" vertical="center"/>
    </xf>
    <xf numFmtId="164" fontId="17" fillId="6" borderId="9" xfId="0" applyNumberFormat="1" applyFont="1" applyFill="1" applyBorder="1" applyAlignment="1">
      <alignment horizontal="center" vertical="center"/>
    </xf>
    <xf numFmtId="1" fontId="1" fillId="12" borderId="0" xfId="0" applyNumberFormat="1" applyFont="1" applyFill="1" applyAlignment="1">
      <alignment horizontal="center" vertical="center"/>
    </xf>
    <xf numFmtId="164" fontId="16" fillId="10" borderId="11" xfId="0" applyNumberFormat="1" applyFont="1" applyFill="1" applyBorder="1" applyAlignment="1">
      <alignment horizontal="center" vertical="center"/>
    </xf>
    <xf numFmtId="164" fontId="16" fillId="10" borderId="12" xfId="0" applyNumberFormat="1" applyFont="1" applyFill="1" applyBorder="1" applyAlignment="1">
      <alignment horizontal="center" vertical="center"/>
    </xf>
    <xf numFmtId="166" fontId="0" fillId="9" borderId="0" xfId="0" applyNumberFormat="1" applyFill="1" applyAlignment="1">
      <alignment horizontal="center" vertical="center"/>
    </xf>
    <xf numFmtId="1" fontId="0" fillId="1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164" fontId="18" fillId="3" borderId="0" xfId="0" applyNumberFormat="1" applyFont="1" applyFill="1" applyAlignment="1">
      <alignment horizontal="center" vertical="center"/>
    </xf>
    <xf numFmtId="1" fontId="18" fillId="3" borderId="0" xfId="0" applyNumberFormat="1" applyFont="1" applyFill="1" applyAlignment="1">
      <alignment horizontal="center" vertical="center"/>
    </xf>
    <xf numFmtId="1" fontId="18" fillId="3" borderId="0" xfId="0" applyNumberFormat="1" applyFont="1" applyFill="1" applyAlignment="1">
      <alignment horizontal="right" vertical="center"/>
    </xf>
    <xf numFmtId="2" fontId="16" fillId="8" borderId="3" xfId="0" applyNumberFormat="1" applyFont="1" applyFill="1" applyBorder="1" applyAlignment="1">
      <alignment horizontal="center" vertical="center"/>
    </xf>
    <xf numFmtId="2" fontId="16" fillId="10" borderId="3" xfId="0" applyNumberFormat="1" applyFont="1" applyFill="1" applyBorder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1" fontId="0" fillId="13" borderId="0" xfId="0" applyNumberFormat="1" applyFill="1" applyAlignment="1">
      <alignment horizontal="right" vertical="center"/>
    </xf>
    <xf numFmtId="164" fontId="0" fillId="12" borderId="0" xfId="0" applyNumberFormat="1" applyFill="1" applyAlignment="1">
      <alignment horizontal="center" vertical="center"/>
    </xf>
    <xf numFmtId="1" fontId="0" fillId="12" borderId="0" xfId="0" applyNumberFormat="1" applyFill="1" applyAlignment="1">
      <alignment horizontal="right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10" borderId="5" xfId="0" applyNumberFormat="1" applyFill="1" applyBorder="1" applyAlignment="1">
      <alignment horizontal="center" vertical="center"/>
    </xf>
    <xf numFmtId="1" fontId="0" fillId="15" borderId="6" xfId="0" applyNumberFormat="1" applyFill="1" applyBorder="1" applyAlignment="1">
      <alignment horizontal="center" vertical="center"/>
    </xf>
    <xf numFmtId="1" fontId="0" fillId="10" borderId="1" xfId="0" applyNumberFormat="1" applyFill="1" applyBorder="1" applyAlignment="1">
      <alignment horizontal="center" vertical="center"/>
    </xf>
    <xf numFmtId="1" fontId="0" fillId="15" borderId="4" xfId="0" applyNumberFormat="1" applyFill="1" applyBorder="1" applyAlignment="1">
      <alignment horizontal="center" vertical="center"/>
    </xf>
    <xf numFmtId="1" fontId="0" fillId="14" borderId="4" xfId="0" applyNumberFormat="1" applyFill="1" applyBorder="1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10" borderId="9" xfId="0" applyNumberFormat="1" applyFill="1" applyBorder="1" applyAlignment="1">
      <alignment horizontal="center" vertical="center"/>
    </xf>
    <xf numFmtId="1" fontId="0" fillId="15" borderId="8" xfId="0" applyNumberFormat="1" applyFill="1" applyBorder="1" applyAlignment="1">
      <alignment horizontal="center" vertical="center"/>
    </xf>
    <xf numFmtId="1" fontId="19" fillId="13" borderId="0" xfId="0" applyNumberFormat="1" applyFont="1" applyFill="1" applyAlignment="1">
      <alignment horizontal="center" vertical="center"/>
    </xf>
    <xf numFmtId="1" fontId="0" fillId="10" borderId="7" xfId="0" applyNumberFormat="1" applyFill="1" applyBorder="1" applyAlignment="1">
      <alignment horizontal="center" vertical="center"/>
    </xf>
    <xf numFmtId="1" fontId="0" fillId="15" borderId="0" xfId="0" applyNumberFormat="1" applyFill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" fontId="0" fillId="10" borderId="13" xfId="0" applyNumberFormat="1" applyFill="1" applyBorder="1" applyAlignment="1">
      <alignment horizontal="center" vertical="center"/>
    </xf>
    <xf numFmtId="1" fontId="0" fillId="15" borderId="11" xfId="0" applyNumberFormat="1" applyFill="1" applyBorder="1" applyAlignment="1">
      <alignment horizontal="center" vertical="center"/>
    </xf>
    <xf numFmtId="1" fontId="0" fillId="15" borderId="12" xfId="0" applyNumberFormat="1" applyFill="1" applyBorder="1" applyAlignment="1">
      <alignment horizontal="center" vertical="center"/>
    </xf>
    <xf numFmtId="1" fontId="0" fillId="14" borderId="12" xfId="0" applyNumberFormat="1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1" fontId="1" fillId="10" borderId="10" xfId="0" applyNumberFormat="1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1" fontId="9" fillId="7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164" fontId="19" fillId="13" borderId="11" xfId="0" applyNumberFormat="1" applyFont="1" applyFill="1" applyBorder="1" applyAlignment="1">
      <alignment horizontal="center" vertical="center"/>
    </xf>
    <xf numFmtId="164" fontId="19" fillId="13" borderId="8" xfId="0" applyNumberFormat="1" applyFont="1" applyFill="1" applyBorder="1" applyAlignment="1">
      <alignment horizontal="center" vertical="center"/>
    </xf>
    <xf numFmtId="164" fontId="19" fillId="13" borderId="6" xfId="0" applyNumberFormat="1" applyFont="1" applyFill="1" applyBorder="1" applyAlignment="1">
      <alignment horizontal="center" vertical="center"/>
    </xf>
    <xf numFmtId="1" fontId="11" fillId="4" borderId="13" xfId="0" applyNumberFormat="1" applyFont="1" applyFill="1" applyBorder="1" applyAlignment="1">
      <alignment horizontal="center" vertical="center"/>
    </xf>
    <xf numFmtId="1" fontId="11" fillId="4" borderId="9" xfId="0" applyNumberFormat="1" applyFont="1" applyFill="1" applyBorder="1" applyAlignment="1">
      <alignment horizontal="center" vertical="center"/>
    </xf>
    <xf numFmtId="1" fontId="11" fillId="4" borderId="5" xfId="0" applyNumberFormat="1" applyFont="1" applyFill="1" applyBorder="1" applyAlignment="1">
      <alignment horizontal="center" vertical="center"/>
    </xf>
    <xf numFmtId="1" fontId="20" fillId="3" borderId="0" xfId="0" applyNumberFormat="1" applyFont="1" applyFill="1" applyAlignment="1">
      <alignment horizontal="center" vertical="center"/>
    </xf>
    <xf numFmtId="1" fontId="12" fillId="13" borderId="0" xfId="0" applyNumberFormat="1" applyFont="1" applyFill="1" applyAlignment="1">
      <alignment horizontal="center" vertical="center"/>
    </xf>
    <xf numFmtId="164" fontId="12" fillId="13" borderId="12" xfId="0" applyNumberFormat="1" applyFont="1" applyFill="1" applyBorder="1" applyAlignment="1">
      <alignment horizontal="center" vertical="center"/>
    </xf>
    <xf numFmtId="164" fontId="12" fillId="13" borderId="0" xfId="0" applyNumberFormat="1" applyFont="1" applyFill="1" applyAlignment="1">
      <alignment horizontal="center" vertical="center"/>
    </xf>
    <xf numFmtId="164" fontId="12" fillId="13" borderId="4" xfId="0" applyNumberFormat="1" applyFont="1" applyFill="1" applyBorder="1" applyAlignment="1">
      <alignment horizontal="center" vertical="center"/>
    </xf>
    <xf numFmtId="1" fontId="7" fillId="14" borderId="0" xfId="0" applyNumberFormat="1" applyFont="1" applyFill="1" applyAlignment="1">
      <alignment horizontal="center" vertical="center"/>
    </xf>
    <xf numFmtId="1" fontId="2" fillId="12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66" fontId="15" fillId="9" borderId="0" xfId="0" applyNumberFormat="1" applyFont="1" applyFill="1" applyAlignment="1">
      <alignment horizontal="center" vertical="center"/>
    </xf>
    <xf numFmtId="1" fontId="7" fillId="13" borderId="0" xfId="0" applyNumberFormat="1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/>
    </xf>
    <xf numFmtId="1" fontId="20" fillId="9" borderId="0" xfId="0" applyNumberFormat="1" applyFont="1" applyFill="1" applyAlignment="1">
      <alignment horizontal="center" vertical="center"/>
    </xf>
    <xf numFmtId="1" fontId="1" fillId="9" borderId="0" xfId="0" applyNumberFormat="1" applyFont="1" applyFill="1" applyAlignment="1">
      <alignment horizontal="center" vertical="center"/>
    </xf>
    <xf numFmtId="1" fontId="5" fillId="9" borderId="0" xfId="0" applyNumberFormat="1" applyFont="1" applyFill="1" applyAlignment="1">
      <alignment horizontal="center" vertical="center"/>
    </xf>
    <xf numFmtId="1" fontId="7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1" fontId="3" fillId="12" borderId="3" xfId="0" applyNumberFormat="1" applyFont="1" applyFill="1" applyBorder="1" applyAlignment="1">
      <alignment horizontal="center" vertical="center"/>
    </xf>
    <xf numFmtId="1" fontId="13" fillId="10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166" fontId="22" fillId="9" borderId="0" xfId="0" applyNumberFormat="1" applyFont="1" applyFill="1" applyAlignment="1">
      <alignment horizontal="left" vertical="center"/>
    </xf>
    <xf numFmtId="1" fontId="0" fillId="9" borderId="5" xfId="0" applyNumberFormat="1" applyFill="1" applyBorder="1" applyAlignment="1">
      <alignment horizontal="center" vertical="center"/>
    </xf>
    <xf numFmtId="1" fontId="1" fillId="9" borderId="4" xfId="0" applyNumberFormat="1" applyFont="1" applyFill="1" applyBorder="1" applyAlignment="1">
      <alignment horizontal="center" vertical="center"/>
    </xf>
    <xf numFmtId="1" fontId="15" fillId="9" borderId="6" xfId="0" applyNumberFormat="1" applyFont="1" applyFill="1" applyBorder="1" applyAlignment="1">
      <alignment horizontal="right" vertical="center"/>
    </xf>
    <xf numFmtId="1" fontId="10" fillId="3" borderId="0" xfId="0" applyNumberFormat="1" applyFont="1" applyFill="1" applyAlignment="1">
      <alignment horizontal="center" vertical="center"/>
    </xf>
    <xf numFmtId="1" fontId="9" fillId="11" borderId="0" xfId="0" applyNumberFormat="1" applyFont="1" applyFill="1" applyAlignment="1">
      <alignment horizontal="right" vertical="center"/>
    </xf>
  </cellXfs>
  <cellStyles count="3">
    <cellStyle name="Comma 2" xfId="2" xr:uid="{89E405CF-40C0-4926-A9BC-465FEFB03745}"/>
    <cellStyle name="Normal" xfId="0" builtinId="0"/>
    <cellStyle name="Normal 2" xfId="1" xr:uid="{D1F82851-0BDC-4987-9E84-3A7E501318F8}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00FF"/>
      <color rgb="FFBDEEFF"/>
      <color rgb="FFCDCDFF"/>
      <color rgb="FF8BE1FF"/>
      <color rgb="FF89FF89"/>
      <color rgb="FFD1D1D1"/>
      <color rgb="FFF0F0F0"/>
      <color rgb="FF93E3FF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XY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4788960250338451"/>
          <c:y val="0.15464749200125422"/>
          <c:w val="0.76154602691284978"/>
          <c:h val="0.673707186542015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'C'!$M$6:$M$16</c:f>
              <c:numCache>
                <c:formatCode>0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8</c:v>
                </c:pt>
                <c:pt idx="9">
                  <c:v>3</c:v>
                </c:pt>
                <c:pt idx="10">
                  <c:v>2</c:v>
                </c:pt>
              </c:numCache>
            </c:numRef>
          </c:xVal>
          <c:yVal>
            <c:numRef>
              <c:f>'C'!$N$6:$N$16</c:f>
              <c:numCache>
                <c:formatCode>0</c:formatCode>
                <c:ptCount val="11"/>
                <c:pt idx="0">
                  <c:v>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65-40B4-97C6-3AD0C0578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12368"/>
        <c:axId val="506844784"/>
      </c:scatterChart>
      <c:valAx>
        <c:axId val="862212368"/>
        <c:scaling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6844784"/>
        <c:crosses val="autoZero"/>
        <c:crossBetween val="midCat"/>
        <c:majorUnit val="2"/>
      </c:valAx>
      <c:valAx>
        <c:axId val="506844784"/>
        <c:scaling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622123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'C'!$U$6:$U$16</c:f>
              <c:numCache>
                <c:formatCode>0.0</c:formatCode>
                <c:ptCount val="11"/>
                <c:pt idx="0">
                  <c:v>7.9421487603305794</c:v>
                </c:pt>
                <c:pt idx="1">
                  <c:v>1.3966942148760326</c:v>
                </c:pt>
                <c:pt idx="2">
                  <c:v>4.7603305785123959</c:v>
                </c:pt>
                <c:pt idx="3">
                  <c:v>1.3966942148760326</c:v>
                </c:pt>
                <c:pt idx="4">
                  <c:v>3.3057851239669427</c:v>
                </c:pt>
                <c:pt idx="5">
                  <c:v>4.7603305785123959</c:v>
                </c:pt>
                <c:pt idx="6">
                  <c:v>0.669421487603306</c:v>
                </c:pt>
                <c:pt idx="7">
                  <c:v>0.669421487603306</c:v>
                </c:pt>
                <c:pt idx="8">
                  <c:v>14.578512396694217</c:v>
                </c:pt>
                <c:pt idx="9">
                  <c:v>1.3966942148760326</c:v>
                </c:pt>
                <c:pt idx="10">
                  <c:v>4.7603305785123959</c:v>
                </c:pt>
              </c:numCache>
            </c:numRef>
          </c:xVal>
          <c:yVal>
            <c:numRef>
              <c:f>'C'!$J$28:$J$38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2C4-919D-82185043E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08080"/>
        <c:axId val="565093680"/>
      </c:scatterChart>
      <c:valAx>
        <c:axId val="56510808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565093680"/>
        <c:crosses val="autoZero"/>
        <c:crossBetween val="midCat"/>
      </c:valAx>
      <c:valAx>
        <c:axId val="5650936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510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pPr>
              <a:noFill/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>
                    <a:solidFill>
                      <a:srgbClr val="FF0000"/>
                    </a:solidFill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'C'!$Q$6:$Q$16</c:f>
              <c:numCache>
                <c:formatCode>0</c:formatCode>
                <c:ptCount val="11"/>
                <c:pt idx="0">
                  <c:v>2.8181818181818183</c:v>
                </c:pt>
                <c:pt idx="1">
                  <c:v>-1.1818181818181817</c:v>
                </c:pt>
                <c:pt idx="2">
                  <c:v>-2.1818181818181817</c:v>
                </c:pt>
                <c:pt idx="3">
                  <c:v>-1.1818181818181817</c:v>
                </c:pt>
                <c:pt idx="4">
                  <c:v>1.8181818181818183</c:v>
                </c:pt>
                <c:pt idx="5">
                  <c:v>-2.1818181818181817</c:v>
                </c:pt>
                <c:pt idx="6">
                  <c:v>0.81818181818181834</c:v>
                </c:pt>
                <c:pt idx="7">
                  <c:v>0.81818181818181834</c:v>
                </c:pt>
                <c:pt idx="8">
                  <c:v>3.8181818181818183</c:v>
                </c:pt>
                <c:pt idx="9">
                  <c:v>-1.1818181818181817</c:v>
                </c:pt>
                <c:pt idx="10">
                  <c:v>-2.1818181818181817</c:v>
                </c:pt>
              </c:numCache>
            </c:numRef>
          </c:xVal>
          <c:yVal>
            <c:numRef>
              <c:f>'C'!$J$28:$J$38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98-4E1A-8F46-032345E58658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rgbClr val="CDCDFF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'C'!$R$6:$R$16</c:f>
              <c:numCache>
                <c:formatCode>0</c:formatCode>
                <c:ptCount val="11"/>
                <c:pt idx="0">
                  <c:v>-0.45454545454545414</c:v>
                </c:pt>
                <c:pt idx="1">
                  <c:v>-3.4545454545454541</c:v>
                </c:pt>
                <c:pt idx="2">
                  <c:v>2.5454545454545459</c:v>
                </c:pt>
                <c:pt idx="3">
                  <c:v>1.5454545454545459</c:v>
                </c:pt>
                <c:pt idx="4">
                  <c:v>-1.4545454545454541</c:v>
                </c:pt>
                <c:pt idx="5">
                  <c:v>1.5454545454545459</c:v>
                </c:pt>
                <c:pt idx="6">
                  <c:v>0.54545454545454586</c:v>
                </c:pt>
                <c:pt idx="7">
                  <c:v>-0.45454545454545414</c:v>
                </c:pt>
                <c:pt idx="8">
                  <c:v>-1.4545454545454541</c:v>
                </c:pt>
                <c:pt idx="9">
                  <c:v>-0.45454545454545414</c:v>
                </c:pt>
                <c:pt idx="10">
                  <c:v>1.5454545454545459</c:v>
                </c:pt>
              </c:numCache>
            </c:numRef>
          </c:xVal>
          <c:yVal>
            <c:numRef>
              <c:f>'C'!$J$28:$J$38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98-4E1A-8F46-032345E5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08080"/>
        <c:axId val="565093680"/>
      </c:scatterChart>
      <c:valAx>
        <c:axId val="5651080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5093680"/>
        <c:crosses val="autoZero"/>
        <c:crossBetween val="midCat"/>
      </c:valAx>
      <c:valAx>
        <c:axId val="5650936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5108080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247651</xdr:colOff>
      <xdr:row>26</xdr:row>
      <xdr:rowOff>66674</xdr:rowOff>
    </xdr:from>
    <xdr:to>
      <xdr:col>28</xdr:col>
      <xdr:colOff>247650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23677</xdr:colOff>
      <xdr:row>25</xdr:row>
      <xdr:rowOff>104775</xdr:rowOff>
    </xdr:from>
    <xdr:to>
      <xdr:col>22</xdr:col>
      <xdr:colOff>95249</xdr:colOff>
      <xdr:row>45</xdr:row>
      <xdr:rowOff>169210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>
          <a:grpSpLocks noChangeAspect="1"/>
        </xdr:cNvGrpSpPr>
      </xdr:nvGrpSpPr>
      <xdr:grpSpPr>
        <a:xfrm>
          <a:off x="3233602" y="3924300"/>
          <a:ext cx="5586547" cy="3493435"/>
          <a:chOff x="3461635" y="3239059"/>
          <a:chExt cx="6172619" cy="4143375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>
            <a:grpSpLocks noChangeAspect="1"/>
          </xdr:cNvGrpSpPr>
        </xdr:nvGrpSpPr>
        <xdr:grpSpPr>
          <a:xfrm>
            <a:off x="3461635" y="3239059"/>
            <a:ext cx="6172619" cy="4143375"/>
            <a:chOff x="3486148" y="3314699"/>
            <a:chExt cx="6187677" cy="4250532"/>
          </a:xfrm>
        </xdr:grpSpPr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486148" y="3314699"/>
              <a:ext cx="6187677" cy="4250532"/>
              <a:chOff x="3479004" y="3295649"/>
              <a:chExt cx="6198393" cy="4219575"/>
            </a:xfrm>
          </xdr:grpSpPr>
          <xdr:pic>
            <xdr:nvPicPr>
              <xdr:cNvPr id="8" name="Picture 7">
                <a:extLst>
                  <a:ext uri="{FF2B5EF4-FFF2-40B4-BE49-F238E27FC236}">
                    <a16:creationId xmlns:a16="http://schemas.microsoft.com/office/drawing/2014/main" id="{00000000-0008-0000-0300-000008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r="83634" b="18909"/>
              <a:stretch>
                <a:fillRect/>
              </a:stretch>
            </xdr:blipFill>
            <xdr:spPr>
              <a:xfrm flipH="1">
                <a:off x="3479004" y="3295649"/>
                <a:ext cx="6198393" cy="4219575"/>
              </a:xfrm>
              <a:prstGeom prst="rect">
                <a:avLst/>
              </a:prstGeom>
            </xdr:spPr>
          </xdr:pic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00000000-0008-0000-0300-000009000000}"/>
                  </a:ext>
                </a:extLst>
              </xdr:cNvPr>
              <xdr:cNvGrpSpPr/>
            </xdr:nvGrpSpPr>
            <xdr:grpSpPr>
              <a:xfrm>
                <a:off x="3619499" y="4914908"/>
                <a:ext cx="5904573" cy="2537151"/>
                <a:chOff x="1790700" y="5931899"/>
                <a:chExt cx="4323953" cy="1757977"/>
              </a:xfrm>
            </xdr:grpSpPr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00000000-0008-0000-0300-00000D000000}"/>
                    </a:ext>
                  </a:extLst>
                </xdr:cNvPr>
                <xdr:cNvGrpSpPr/>
              </xdr:nvGrpSpPr>
              <xdr:grpSpPr>
                <a:xfrm>
                  <a:off x="1790700" y="5931899"/>
                  <a:ext cx="4323953" cy="1757977"/>
                  <a:chOff x="790575" y="1886000"/>
                  <a:chExt cx="6415033" cy="2608136"/>
                </a:xfrm>
              </xdr:grpSpPr>
              <xdr:pic>
                <xdr:nvPicPr>
                  <xdr:cNvPr id="16" name="Picture 15">
                    <a:extLst>
                      <a:ext uri="{FF2B5EF4-FFF2-40B4-BE49-F238E27FC236}">
                        <a16:creationId xmlns:a16="http://schemas.microsoft.com/office/drawing/2014/main" id="{00000000-0008-0000-0300-000010000000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3"/>
                  <a:srcRect b="59041"/>
                  <a:stretch>
                    <a:fillRect/>
                  </a:stretch>
                </xdr:blipFill>
                <xdr:spPr>
                  <a:xfrm>
                    <a:off x="1318346" y="1886000"/>
                    <a:ext cx="3590476" cy="748962"/>
                  </a:xfrm>
                  <a:prstGeom prst="rect">
                    <a:avLst/>
                  </a:prstGeom>
                </xdr:spPr>
              </xdr:pic>
              <xdr:pic>
                <xdr:nvPicPr>
                  <xdr:cNvPr id="17" name="Picture 16">
                    <a:extLst>
                      <a:ext uri="{FF2B5EF4-FFF2-40B4-BE49-F238E27FC236}">
                        <a16:creationId xmlns:a16="http://schemas.microsoft.com/office/drawing/2014/main" id="{00000000-0008-0000-0300-000011000000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4"/>
                  <a:srcRect b="11015"/>
                  <a:stretch>
                    <a:fillRect/>
                  </a:stretch>
                </xdr:blipFill>
                <xdr:spPr>
                  <a:xfrm>
                    <a:off x="790575" y="3370284"/>
                    <a:ext cx="6415033" cy="1123852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14" name="Picture 13">
                  <a:extLst>
                    <a:ext uri="{FF2B5EF4-FFF2-40B4-BE49-F238E27FC236}">
                      <a16:creationId xmlns:a16="http://schemas.microsoft.com/office/drawing/2014/main" id="{00000000-0008-0000-0300-00000E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/>
                <a:srcRect t="57961" b="11127"/>
                <a:stretch>
                  <a:fillRect/>
                </a:stretch>
              </xdr:blipFill>
              <xdr:spPr>
                <a:xfrm>
                  <a:off x="1790700" y="6496873"/>
                  <a:ext cx="2420104" cy="3810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5" name="TextBox 14">
                  <a:extLst>
                    <a:ext uri="{FF2B5EF4-FFF2-40B4-BE49-F238E27FC236}">
                      <a16:creationId xmlns:a16="http://schemas.microsoft.com/office/drawing/2014/main" id="{00000000-0008-0000-0300-00000F000000}"/>
                    </a:ext>
                  </a:extLst>
                </xdr:cNvPr>
                <xdr:cNvSpPr txBox="1"/>
              </xdr:nvSpPr>
              <xdr:spPr>
                <a:xfrm>
                  <a:off x="2017428" y="6815057"/>
                  <a:ext cx="1418961" cy="6073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600" b="1">
                      <a:solidFill>
                        <a:schemeClr val="bg1"/>
                      </a:solidFill>
                    </a:rPr>
                    <a:t>h ↔o</a:t>
                  </a:r>
                  <a:endParaRPr lang="LID4096" sz="1600" b="1">
                    <a:solidFill>
                      <a:schemeClr val="bg1"/>
                    </a:solidFill>
                  </a:endParaRPr>
                </a:p>
              </xdr:txBody>
            </xdr:sp>
          </xdr:grpSp>
          <xdr:pic>
            <xdr:nvPicPr>
              <xdr:cNvPr id="10" name="Picture 9">
                <a:extLst>
                  <a:ext uri="{FF2B5EF4-FFF2-40B4-BE49-F238E27FC236}">
                    <a16:creationId xmlns:a16="http://schemas.microsoft.com/office/drawing/2014/main" id="{00000000-0008-0000-0300-00000A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3619500" y="3340942"/>
                <a:ext cx="3990975" cy="1545160"/>
              </a:xfrm>
              <a:prstGeom prst="rect">
                <a:avLst/>
              </a:prstGeom>
            </xdr:spPr>
          </xdr:pic>
          <xdr:pic>
            <xdr:nvPicPr>
              <xdr:cNvPr id="11" name="Picture 10">
                <a:extLst>
                  <a:ext uri="{FF2B5EF4-FFF2-40B4-BE49-F238E27FC236}">
                    <a16:creationId xmlns:a16="http://schemas.microsoft.com/office/drawing/2014/main" id="{00000000-0008-0000-0300-00000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3562350" y="4857750"/>
                <a:ext cx="2761905" cy="800000"/>
              </a:xfrm>
              <a:prstGeom prst="rect">
                <a:avLst/>
              </a:prstGeom>
            </xdr:spPr>
          </xdr:pic>
          <xdr:pic>
            <xdr:nvPicPr>
              <xdr:cNvPr id="12" name="Picture 11">
                <a:extLst>
                  <a:ext uri="{FF2B5EF4-FFF2-40B4-BE49-F238E27FC236}">
                    <a16:creationId xmlns:a16="http://schemas.microsoft.com/office/drawing/2014/main" id="{00000000-0008-0000-0300-00000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9094728" y="4709003"/>
                <a:ext cx="523810" cy="704762"/>
              </a:xfrm>
              <a:prstGeom prst="rect">
                <a:avLst/>
              </a:prstGeom>
            </xdr:spPr>
          </xdr:pic>
        </xdr:grpSp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/>
            <a:srcRect l="23365" r="64784"/>
            <a:stretch>
              <a:fillRect/>
            </a:stretch>
          </xdr:blipFill>
          <xdr:spPr>
            <a:xfrm>
              <a:off x="8435049" y="4729412"/>
              <a:ext cx="326232" cy="805953"/>
            </a:xfrm>
            <a:prstGeom prst="rect">
              <a:avLst/>
            </a:prstGeom>
          </xdr:spPr>
        </xdr:pic>
      </xdr:grp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3333" b="13498"/>
          <a:stretch>
            <a:fillRect/>
          </a:stretch>
        </xdr:blipFill>
        <xdr:spPr>
          <a:xfrm>
            <a:off x="6790287" y="5311974"/>
            <a:ext cx="2744727" cy="954001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84622</xdr:colOff>
      <xdr:row>20</xdr:row>
      <xdr:rowOff>150720</xdr:rowOff>
    </xdr:from>
    <xdr:to>
      <xdr:col>38</xdr:col>
      <xdr:colOff>442372</xdr:colOff>
      <xdr:row>41</xdr:row>
      <xdr:rowOff>139525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12486172" y="2636745"/>
          <a:ext cx="4824975" cy="4065505"/>
          <a:chOff x="11153745" y="3378574"/>
          <a:chExt cx="4921276" cy="3666510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GrpSpPr/>
        </xdr:nvGrpSpPr>
        <xdr:grpSpPr>
          <a:xfrm>
            <a:off x="11153745" y="3378574"/>
            <a:ext cx="4921276" cy="2919815"/>
            <a:chOff x="11153745" y="3378574"/>
            <a:chExt cx="4921276" cy="2919815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00000000-0008-0000-0300-000016000000}"/>
                    </a:ext>
                  </a:extLst>
                </xdr:cNvPr>
                <xdr:cNvSpPr txBox="1"/>
              </xdr:nvSpPr>
              <xdr:spPr>
                <a:xfrm>
                  <a:off x="11153745" y="4679095"/>
                  <a:ext cx="4921276" cy="36830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Cd</m:t>
                        </m:r>
                        <m:r>
                          <a:rPr lang="pt-BR" sz="25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=1/(</m:t>
                        </m:r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  </m:t>
                        </m:r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ε</m:t>
                        </m:r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2500" b="0" i="0"/>
                </a:p>
              </xdr:txBody>
            </xdr:sp>
          </mc:Choice>
          <mc:Fallback xmlns="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00000000-0008-0000-0300-000016000000}"/>
                    </a:ext>
                  </a:extLst>
                </xdr:cNvPr>
                <xdr:cNvSpPr txBox="1"/>
              </xdr:nvSpPr>
              <xdr:spPr>
                <a:xfrm>
                  <a:off x="11153745" y="4679095"/>
                  <a:ext cx="4921276" cy="36830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pt-BR" sz="25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Cd=</a:t>
                  </a:r>
                  <a:r>
                    <a:rPr lang="pt-BR" sz="25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1/(</a:t>
                  </a:r>
                  <a:r>
                    <a:rPr lang="pt-BR" sz="25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n−1)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  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ε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(d_i−d ̅)(d_i−d ̅)</a:t>
                  </a:r>
                  <a:endParaRPr lang="LID4096" sz="2500" b="0" i="0"/>
                </a:p>
              </xdr:txBody>
            </xdr:sp>
          </mc:Fallback>
        </mc:AlternateContent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300-000017000000}"/>
                </a:ext>
              </a:extLst>
            </xdr:cNvPr>
            <xdr:cNvGrpSpPr/>
          </xdr:nvGrpSpPr>
          <xdr:grpSpPr>
            <a:xfrm>
              <a:off x="14204576" y="3378574"/>
              <a:ext cx="1643903" cy="1031613"/>
              <a:chOff x="14135100" y="3352800"/>
              <a:chExt cx="1657350" cy="1043940"/>
            </a:xfrm>
          </xdr:grpSpPr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GrpSpPr/>
            </xdr:nvGrpSpPr>
            <xdr:grpSpPr>
              <a:xfrm>
                <a:off x="14220825" y="3419475"/>
                <a:ext cx="1512597" cy="935601"/>
                <a:chOff x="14220825" y="3419475"/>
                <a:chExt cx="1512597" cy="935601"/>
              </a:xfrm>
            </xdr:grpSpPr>
            <xdr:grpSp>
              <xdr:nvGrpSpPr>
                <xdr:cNvPr id="29" name="Group 28">
                  <a:extLst>
                    <a:ext uri="{FF2B5EF4-FFF2-40B4-BE49-F238E27FC236}">
                      <a16:creationId xmlns:a16="http://schemas.microsoft.com/office/drawing/2014/main" id="{00000000-0008-0000-0300-00001D000000}"/>
                    </a:ext>
                  </a:extLst>
                </xdr:cNvPr>
                <xdr:cNvGrpSpPr/>
              </xdr:nvGrpSpPr>
              <xdr:grpSpPr>
                <a:xfrm>
                  <a:off x="14220825" y="3419475"/>
                  <a:ext cx="726350" cy="935373"/>
                  <a:chOff x="12344400" y="6324600"/>
                  <a:chExt cx="726350" cy="935373"/>
                </a:xfrm>
              </xdr:grpSpPr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2" name="TextBox 31">
                        <a:extLst>
                          <a:ext uri="{FF2B5EF4-FFF2-40B4-BE49-F238E27FC236}">
                            <a16:creationId xmlns:a16="http://schemas.microsoft.com/office/drawing/2014/main" id="{00000000-0008-0000-0300-000020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44400" y="6772275"/>
                        <a:ext cx="680058" cy="48769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sSup>
                                <m:sSupPr>
                                  <m:ctrlPr>
                                    <a:rPr lang="pt-BR" sz="3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x</m:t>
                                  </m:r>
                                </m:e>
                                <m:sup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T</m:t>
                                  </m:r>
                                </m:sup>
                              </m:s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oMath>
                          </m:oMathPara>
                        </a14:m>
                        <a:endParaRPr lang="LID4096" sz="3000" i="0"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2" name="TextBox 31">
                        <a:extLst>
                          <a:ext uri="{FF2B5EF4-FFF2-40B4-BE49-F238E27FC236}">
                            <a16:creationId xmlns:a16="http://schemas.microsoft.com/office/drawing/2014/main" id="{3C0D11C0-EF8B-71A6-BB04-161D181675F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44400" y="6772275"/>
                        <a:ext cx="680058" cy="48769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:r>
                          <a:rPr lang="pt-BR" sz="3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a:t>x^T y</a:t>
                        </a:r>
                        <a:endParaRPr lang="LID4096" sz="3000" i="0"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3" name="TextBox 32">
                        <a:extLst>
                          <a:ext uri="{FF2B5EF4-FFF2-40B4-BE49-F238E27FC236}">
                            <a16:creationId xmlns:a16="http://schemas.microsoft.com/office/drawing/2014/main" id="{00000000-0008-0000-0300-000021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72975" y="6324600"/>
                        <a:ext cx="697775" cy="475487"/>
                      </a:xfrm>
                      <a:prstGeom prst="rect">
                        <a:avLst/>
                      </a:prstGeom>
                      <a:solidFill>
                        <a:schemeClr val="bg1">
                          <a:lumMod val="85000"/>
                        </a:schemeClr>
                      </a:solidFill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sSup>
                                <m:sSupPr>
                                  <m:ctrlPr>
                                    <a:rPr lang="pt-BR" sz="30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x</m:t>
                                  </m:r>
                                </m:e>
                                <m:sup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T</m:t>
                                  </m:r>
                                </m:sup>
                              </m:s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oMath>
                          </m:oMathPara>
                        </a14:m>
                        <a:endParaRPr lang="LID4096" sz="3000" i="0">
                          <a:solidFill>
                            <a:srgbClr val="FF0000"/>
                          </a:solidFill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3" name="TextBox 32">
                        <a:extLst>
                          <a:ext uri="{FF2B5EF4-FFF2-40B4-BE49-F238E27FC236}">
                            <a16:creationId xmlns:a16="http://schemas.microsoft.com/office/drawing/2014/main" id="{78AD7F6E-657C-D7C1-9D6B-FFF3EAC2482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72975" y="6324600"/>
                        <a:ext cx="697775" cy="475487"/>
                      </a:xfrm>
                      <a:prstGeom prst="rect">
                        <a:avLst/>
                      </a:prstGeom>
                      <a:solidFill>
                        <a:schemeClr val="bg1">
                          <a:lumMod val="85000"/>
                        </a:schemeClr>
                      </a:solidFill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:r>
                          <a:rPr lang="pt-BR" sz="30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a:t>x^T x</a:t>
                        </a:r>
                        <a:endParaRPr lang="LID4096" sz="3000" i="0">
                          <a:solidFill>
                            <a:srgbClr val="FF0000"/>
                          </a:solidFill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Fallback>
              </mc:AlternateContent>
            </xdr:grpSp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0" name="TextBox 29">
                      <a:extLst>
                        <a:ext uri="{FF2B5EF4-FFF2-40B4-BE49-F238E27FC236}">
                          <a16:creationId xmlns:a16="http://schemas.microsoft.com/office/drawing/2014/main" id="{00000000-0008-0000-0300-00001E000000}"/>
                        </a:ext>
                      </a:extLst>
                    </xdr:cNvPr>
                    <xdr:cNvSpPr txBox="1"/>
                  </xdr:nvSpPr>
                  <xdr:spPr>
                    <a:xfrm>
                      <a:off x="14954250" y="3876675"/>
                      <a:ext cx="726096" cy="478401"/>
                    </a:xfrm>
                    <a:prstGeom prst="rec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pt-BR" sz="3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x</m:t>
                                </m:r>
                              </m:e>
                              <m:sup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T</m:t>
                                </m:r>
                              </m:sup>
                            </m:s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x</m:t>
                            </m:r>
                          </m:oMath>
                        </m:oMathPara>
                      </a14:m>
                      <a:endParaRPr lang="LID4096" sz="3000" i="0">
                        <a:solidFill>
                          <a:srgbClr val="FF0000"/>
                        </a:solidFill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0" name="TextBox 29">
                      <a:extLst>
                        <a:ext uri="{FF2B5EF4-FFF2-40B4-BE49-F238E27FC236}">
                          <a16:creationId xmlns:a16="http://schemas.microsoft.com/office/drawing/2014/main" id="{D038FC64-4372-69D5-BEB2-6F2118482F37}"/>
                        </a:ext>
                      </a:extLst>
                    </xdr:cNvPr>
                    <xdr:cNvSpPr txBox="1"/>
                  </xdr:nvSpPr>
                  <xdr:spPr>
                    <a:xfrm>
                      <a:off x="14954250" y="3876675"/>
                      <a:ext cx="726096" cy="478401"/>
                    </a:xfrm>
                    <a:prstGeom prst="rec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pt-BR" sz="30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x^T x</a:t>
                      </a:r>
                      <a:endParaRPr lang="LID4096" sz="3000" i="0">
                        <a:solidFill>
                          <a:srgbClr val="FF0000"/>
                        </a:solidFill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1" name="TextBox 30">
                      <a:extLst>
                        <a:ext uri="{FF2B5EF4-FFF2-40B4-BE49-F238E27FC236}">
                          <a16:creationId xmlns:a16="http://schemas.microsoft.com/office/drawing/2014/main" id="{00000000-0008-0000-0300-00001F000000}"/>
                        </a:ext>
                      </a:extLst>
                    </xdr:cNvPr>
                    <xdr:cNvSpPr txBox="1"/>
                  </xdr:nvSpPr>
                  <xdr:spPr>
                    <a:xfrm>
                      <a:off x="15001875" y="3429000"/>
                      <a:ext cx="731547" cy="478401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pt-BR" sz="3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x</m:t>
                                </m:r>
                              </m:e>
                              <m:sup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T</m:t>
                                </m:r>
                              </m:sup>
                            </m:s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y</m:t>
                            </m:r>
                          </m:oMath>
                        </m:oMathPara>
                      </a14:m>
                      <a:endParaRPr lang="LID4096" sz="3000" i="0"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1" name="TextBox 30">
                      <a:extLst>
                        <a:ext uri="{FF2B5EF4-FFF2-40B4-BE49-F238E27FC236}">
                          <a16:creationId xmlns:a16="http://schemas.microsoft.com/office/drawing/2014/main" id="{70C5B397-CF4D-B162-E473-800370970769}"/>
                        </a:ext>
                      </a:extLst>
                    </xdr:cNvPr>
                    <xdr:cNvSpPr txBox="1"/>
                  </xdr:nvSpPr>
                  <xdr:spPr>
                    <a:xfrm>
                      <a:off x="15001875" y="3429000"/>
                      <a:ext cx="731547" cy="478401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pt-BR" sz="3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x^T y</a:t>
                      </a:r>
                      <a:endParaRPr lang="LID4096" sz="3000" i="0"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Fallback>
            </mc:AlternateContent>
          </xdr:grpSp>
          <xdr:cxnSp macro="">
            <xdr:nvCxnSpPr>
              <xdr:cNvPr id="27" name="Straight Connector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CxnSpPr/>
            </xdr:nvCxnSpPr>
            <xdr:spPr>
              <a:xfrm>
                <a:off x="14135100" y="3352800"/>
                <a:ext cx="0" cy="100584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CxnSpPr/>
            </xdr:nvCxnSpPr>
            <xdr:spPr>
              <a:xfrm>
                <a:off x="15792450" y="3390900"/>
                <a:ext cx="0" cy="100584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00000000-0008-0000-0300-000018000000}"/>
                    </a:ext>
                  </a:extLst>
                </xdr:cNvPr>
                <xdr:cNvSpPr txBox="1"/>
              </xdr:nvSpPr>
              <xdr:spPr>
                <a:xfrm>
                  <a:off x="11170582" y="5239109"/>
                  <a:ext cx="1910043" cy="105928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Cov</m:t>
                        </m:r>
                        <m:d>
                          <m:dPr>
                            <m:begChr m:val="{"/>
                            <m:endChr m:val="}"/>
                            <m:ctrlPr>
                              <a:rPr lang="pt-BR" sz="25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x</m:t>
                            </m:r>
                            <m:r>
                              <a:rPr lang="pt-BR" sz="25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y</m:t>
                            </m:r>
                          </m:e>
                        </m:d>
                      </m:oMath>
                    </m:oMathPara>
                  </a14:m>
                  <a:endParaRPr lang="pt-BR" sz="25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25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  <m:r>
                          <a:rPr lang="pt-BR" sz="25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D</m:t>
                        </m:r>
                        <m:sSup>
                          <m:sSupPr>
                            <m:ctrlPr>
                              <a:rPr lang="pt-BR" sz="25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25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pt-BR" sz="25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sSup>
                          <m:sSupPr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m:rPr>
                                <m:sty m:val="p"/>
                              </m:rPr>
                              <a:rPr lang="el-G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Σ</m:t>
                            </m:r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LID4096" sz="25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00000000-0008-0000-0300-000018000000}"/>
                    </a:ext>
                  </a:extLst>
                </xdr:cNvPr>
                <xdr:cNvSpPr txBox="1"/>
              </xdr:nvSpPr>
              <xdr:spPr>
                <a:xfrm>
                  <a:off x="11170582" y="5239109"/>
                  <a:ext cx="1910043" cy="105928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:r>
                    <a:rPr lang="pt-BR" sz="25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Cov{x,y}</a:t>
                  </a:r>
                  <a:endParaRPr lang="pt-BR" sz="25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 </a:t>
                  </a:r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∆D〖</a:t>
                  </a:r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∆D</a:t>
                  </a:r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〗^T</a:t>
                  </a:r>
                  <a:endParaRPr lang="pt-BR" sz="25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=〖U</a:t>
                  </a:r>
                  <a:r>
                    <a:rPr lang="el-G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Σ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V〗^T</a:t>
                  </a:r>
                  <a:endParaRPr lang="LID4096" sz="25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00000000-0008-0000-0300-000019000000}"/>
                    </a:ext>
                  </a:extLst>
                </xdr:cNvPr>
                <xdr:cNvSpPr txBox="1"/>
              </xdr:nvSpPr>
              <xdr:spPr>
                <a:xfrm>
                  <a:off x="12505765" y="5531783"/>
                  <a:ext cx="3361764" cy="72026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right"/>
                      </m:oMathParaPr>
                      <m:oMath xmlns:m="http://schemas.openxmlformats.org/officeDocument/2006/math"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𝐃</m:t>
                        </m:r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f>
                          <m:fPr>
                            <m:ctrlPr>
                              <a:rPr lang="pt-BR" sz="25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den>
                        </m:f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25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  <m:sub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sub>
                        </m:sSub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25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</m:acc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25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5E813D45-8D73-A3C9-FC9C-7E2C3AC467FE}"/>
                    </a:ext>
                  </a:extLst>
                </xdr:cNvPr>
                <xdr:cNvSpPr txBox="1"/>
              </xdr:nvSpPr>
              <xdr:spPr>
                <a:xfrm>
                  <a:off x="12505765" y="5531783"/>
                  <a:ext cx="3361764" cy="72026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∆𝐃=𝟏/(</a:t>
                  </a:r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𝐧−𝟏</a:t>
                  </a:r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)</a:t>
                  </a:r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(𝐝_𝐧−𝐝 ̅)</a:t>
                  </a:r>
                  <a:endParaRPr lang="LID4096" sz="25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00000000-0008-0000-0300-000015000000}"/>
                  </a:ext>
                </a:extLst>
              </xdr:cNvPr>
              <xdr:cNvSpPr txBox="1"/>
            </xdr:nvSpPr>
            <xdr:spPr>
              <a:xfrm>
                <a:off x="11234258" y="6555056"/>
                <a:ext cx="1841464" cy="49002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𝑪</m:t>
                          </m:r>
                        </m:e>
                        <m:sub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𝒅</m:t>
                          </m:r>
                        </m:sub>
                        <m:sup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𝟏</m:t>
                          </m:r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/</m:t>
                          </m:r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𝟐</m:t>
                          </m:r>
                        </m:sup>
                      </m:sSubSup>
                      <m:r>
                        <a:rPr lang="pt-BR" sz="2800" b="1" i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 </m:t>
                      </m:r>
                      <m:r>
                        <a:rPr lang="pt-BR" sz="2800" b="1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𝐔</m:t>
                      </m:r>
                      <m:r>
                        <a:rPr lang="el-GR" sz="2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𝜮</m:t>
                      </m:r>
                    </m:oMath>
                  </m:oMathPara>
                </a14:m>
                <a:endParaRPr lang="LID4096" sz="2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Choice>
        <mc:Fallback xmlns=""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00000000-0008-0000-0300-000015000000}"/>
                  </a:ext>
                </a:extLst>
              </xdr:cNvPr>
              <xdr:cNvSpPr txBox="1"/>
            </xdr:nvSpPr>
            <xdr:spPr>
              <a:xfrm>
                <a:off x="11234258" y="6555056"/>
                <a:ext cx="1841464" cy="49002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pt-BR" sz="28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𝑪_𝒅^(𝟏/𝟐)</a:t>
                </a:r>
                <a:r>
                  <a:rPr lang="pt-BR" sz="2800" b="1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= </a:t>
                </a:r>
                <a:r>
                  <a:rPr lang="pt-BR" sz="2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𝐔</a:t>
                </a:r>
                <a:r>
                  <a:rPr lang="el-GR" sz="2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𝜮</a:t>
                </a:r>
                <a:endParaRPr lang="LID4096" sz="2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Fallback>
      </mc:AlternateContent>
    </xdr:grpSp>
    <xdr:clientData/>
  </xdr:twoCellAnchor>
  <xdr:twoCellAnchor>
    <xdr:from>
      <xdr:col>26</xdr:col>
      <xdr:colOff>95250</xdr:colOff>
      <xdr:row>22</xdr:row>
      <xdr:rowOff>57150</xdr:rowOff>
    </xdr:from>
    <xdr:to>
      <xdr:col>29</xdr:col>
      <xdr:colOff>48495</xdr:colOff>
      <xdr:row>26</xdr:row>
      <xdr:rowOff>13896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SpPr txBox="1"/>
          </xdr:nvSpPr>
          <xdr:spPr>
            <a:xfrm>
              <a:off x="10582275" y="3743325"/>
              <a:ext cx="1448670" cy="794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500" b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Corr.</a:t>
              </a:r>
              <a:r>
                <a:rPr lang="pt-BR" sz="1500" b="0" baseline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 coef</a:t>
              </a:r>
              <a:endParaRPr lang="pt-BR" sz="15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5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B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  <m:r>
                          <a:rPr lang="pt-B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𝑜𝑣</m:t>
                        </m:r>
                        <m:d>
                          <m:dPr>
                            <m:begChr m:val="{"/>
                            <m:endChr m:val="}"/>
                            <m:ctrlP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</m:num>
                      <m:den>
                        <m:rad>
                          <m:radPr>
                            <m:degHide m:val="on"/>
                            <m:ctrlP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𝑉</m:t>
                            </m:r>
                            <m:d>
                              <m:dPr>
                                <m:begChr m:val="{"/>
                                <m:endChr m:val="}"/>
                                <m:ctrlPr>
                                  <a:rPr lang="pt-BR" sz="1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𝑉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{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}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LID4096" sz="15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B5F7431-699E-470D-BDD2-81F73092DFEE}"/>
                </a:ext>
              </a:extLst>
            </xdr:cNvPr>
            <xdr:cNvSpPr txBox="1"/>
          </xdr:nvSpPr>
          <xdr:spPr>
            <a:xfrm>
              <a:off x="10582275" y="3743325"/>
              <a:ext cx="1448670" cy="794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500" b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Corr.</a:t>
              </a:r>
              <a:r>
                <a:rPr lang="pt-BR" sz="1500" b="0" baseline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 coef</a:t>
              </a:r>
              <a:endParaRPr lang="pt-BR" sz="15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:r>
                <a:rPr lang="pt-B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pt-B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C𝑜𝑣{𝑥,𝑦}</a:t>
              </a:r>
              <a:r>
                <a:rPr lang="pt-B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/√(𝑉{𝑥}𝑉{𝑦})</a:t>
              </a:r>
              <a:endParaRPr lang="LID4096" sz="1500"/>
            </a:p>
          </xdr:txBody>
        </xdr:sp>
      </mc:Fallback>
    </mc:AlternateContent>
    <xdr:clientData/>
  </xdr:twoCellAnchor>
  <xdr:twoCellAnchor>
    <xdr:from>
      <xdr:col>8</xdr:col>
      <xdr:colOff>161925</xdr:colOff>
      <xdr:row>1</xdr:row>
      <xdr:rowOff>0</xdr:rowOff>
    </xdr:from>
    <xdr:to>
      <xdr:col>10</xdr:col>
      <xdr:colOff>0</xdr:colOff>
      <xdr:row>4</xdr:row>
      <xdr:rowOff>66675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2676525" y="85725"/>
          <a:ext cx="9144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4000" b="1"/>
            <a:t>F9</a:t>
          </a:r>
          <a:endParaRPr lang="LID4096" sz="4000" b="1"/>
        </a:p>
      </xdr:txBody>
    </xdr:sp>
    <xdr:clientData/>
  </xdr:twoCellAnchor>
  <xdr:twoCellAnchor>
    <xdr:from>
      <xdr:col>0</xdr:col>
      <xdr:colOff>-1</xdr:colOff>
      <xdr:row>16</xdr:row>
      <xdr:rowOff>57150</xdr:rowOff>
    </xdr:from>
    <xdr:to>
      <xdr:col>8</xdr:col>
      <xdr:colOff>575803</xdr:colOff>
      <xdr:row>45</xdr:row>
      <xdr:rowOff>123825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GrpSpPr>
          <a:grpSpLocks noChangeAspect="1"/>
        </xdr:cNvGrpSpPr>
      </xdr:nvGrpSpPr>
      <xdr:grpSpPr>
        <a:xfrm>
          <a:off x="-1" y="2000250"/>
          <a:ext cx="3090404" cy="5372100"/>
          <a:chOff x="3590925" y="3000375"/>
          <a:chExt cx="2854195" cy="4093023"/>
        </a:xfrm>
      </xdr:grpSpPr>
      <xdr:graphicFrame macro="">
        <xdr:nvGraphicFramePr>
          <xdr:cNvPr id="35" name="Chart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GraphicFramePr>
            <a:graphicFrameLocks/>
          </xdr:cNvGraphicFramePr>
        </xdr:nvGraphicFramePr>
        <xdr:xfrm>
          <a:off x="3590925" y="3000375"/>
          <a:ext cx="2776538" cy="403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GraphicFramePr>
            <a:graphicFrameLocks/>
          </xdr:cNvGraphicFramePr>
        </xdr:nvGraphicFramePr>
        <xdr:xfrm>
          <a:off x="3668582" y="3054798"/>
          <a:ext cx="2776538" cy="403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2_Beta_in-house\08_GMDSI\b01b_Beta\00_COV_inverse_T_C_D_.xlsx" TargetMode="External"/><Relationship Id="rId1" Type="http://schemas.openxmlformats.org/officeDocument/2006/relationships/externalLinkPath" Target="/15_REPOS/02_Beta_in-house/08_GMDSI/b01b_Beta/00_COV_inverse_T_C_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"/>
      <sheetName val="SV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AFDA-505A-4DE4-8B1E-748264FB1743}">
  <sheetPr>
    <tabColor theme="8" tint="0.59999389629810485"/>
  </sheetPr>
  <dimension ref="A1:AV61"/>
  <sheetViews>
    <sheetView tabSelected="1" zoomScaleNormal="100" workbookViewId="0">
      <selection activeCell="Z14" sqref="Z14"/>
    </sheetView>
  </sheetViews>
  <sheetFormatPr defaultRowHeight="13.5" customHeight="1" x14ac:dyDescent="0.25"/>
  <cols>
    <col min="1" max="1" width="2.85546875" style="3" customWidth="1"/>
    <col min="2" max="4" width="5.42578125" style="3" customWidth="1"/>
    <col min="5" max="5" width="2.28515625" style="3" customWidth="1"/>
    <col min="6" max="8" width="5.42578125" style="3" customWidth="1"/>
    <col min="9" max="9" width="10.42578125" style="3" customWidth="1"/>
    <col min="10" max="10" width="5.7109375" style="3" customWidth="1"/>
    <col min="11" max="11" width="4.28515625" style="3" customWidth="1"/>
    <col min="12" max="12" width="1.7109375" style="3" customWidth="1"/>
    <col min="13" max="15" width="7.42578125" style="3" customWidth="1"/>
    <col min="16" max="16" width="2.7109375" style="3" customWidth="1"/>
    <col min="17" max="18" width="8.140625" style="3" customWidth="1"/>
    <col min="19" max="24" width="7.42578125" style="3" customWidth="1"/>
    <col min="25" max="25" width="2.140625" style="3" customWidth="1"/>
    <col min="26" max="28" width="9.85546875" style="3" customWidth="1"/>
    <col min="29" max="29" width="4.140625" style="3" customWidth="1"/>
    <col min="30" max="30" width="4.42578125" style="3" customWidth="1"/>
    <col min="31" max="33" width="9.140625" style="3"/>
    <col min="34" max="34" width="3" style="3" customWidth="1"/>
    <col min="35" max="16384" width="9.140625" style="3"/>
  </cols>
  <sheetData>
    <row r="1" spans="1:48" ht="6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15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9.9499999999999993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6" t="s">
        <v>25</v>
      </c>
      <c r="N2" s="2"/>
      <c r="O2" s="8">
        <f ca="1">RANDBETWEEN($O$3,$O$4)</f>
        <v>6</v>
      </c>
      <c r="P2" s="2"/>
      <c r="Q2" s="116" t="s">
        <v>24</v>
      </c>
      <c r="R2" s="2"/>
      <c r="S2" s="2"/>
      <c r="T2" s="2" t="str">
        <f>Q5</f>
        <v>X</v>
      </c>
      <c r="U2" s="8" t="s">
        <v>29</v>
      </c>
      <c r="V2" s="8">
        <f t="shared" ref="V2" ca="1" si="0">SQRT(V18)</f>
        <v>2.1362669223756576</v>
      </c>
      <c r="W2" s="8">
        <f ca="1">SQRT(W18)</f>
        <v>1.7529196424044293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9.9499999999999993" customHeight="1" x14ac:dyDescent="0.25">
      <c r="A3" s="2"/>
      <c r="B3" s="95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>
        <f ca="1">$M$4+RANDBETWEEN($M$4/10,$M$4/5)</f>
        <v>284</v>
      </c>
      <c r="N3" s="2">
        <f ca="1">$N$4+RANDBETWEEN($N$4/10,$N$4/5)</f>
        <v>1906</v>
      </c>
      <c r="O3" s="94">
        <v>1</v>
      </c>
      <c r="P3" s="2"/>
      <c r="Q3" s="54"/>
      <c r="R3" s="2"/>
      <c r="S3" s="2"/>
      <c r="T3" s="2" t="str">
        <f>R5</f>
        <v>y</v>
      </c>
      <c r="U3" s="94"/>
      <c r="V3" s="94"/>
      <c r="W3" s="2"/>
      <c r="X3" s="2"/>
      <c r="Y3" s="2"/>
      <c r="Z3" s="119" t="s">
        <v>23</v>
      </c>
      <c r="AA3" s="119" t="s">
        <v>22</v>
      </c>
      <c r="AB3" s="119" t="s">
        <v>21</v>
      </c>
      <c r="AC3" s="2"/>
      <c r="AD3" s="2"/>
      <c r="AE3" s="2"/>
      <c r="AF3" s="2"/>
      <c r="AG3" s="2"/>
      <c r="AH3" s="2"/>
      <c r="AI3" s="119" t="s">
        <v>20</v>
      </c>
      <c r="AJ3" s="119" t="s">
        <v>19</v>
      </c>
      <c r="AK3" s="119" t="s">
        <v>18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9.9499999999999993" customHeight="1" x14ac:dyDescent="0.25">
      <c r="A4" s="2"/>
      <c r="B4" s="21" t="s">
        <v>17</v>
      </c>
      <c r="C4" s="21"/>
      <c r="D4" s="56">
        <f ca="1">COUNT(B6:D6)</f>
        <v>2</v>
      </c>
      <c r="E4" s="2"/>
      <c r="F4" s="21" t="s">
        <v>16</v>
      </c>
      <c r="G4" s="21"/>
      <c r="H4" s="56">
        <f ca="1">COUNT(F6:H6)</f>
        <v>3</v>
      </c>
      <c r="I4" s="2"/>
      <c r="J4" s="2"/>
      <c r="K4" s="2"/>
      <c r="L4" s="2"/>
      <c r="M4" s="94">
        <v>250</v>
      </c>
      <c r="N4" s="94">
        <v>1600</v>
      </c>
      <c r="O4" s="94">
        <v>9</v>
      </c>
      <c r="P4" s="2"/>
      <c r="Q4" s="54"/>
      <c r="R4" s="2">
        <f ca="1">N4-N$17</f>
        <v>1595.5454545454545</v>
      </c>
      <c r="S4" s="2"/>
      <c r="T4" s="2">
        <f ca="1">SUM(T6:T16)</f>
        <v>-18.909090909090907</v>
      </c>
      <c r="U4" s="103" t="str">
        <f>M5</f>
        <v>x</v>
      </c>
      <c r="V4" s="2" t="str">
        <f>M5</f>
        <v>x</v>
      </c>
      <c r="W4" s="2" t="str">
        <f>N5</f>
        <v>y</v>
      </c>
      <c r="X4" s="2" t="str">
        <f>O5</f>
        <v>z</v>
      </c>
      <c r="Y4" s="2"/>
      <c r="Z4" s="120">
        <v>12</v>
      </c>
      <c r="AA4" s="120">
        <v>13</v>
      </c>
      <c r="AB4" s="120">
        <v>23</v>
      </c>
      <c r="AC4" s="2"/>
      <c r="AD4" s="2"/>
      <c r="AE4" s="2"/>
      <c r="AF4" s="2"/>
      <c r="AG4" s="2"/>
      <c r="AH4" s="2"/>
      <c r="AI4" s="121">
        <v>11</v>
      </c>
      <c r="AJ4" s="121">
        <v>22</v>
      </c>
      <c r="AK4" s="121">
        <v>33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9.9499999999999993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</v>
      </c>
      <c r="N5" s="2" t="s">
        <v>0</v>
      </c>
      <c r="O5" s="2" t="s">
        <v>15</v>
      </c>
      <c r="P5" s="2"/>
      <c r="Q5" s="114" t="s">
        <v>28</v>
      </c>
      <c r="R5" s="2" t="s">
        <v>0</v>
      </c>
      <c r="S5" s="2" t="s">
        <v>15</v>
      </c>
      <c r="T5" s="93" t="s">
        <v>14</v>
      </c>
      <c r="U5" s="104" t="s">
        <v>13</v>
      </c>
      <c r="V5" s="79" t="s">
        <v>13</v>
      </c>
      <c r="W5" s="79" t="s">
        <v>13</v>
      </c>
      <c r="X5" s="79" t="s">
        <v>13</v>
      </c>
      <c r="Y5" s="2"/>
      <c r="Z5" s="92">
        <v>21</v>
      </c>
      <c r="AA5" s="91">
        <v>31</v>
      </c>
      <c r="AB5" s="91">
        <v>32</v>
      </c>
      <c r="AC5" s="2"/>
      <c r="AD5" s="2"/>
      <c r="AE5" s="2"/>
      <c r="AF5" s="2"/>
      <c r="AG5" s="2"/>
      <c r="AH5" s="2"/>
      <c r="AI5" s="90"/>
      <c r="AJ5" s="90"/>
      <c r="AK5" s="90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9.9499999999999993" customHeight="1" x14ac:dyDescent="0.25">
      <c r="A6" s="2"/>
      <c r="B6" s="84">
        <f t="shared" ref="B6:C16" ca="1" si="1">RANDBETWEEN($O$3,$O$4)</f>
        <v>8</v>
      </c>
      <c r="C6" s="83">
        <f t="shared" ca="1" si="1"/>
        <v>9</v>
      </c>
      <c r="D6" s="53"/>
      <c r="E6" s="2"/>
      <c r="F6" s="84">
        <f t="shared" ref="F6:H16" ca="1" si="2">RANDBETWEEN($O$3,$O$4)</f>
        <v>7</v>
      </c>
      <c r="G6" s="83">
        <f t="shared" ca="1" si="2"/>
        <v>4</v>
      </c>
      <c r="H6" s="52">
        <f t="shared" ca="1" si="2"/>
        <v>6</v>
      </c>
      <c r="I6" s="2"/>
      <c r="J6" s="65">
        <f ca="1">$M$17</f>
        <v>4.1818181818181817</v>
      </c>
      <c r="K6" s="65">
        <f ca="1">$N$17</f>
        <v>4.4545454545454541</v>
      </c>
      <c r="L6" s="2"/>
      <c r="M6" s="89">
        <f t="shared" ref="M6:M16" ca="1" si="3">_xlfn.IFS($B$3=0,B6,$B$3=1,F6,$B$3=2,B21,$B$3=3,F21,$B$3=4,B35)</f>
        <v>7</v>
      </c>
      <c r="N6" s="88">
        <f t="shared" ref="N6:N16" ca="1" si="4">_xlfn.IFS($B$3=0,C6,$B$3=1,G6,$B$3=2,C21,$B$3=3,G21,$B$3=4,C35)</f>
        <v>4</v>
      </c>
      <c r="O6" s="86">
        <f t="shared" ref="O6:O16" ca="1" si="5">_xlfn.IFS($B$3=0,D6,$B$3=1,H6,$B$3=2,D21,$B$3=3,H21,$B$3=4,D35)</f>
        <v>6</v>
      </c>
      <c r="P6" s="2"/>
      <c r="Q6" s="100">
        <f t="shared" ref="Q6:Q16" ca="1" si="6">M6-M$17</f>
        <v>2.8181818181818183</v>
      </c>
      <c r="R6" s="88">
        <f t="shared" ref="R6:R16" ca="1" si="7">N6-N$17</f>
        <v>-0.45454545454545414</v>
      </c>
      <c r="S6" s="87"/>
      <c r="T6" s="80">
        <f t="shared" ref="T6:T16" ca="1" si="8">Q6*R6</f>
        <v>-1.2809917355371889</v>
      </c>
      <c r="U6" s="105">
        <f t="shared" ref="U6:U16" ca="1" si="9">Q6*Q6</f>
        <v>7.9421487603305794</v>
      </c>
      <c r="V6" s="97">
        <f t="shared" ref="V6:V16" ca="1" si="10">(M6-M$17)^2</f>
        <v>7.9421487603305794</v>
      </c>
      <c r="W6" s="97">
        <f t="shared" ref="W6:W16" ca="1" si="11">(N6-N$17)^2</f>
        <v>0.20661157024793353</v>
      </c>
      <c r="X6" s="86"/>
      <c r="Y6" s="2"/>
      <c r="Z6" s="85">
        <f t="shared" ref="Z6:Z16" ca="1" si="12">IF(M6&lt;&gt;0,(M6-M$17)*(N6-N$17),"")</f>
        <v>-1.2809917355371889</v>
      </c>
      <c r="AA6" s="20">
        <f t="shared" ref="AA6:AA16" ca="1" si="13">IF(ISNUMBER($O$17),IF(M6&lt;&gt;0,(M6-M$17)*(O6-O$17),""),"")</f>
        <v>3.330578512396694</v>
      </c>
      <c r="AB6" s="18">
        <f t="shared" ref="AB6:AB16" ca="1" si="14">IF(ISNUMBER($O$17),IF(N6&lt;&gt;0,(N6-N$17)*(O6-O$17),""),"")</f>
        <v>-0.53719008264462753</v>
      </c>
      <c r="AC6" s="2"/>
      <c r="AD6" s="2"/>
      <c r="AE6" s="122">
        <v>11</v>
      </c>
      <c r="AF6" s="123">
        <v>12</v>
      </c>
      <c r="AG6" s="124">
        <v>13</v>
      </c>
      <c r="AH6" s="2"/>
      <c r="AI6" s="84">
        <f t="shared" ref="AI6:AI16" ca="1" si="15">IF(M6&lt;&gt;0,(M6-M$17)*(M6-M$17),"")</f>
        <v>7.9421487603305794</v>
      </c>
      <c r="AJ6" s="83">
        <f t="shared" ref="AJ6:AJ16" ca="1" si="16">IF(N6&lt;&gt;0,(N6-N$17)*(N6-N$17),"")</f>
        <v>0.20661157024793353</v>
      </c>
      <c r="AK6" s="52">
        <f t="shared" ref="AK6:AK16" ca="1" si="17">IF(O6&lt;&gt;0,(O6-O$17)*(O6-O$17),"")</f>
        <v>1.3966942148760326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9.9499999999999993" customHeight="1" x14ac:dyDescent="0.25">
      <c r="A7" s="2"/>
      <c r="B7" s="76">
        <f t="shared" ca="1" si="1"/>
        <v>9</v>
      </c>
      <c r="C7" s="2">
        <f t="shared" ca="1" si="1"/>
        <v>9</v>
      </c>
      <c r="D7" s="7"/>
      <c r="E7" s="2"/>
      <c r="F7" s="76">
        <f t="shared" ca="1" si="2"/>
        <v>3</v>
      </c>
      <c r="G7" s="2">
        <f t="shared" ca="1" si="2"/>
        <v>1</v>
      </c>
      <c r="H7" s="43">
        <f t="shared" ca="1" si="2"/>
        <v>7</v>
      </c>
      <c r="I7" s="2"/>
      <c r="J7" s="65">
        <f t="shared" ref="J7:J16" ca="1" si="18">$M$17</f>
        <v>4.1818181818181817</v>
      </c>
      <c r="K7" s="65">
        <f t="shared" ref="K7:K16" ca="1" si="19">$N$17</f>
        <v>4.4545454545454541</v>
      </c>
      <c r="L7" s="2"/>
      <c r="M7" s="82">
        <f t="shared" ca="1" si="3"/>
        <v>3</v>
      </c>
      <c r="N7" s="50">
        <f t="shared" ca="1" si="4"/>
        <v>1</v>
      </c>
      <c r="O7" s="78">
        <f t="shared" ca="1" si="5"/>
        <v>7</v>
      </c>
      <c r="P7" s="2"/>
      <c r="Q7" s="101">
        <f t="shared" ca="1" si="6"/>
        <v>-1.1818181818181817</v>
      </c>
      <c r="R7" s="50">
        <f t="shared" ca="1" si="7"/>
        <v>-3.4545454545454541</v>
      </c>
      <c r="S7" s="81"/>
      <c r="T7" s="80">
        <f t="shared" ca="1" si="8"/>
        <v>4.0826446280991728</v>
      </c>
      <c r="U7" s="106">
        <f t="shared" ca="1" si="9"/>
        <v>1.3966942148760326</v>
      </c>
      <c r="V7" s="98">
        <f t="shared" ca="1" si="10"/>
        <v>1.3966942148760326</v>
      </c>
      <c r="W7" s="98">
        <f t="shared" ca="1" si="11"/>
        <v>11.933884297520658</v>
      </c>
      <c r="X7" s="78"/>
      <c r="Y7" s="2"/>
      <c r="Z7" s="77">
        <f t="shared" ca="1" si="12"/>
        <v>4.0826446280991728</v>
      </c>
      <c r="AA7" s="15">
        <f t="shared" ca="1" si="13"/>
        <v>-2.5785123966942143</v>
      </c>
      <c r="AB7" s="14">
        <f t="shared" ca="1" si="14"/>
        <v>-7.537190082644627</v>
      </c>
      <c r="AC7" s="2"/>
      <c r="AD7" s="2"/>
      <c r="AE7" s="125">
        <v>21</v>
      </c>
      <c r="AF7" s="122">
        <v>22</v>
      </c>
      <c r="AG7" s="126">
        <v>23</v>
      </c>
      <c r="AH7" s="2"/>
      <c r="AI7" s="76">
        <f t="shared" ca="1" si="15"/>
        <v>1.3966942148760326</v>
      </c>
      <c r="AJ7" s="2">
        <f t="shared" ca="1" si="16"/>
        <v>11.933884297520658</v>
      </c>
      <c r="AK7" s="43">
        <f t="shared" ca="1" si="17"/>
        <v>4.7603305785123959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9.9499999999999993" customHeight="1" x14ac:dyDescent="0.25">
      <c r="A8" s="2"/>
      <c r="B8" s="76">
        <f t="shared" ca="1" si="1"/>
        <v>6</v>
      </c>
      <c r="C8" s="2">
        <f t="shared" ca="1" si="1"/>
        <v>5</v>
      </c>
      <c r="D8" s="7"/>
      <c r="E8" s="2"/>
      <c r="F8" s="76">
        <f t="shared" ca="1" si="2"/>
        <v>2</v>
      </c>
      <c r="G8" s="2">
        <f t="shared" ca="1" si="2"/>
        <v>7</v>
      </c>
      <c r="H8" s="43">
        <f t="shared" ca="1" si="2"/>
        <v>3</v>
      </c>
      <c r="I8" s="2"/>
      <c r="J8" s="65">
        <f t="shared" ca="1" si="18"/>
        <v>4.1818181818181817</v>
      </c>
      <c r="K8" s="65">
        <f t="shared" ca="1" si="19"/>
        <v>4.4545454545454541</v>
      </c>
      <c r="L8" s="2"/>
      <c r="M8" s="82">
        <f t="shared" ca="1" si="3"/>
        <v>2</v>
      </c>
      <c r="N8" s="50">
        <f t="shared" ca="1" si="4"/>
        <v>7</v>
      </c>
      <c r="O8" s="78">
        <f t="shared" ca="1" si="5"/>
        <v>3</v>
      </c>
      <c r="P8" s="2"/>
      <c r="Q8" s="101">
        <f t="shared" ca="1" si="6"/>
        <v>-2.1818181818181817</v>
      </c>
      <c r="R8" s="50">
        <f t="shared" ca="1" si="7"/>
        <v>2.5454545454545459</v>
      </c>
      <c r="S8" s="81"/>
      <c r="T8" s="80">
        <f t="shared" ca="1" si="8"/>
        <v>-5.553719008264463</v>
      </c>
      <c r="U8" s="106">
        <f t="shared" ca="1" si="9"/>
        <v>4.7603305785123959</v>
      </c>
      <c r="V8" s="98">
        <f t="shared" ca="1" si="10"/>
        <v>4.7603305785123959</v>
      </c>
      <c r="W8" s="98">
        <f t="shared" ca="1" si="11"/>
        <v>6.479338842975209</v>
      </c>
      <c r="X8" s="78"/>
      <c r="Y8" s="2"/>
      <c r="Z8" s="77">
        <f t="shared" ca="1" si="12"/>
        <v>-5.553719008264463</v>
      </c>
      <c r="AA8" s="15">
        <f t="shared" ca="1" si="13"/>
        <v>3.9669421487603307</v>
      </c>
      <c r="AB8" s="14">
        <f t="shared" ca="1" si="14"/>
        <v>-4.6280991735537205</v>
      </c>
      <c r="AC8" s="2"/>
      <c r="AD8" s="2"/>
      <c r="AE8" s="127">
        <v>31</v>
      </c>
      <c r="AF8" s="128">
        <v>32</v>
      </c>
      <c r="AG8" s="122">
        <v>33</v>
      </c>
      <c r="AH8" s="2"/>
      <c r="AI8" s="76">
        <f t="shared" ca="1" si="15"/>
        <v>4.7603305785123959</v>
      </c>
      <c r="AJ8" s="2">
        <f t="shared" ca="1" si="16"/>
        <v>6.479338842975209</v>
      </c>
      <c r="AK8" s="43">
        <f t="shared" ca="1" si="17"/>
        <v>3.3057851239669427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9.9499999999999993" customHeight="1" x14ac:dyDescent="0.25">
      <c r="A9" s="2"/>
      <c r="B9" s="76">
        <f t="shared" ca="1" si="1"/>
        <v>4</v>
      </c>
      <c r="C9" s="2">
        <f t="shared" ca="1" si="1"/>
        <v>3</v>
      </c>
      <c r="D9" s="7"/>
      <c r="E9" s="2"/>
      <c r="F9" s="76">
        <f t="shared" ca="1" si="2"/>
        <v>3</v>
      </c>
      <c r="G9" s="2">
        <f t="shared" ca="1" si="2"/>
        <v>6</v>
      </c>
      <c r="H9" s="43">
        <f t="shared" ca="1" si="2"/>
        <v>3</v>
      </c>
      <c r="I9" s="2"/>
      <c r="J9" s="65">
        <f t="shared" ca="1" si="18"/>
        <v>4.1818181818181817</v>
      </c>
      <c r="K9" s="65">
        <f t="shared" ca="1" si="19"/>
        <v>4.4545454545454541</v>
      </c>
      <c r="L9" s="2"/>
      <c r="M9" s="82">
        <f t="shared" ca="1" si="3"/>
        <v>3</v>
      </c>
      <c r="N9" s="50">
        <f t="shared" ca="1" si="4"/>
        <v>6</v>
      </c>
      <c r="O9" s="78">
        <f t="shared" ca="1" si="5"/>
        <v>3</v>
      </c>
      <c r="P9" s="2"/>
      <c r="Q9" s="101">
        <f t="shared" ca="1" si="6"/>
        <v>-1.1818181818181817</v>
      </c>
      <c r="R9" s="50">
        <f t="shared" ca="1" si="7"/>
        <v>1.5454545454545459</v>
      </c>
      <c r="S9" s="81"/>
      <c r="T9" s="80">
        <f t="shared" ca="1" si="8"/>
        <v>-1.8264462809917357</v>
      </c>
      <c r="U9" s="106">
        <f t="shared" ca="1" si="9"/>
        <v>1.3966942148760326</v>
      </c>
      <c r="V9" s="98">
        <f t="shared" ca="1" si="10"/>
        <v>1.3966942148760326</v>
      </c>
      <c r="W9" s="98">
        <f t="shared" ca="1" si="11"/>
        <v>2.3884297520661169</v>
      </c>
      <c r="X9" s="78"/>
      <c r="Y9" s="2"/>
      <c r="Z9" s="77">
        <f t="shared" ca="1" si="12"/>
        <v>-1.8264462809917357</v>
      </c>
      <c r="AA9" s="15">
        <f t="shared" ca="1" si="13"/>
        <v>2.1487603305785123</v>
      </c>
      <c r="AB9" s="14">
        <f t="shared" ca="1" si="14"/>
        <v>-2.8099173553719017</v>
      </c>
      <c r="AC9" s="2"/>
      <c r="AD9" s="2"/>
      <c r="AE9" s="2"/>
      <c r="AF9" s="2"/>
      <c r="AG9" s="2" t="s">
        <v>11</v>
      </c>
      <c r="AH9" s="2"/>
      <c r="AI9" s="76">
        <f t="shared" ca="1" si="15"/>
        <v>1.3966942148760326</v>
      </c>
      <c r="AJ9" s="2">
        <f t="shared" ca="1" si="16"/>
        <v>2.3884297520661169</v>
      </c>
      <c r="AK9" s="43">
        <f t="shared" ca="1" si="17"/>
        <v>3.3057851239669427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9.9499999999999993" customHeight="1" x14ac:dyDescent="0.25">
      <c r="A10" s="2"/>
      <c r="B10" s="76">
        <f t="shared" ca="1" si="1"/>
        <v>9</v>
      </c>
      <c r="C10" s="2">
        <f t="shared" ca="1" si="1"/>
        <v>7</v>
      </c>
      <c r="D10" s="7"/>
      <c r="E10" s="2"/>
      <c r="F10" s="76">
        <f t="shared" ca="1" si="2"/>
        <v>6</v>
      </c>
      <c r="G10" s="2">
        <f t="shared" ca="1" si="2"/>
        <v>3</v>
      </c>
      <c r="H10" s="43">
        <f t="shared" ca="1" si="2"/>
        <v>4</v>
      </c>
      <c r="I10" s="2"/>
      <c r="J10" s="65">
        <f t="shared" ca="1" si="18"/>
        <v>4.1818181818181817</v>
      </c>
      <c r="K10" s="65">
        <f t="shared" ca="1" si="19"/>
        <v>4.4545454545454541</v>
      </c>
      <c r="L10" s="2"/>
      <c r="M10" s="82">
        <f t="shared" ca="1" si="3"/>
        <v>6</v>
      </c>
      <c r="N10" s="50">
        <f t="shared" ca="1" si="4"/>
        <v>3</v>
      </c>
      <c r="O10" s="78">
        <f t="shared" ca="1" si="5"/>
        <v>4</v>
      </c>
      <c r="P10" s="2"/>
      <c r="Q10" s="101">
        <f t="shared" ca="1" si="6"/>
        <v>1.8181818181818183</v>
      </c>
      <c r="R10" s="50">
        <f t="shared" ca="1" si="7"/>
        <v>-1.4545454545454541</v>
      </c>
      <c r="S10" s="81"/>
      <c r="T10" s="80">
        <f t="shared" ca="1" si="8"/>
        <v>-2.6446280991735533</v>
      </c>
      <c r="U10" s="106">
        <f t="shared" ca="1" si="9"/>
        <v>3.3057851239669427</v>
      </c>
      <c r="V10" s="98">
        <f t="shared" ca="1" si="10"/>
        <v>3.3057851239669427</v>
      </c>
      <c r="W10" s="98">
        <f t="shared" ca="1" si="11"/>
        <v>2.1157024793388417</v>
      </c>
      <c r="X10" s="78"/>
      <c r="Y10" s="2"/>
      <c r="Z10" s="77">
        <f t="shared" ca="1" si="12"/>
        <v>-2.6446280991735533</v>
      </c>
      <c r="AA10" s="15">
        <f t="shared" ca="1" si="13"/>
        <v>-1.4876033057851243</v>
      </c>
      <c r="AB10" s="14">
        <f t="shared" ca="1" si="14"/>
        <v>1.190082644628099</v>
      </c>
      <c r="AC10" s="2"/>
      <c r="AD10" s="2"/>
      <c r="AE10" s="122">
        <f>MATCH(AE6,AI4:AK4,0)</f>
        <v>1</v>
      </c>
      <c r="AF10" s="123">
        <f>MATCH(AF6,Z4:AB4,0)</f>
        <v>1</v>
      </c>
      <c r="AG10" s="124">
        <f>MATCH(AG6,Z4:AB4,0)</f>
        <v>2</v>
      </c>
      <c r="AH10" s="2"/>
      <c r="AI10" s="76">
        <f t="shared" ca="1" si="15"/>
        <v>3.3057851239669427</v>
      </c>
      <c r="AJ10" s="2">
        <f t="shared" ca="1" si="16"/>
        <v>2.1157024793388417</v>
      </c>
      <c r="AK10" s="43">
        <f t="shared" ca="1" si="17"/>
        <v>0.669421487603306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9.9499999999999993" customHeight="1" x14ac:dyDescent="0.25">
      <c r="A11" s="2"/>
      <c r="B11" s="76">
        <f t="shared" ca="1" si="1"/>
        <v>5</v>
      </c>
      <c r="C11" s="2">
        <f t="shared" ca="1" si="1"/>
        <v>1</v>
      </c>
      <c r="D11" s="7"/>
      <c r="E11" s="2"/>
      <c r="F11" s="76">
        <f t="shared" ca="1" si="2"/>
        <v>2</v>
      </c>
      <c r="G11" s="2">
        <f t="shared" ca="1" si="2"/>
        <v>6</v>
      </c>
      <c r="H11" s="43">
        <f t="shared" ca="1" si="2"/>
        <v>4</v>
      </c>
      <c r="I11" s="2"/>
      <c r="J11" s="65">
        <f t="shared" ca="1" si="18"/>
        <v>4.1818181818181817</v>
      </c>
      <c r="K11" s="65">
        <f t="shared" ca="1" si="19"/>
        <v>4.4545454545454541</v>
      </c>
      <c r="L11" s="2"/>
      <c r="M11" s="82">
        <f t="shared" ca="1" si="3"/>
        <v>2</v>
      </c>
      <c r="N11" s="50">
        <f t="shared" ca="1" si="4"/>
        <v>6</v>
      </c>
      <c r="O11" s="78">
        <f t="shared" ca="1" si="5"/>
        <v>4</v>
      </c>
      <c r="P11" s="2"/>
      <c r="Q11" s="101">
        <f t="shared" ca="1" si="6"/>
        <v>-2.1818181818181817</v>
      </c>
      <c r="R11" s="50">
        <f t="shared" ca="1" si="7"/>
        <v>1.5454545454545459</v>
      </c>
      <c r="S11" s="81"/>
      <c r="T11" s="80">
        <f t="shared" ca="1" si="8"/>
        <v>-3.3719008264462818</v>
      </c>
      <c r="U11" s="106">
        <f t="shared" ca="1" si="9"/>
        <v>4.7603305785123959</v>
      </c>
      <c r="V11" s="98">
        <f t="shared" ca="1" si="10"/>
        <v>4.7603305785123959</v>
      </c>
      <c r="W11" s="98">
        <f t="shared" ca="1" si="11"/>
        <v>2.3884297520661169</v>
      </c>
      <c r="X11" s="78"/>
      <c r="Y11" s="2"/>
      <c r="Z11" s="77">
        <f t="shared" ca="1" si="12"/>
        <v>-3.3719008264462818</v>
      </c>
      <c r="AA11" s="15">
        <f t="shared" ca="1" si="13"/>
        <v>1.785123966942149</v>
      </c>
      <c r="AB11" s="14">
        <f t="shared" ca="1" si="14"/>
        <v>-1.264462809917356</v>
      </c>
      <c r="AC11" s="2"/>
      <c r="AD11" s="2"/>
      <c r="AE11" s="125">
        <f>MATCH(AE7,Z5:AB5,0)</f>
        <v>1</v>
      </c>
      <c r="AF11" s="122">
        <f>MATCH(AF7,AI4:AK4,0)</f>
        <v>2</v>
      </c>
      <c r="AG11" s="126">
        <f>MATCH(AG7,Z4:AB4,0)</f>
        <v>3</v>
      </c>
      <c r="AH11" s="2"/>
      <c r="AI11" s="76">
        <f t="shared" ca="1" si="15"/>
        <v>4.7603305785123959</v>
      </c>
      <c r="AJ11" s="2">
        <f t="shared" ca="1" si="16"/>
        <v>2.3884297520661169</v>
      </c>
      <c r="AK11" s="43">
        <f t="shared" ca="1" si="17"/>
        <v>0.669421487603306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9.9499999999999993" customHeight="1" x14ac:dyDescent="0.25">
      <c r="A12" s="2"/>
      <c r="B12" s="76">
        <f t="shared" ca="1" si="1"/>
        <v>2</v>
      </c>
      <c r="C12" s="2">
        <f t="shared" ca="1" si="1"/>
        <v>4</v>
      </c>
      <c r="D12" s="7"/>
      <c r="E12" s="2"/>
      <c r="F12" s="76">
        <f t="shared" ca="1" si="2"/>
        <v>5</v>
      </c>
      <c r="G12" s="2">
        <f t="shared" ca="1" si="2"/>
        <v>5</v>
      </c>
      <c r="H12" s="43">
        <f t="shared" ca="1" si="2"/>
        <v>2</v>
      </c>
      <c r="I12" s="2"/>
      <c r="J12" s="65">
        <f t="shared" ca="1" si="18"/>
        <v>4.1818181818181817</v>
      </c>
      <c r="K12" s="65">
        <f t="shared" ca="1" si="19"/>
        <v>4.4545454545454541</v>
      </c>
      <c r="L12" s="2"/>
      <c r="M12" s="82">
        <f t="shared" ca="1" si="3"/>
        <v>5</v>
      </c>
      <c r="N12" s="50">
        <f t="shared" ca="1" si="4"/>
        <v>5</v>
      </c>
      <c r="O12" s="78">
        <f t="shared" ca="1" si="5"/>
        <v>2</v>
      </c>
      <c r="P12" s="2"/>
      <c r="Q12" s="101">
        <f t="shared" ca="1" si="6"/>
        <v>0.81818181818181834</v>
      </c>
      <c r="R12" s="50">
        <f t="shared" ca="1" si="7"/>
        <v>0.54545454545454586</v>
      </c>
      <c r="S12" s="81"/>
      <c r="T12" s="80">
        <f t="shared" ca="1" si="8"/>
        <v>0.44628099173553759</v>
      </c>
      <c r="U12" s="106">
        <f t="shared" ca="1" si="9"/>
        <v>0.669421487603306</v>
      </c>
      <c r="V12" s="98">
        <f t="shared" ca="1" si="10"/>
        <v>0.669421487603306</v>
      </c>
      <c r="W12" s="98">
        <f t="shared" ca="1" si="11"/>
        <v>0.29752066115702525</v>
      </c>
      <c r="X12" s="78"/>
      <c r="Y12" s="2"/>
      <c r="Z12" s="77">
        <f t="shared" ca="1" si="12"/>
        <v>0.44628099173553759</v>
      </c>
      <c r="AA12" s="15">
        <f t="shared" ca="1" si="13"/>
        <v>-2.3057851239669427</v>
      </c>
      <c r="AB12" s="14">
        <f t="shared" ca="1" si="14"/>
        <v>-1.5371900826446294</v>
      </c>
      <c r="AC12" s="2"/>
      <c r="AD12" s="2"/>
      <c r="AE12" s="127">
        <f>MATCH(AE8,Z5:AB5,0)</f>
        <v>2</v>
      </c>
      <c r="AF12" s="128">
        <f>MATCH(AF8,Z5:AB5,0)</f>
        <v>3</v>
      </c>
      <c r="AG12" s="122">
        <f>MATCH(AG8,AI4:AK4,0)</f>
        <v>3</v>
      </c>
      <c r="AH12" s="2"/>
      <c r="AI12" s="76">
        <f t="shared" ca="1" si="15"/>
        <v>0.669421487603306</v>
      </c>
      <c r="AJ12" s="2">
        <f t="shared" ca="1" si="16"/>
        <v>0.29752066115702525</v>
      </c>
      <c r="AK12" s="43">
        <f t="shared" ca="1" si="17"/>
        <v>7.9421487603305794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9.9499999999999993" customHeight="1" x14ac:dyDescent="0.25">
      <c r="A13" s="2"/>
      <c r="B13" s="76">
        <f t="shared" ca="1" si="1"/>
        <v>1</v>
      </c>
      <c r="C13" s="2">
        <f t="shared" ca="1" si="1"/>
        <v>1</v>
      </c>
      <c r="D13" s="7"/>
      <c r="E13" s="2"/>
      <c r="F13" s="76">
        <f t="shared" ca="1" si="2"/>
        <v>5</v>
      </c>
      <c r="G13" s="2">
        <f t="shared" ca="1" si="2"/>
        <v>4</v>
      </c>
      <c r="H13" s="43">
        <f t="shared" ca="1" si="2"/>
        <v>6</v>
      </c>
      <c r="I13" s="2"/>
      <c r="J13" s="65">
        <f t="shared" ca="1" si="18"/>
        <v>4.1818181818181817</v>
      </c>
      <c r="K13" s="65">
        <f t="shared" ca="1" si="19"/>
        <v>4.4545454545454541</v>
      </c>
      <c r="L13" s="2"/>
      <c r="M13" s="82">
        <f t="shared" ca="1" si="3"/>
        <v>5</v>
      </c>
      <c r="N13" s="50">
        <f t="shared" ca="1" si="4"/>
        <v>4</v>
      </c>
      <c r="O13" s="78">
        <f t="shared" ca="1" si="5"/>
        <v>6</v>
      </c>
      <c r="P13" s="2"/>
      <c r="Q13" s="101">
        <f t="shared" ca="1" si="6"/>
        <v>0.81818181818181834</v>
      </c>
      <c r="R13" s="50">
        <f t="shared" ca="1" si="7"/>
        <v>-0.45454545454545414</v>
      </c>
      <c r="S13" s="81"/>
      <c r="T13" s="80">
        <f t="shared" ca="1" si="8"/>
        <v>-0.37190082644628075</v>
      </c>
      <c r="U13" s="106">
        <f t="shared" ca="1" si="9"/>
        <v>0.669421487603306</v>
      </c>
      <c r="V13" s="98">
        <f t="shared" ca="1" si="10"/>
        <v>0.669421487603306</v>
      </c>
      <c r="W13" s="98">
        <f t="shared" ca="1" si="11"/>
        <v>0.20661157024793353</v>
      </c>
      <c r="X13" s="78"/>
      <c r="Y13" s="2"/>
      <c r="Z13" s="77">
        <f t="shared" ca="1" si="12"/>
        <v>-0.37190082644628075</v>
      </c>
      <c r="AA13" s="15">
        <f t="shared" ca="1" si="13"/>
        <v>0.96694214876033069</v>
      </c>
      <c r="AB13" s="14">
        <f t="shared" ca="1" si="14"/>
        <v>-0.53719008264462753</v>
      </c>
      <c r="AC13" s="2"/>
      <c r="AD13" s="2"/>
      <c r="AE13" s="2"/>
      <c r="AF13" s="2"/>
      <c r="AG13" s="2" t="s">
        <v>11</v>
      </c>
      <c r="AH13" s="2"/>
      <c r="AI13" s="76">
        <f t="shared" ca="1" si="15"/>
        <v>0.669421487603306</v>
      </c>
      <c r="AJ13" s="2">
        <f t="shared" ca="1" si="16"/>
        <v>0.20661157024793353</v>
      </c>
      <c r="AK13" s="43">
        <f t="shared" ca="1" si="17"/>
        <v>1.3966942148760326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9.9499999999999993" customHeight="1" x14ac:dyDescent="0.25">
      <c r="A14" s="2"/>
      <c r="B14" s="76">
        <f t="shared" ca="1" si="1"/>
        <v>9</v>
      </c>
      <c r="C14" s="2">
        <f t="shared" ca="1" si="1"/>
        <v>7</v>
      </c>
      <c r="D14" s="7"/>
      <c r="E14" s="2"/>
      <c r="F14" s="76">
        <f t="shared" ca="1" si="2"/>
        <v>8</v>
      </c>
      <c r="G14" s="2">
        <f t="shared" ca="1" si="2"/>
        <v>3</v>
      </c>
      <c r="H14" s="43">
        <f t="shared" ca="1" si="2"/>
        <v>8</v>
      </c>
      <c r="I14" s="2"/>
      <c r="J14" s="65">
        <f t="shared" ca="1" si="18"/>
        <v>4.1818181818181817</v>
      </c>
      <c r="K14" s="65">
        <f t="shared" ca="1" si="19"/>
        <v>4.4545454545454541</v>
      </c>
      <c r="L14" s="2"/>
      <c r="M14" s="82">
        <f t="shared" ca="1" si="3"/>
        <v>8</v>
      </c>
      <c r="N14" s="50">
        <f t="shared" ca="1" si="4"/>
        <v>3</v>
      </c>
      <c r="O14" s="78">
        <f t="shared" ca="1" si="5"/>
        <v>8</v>
      </c>
      <c r="P14" s="2"/>
      <c r="Q14" s="101">
        <f t="shared" ca="1" si="6"/>
        <v>3.8181818181818183</v>
      </c>
      <c r="R14" s="50">
        <f t="shared" ca="1" si="7"/>
        <v>-1.4545454545454541</v>
      </c>
      <c r="S14" s="81"/>
      <c r="T14" s="80">
        <f t="shared" ca="1" si="8"/>
        <v>-5.5537190082644612</v>
      </c>
      <c r="U14" s="106">
        <f t="shared" ca="1" si="9"/>
        <v>14.578512396694217</v>
      </c>
      <c r="V14" s="98">
        <f t="shared" ca="1" si="10"/>
        <v>14.578512396694217</v>
      </c>
      <c r="W14" s="98">
        <f t="shared" ca="1" si="11"/>
        <v>2.1157024793388417</v>
      </c>
      <c r="X14" s="78"/>
      <c r="Y14" s="2"/>
      <c r="Z14" s="77">
        <f t="shared" ca="1" si="12"/>
        <v>-5.5537190082644612</v>
      </c>
      <c r="AA14" s="15">
        <f t="shared" ca="1" si="13"/>
        <v>12.148760330578511</v>
      </c>
      <c r="AB14" s="14">
        <f t="shared" ca="1" si="14"/>
        <v>-4.6280991735537178</v>
      </c>
      <c r="AC14" s="2"/>
      <c r="AD14" s="2"/>
      <c r="AE14" s="2"/>
      <c r="AF14" s="2"/>
      <c r="AG14" s="2"/>
      <c r="AH14" s="2"/>
      <c r="AI14" s="76">
        <f t="shared" ca="1" si="15"/>
        <v>14.578512396694217</v>
      </c>
      <c r="AJ14" s="2">
        <f t="shared" ca="1" si="16"/>
        <v>2.1157024793388417</v>
      </c>
      <c r="AK14" s="43">
        <f t="shared" ca="1" si="17"/>
        <v>10.12396694214876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9.9499999999999993" customHeight="1" x14ac:dyDescent="0.25">
      <c r="A15" s="2"/>
      <c r="B15" s="76">
        <f t="shared" ca="1" si="1"/>
        <v>4</v>
      </c>
      <c r="C15" s="2">
        <f t="shared" ca="1" si="1"/>
        <v>5</v>
      </c>
      <c r="D15" s="7"/>
      <c r="E15" s="2"/>
      <c r="F15" s="76">
        <f t="shared" ca="1" si="2"/>
        <v>3</v>
      </c>
      <c r="G15" s="2">
        <f t="shared" ca="1" si="2"/>
        <v>4</v>
      </c>
      <c r="H15" s="43">
        <f t="shared" ca="1" si="2"/>
        <v>1</v>
      </c>
      <c r="I15" s="2"/>
      <c r="J15" s="65">
        <f t="shared" ca="1" si="18"/>
        <v>4.1818181818181817</v>
      </c>
      <c r="K15" s="65">
        <f t="shared" ca="1" si="19"/>
        <v>4.4545454545454541</v>
      </c>
      <c r="L15" s="2"/>
      <c r="M15" s="82">
        <f t="shared" ca="1" si="3"/>
        <v>3</v>
      </c>
      <c r="N15" s="50">
        <f t="shared" ca="1" si="4"/>
        <v>4</v>
      </c>
      <c r="O15" s="78">
        <f t="shared" ca="1" si="5"/>
        <v>1</v>
      </c>
      <c r="P15" s="2"/>
      <c r="Q15" s="101">
        <f t="shared" ca="1" si="6"/>
        <v>-1.1818181818181817</v>
      </c>
      <c r="R15" s="50">
        <f t="shared" ca="1" si="7"/>
        <v>-0.45454545454545414</v>
      </c>
      <c r="S15" s="81"/>
      <c r="T15" s="80">
        <f t="shared" ca="1" si="8"/>
        <v>0.53719008264462753</v>
      </c>
      <c r="U15" s="106">
        <f t="shared" ca="1" si="9"/>
        <v>1.3966942148760326</v>
      </c>
      <c r="V15" s="98">
        <f t="shared" ca="1" si="10"/>
        <v>1.3966942148760326</v>
      </c>
      <c r="W15" s="98">
        <f t="shared" ca="1" si="11"/>
        <v>0.20661157024793353</v>
      </c>
      <c r="X15" s="78"/>
      <c r="Y15" s="2"/>
      <c r="Z15" s="77">
        <f t="shared" ca="1" si="12"/>
        <v>0.53719008264462753</v>
      </c>
      <c r="AA15" s="15">
        <f t="shared" ca="1" si="13"/>
        <v>4.5123966942148757</v>
      </c>
      <c r="AB15" s="14">
        <f t="shared" ca="1" si="14"/>
        <v>1.7355371900826431</v>
      </c>
      <c r="AC15" s="2"/>
      <c r="AD15" s="2"/>
      <c r="AE15" s="2"/>
      <c r="AF15" s="2"/>
      <c r="AG15" s="2"/>
      <c r="AH15" s="2"/>
      <c r="AI15" s="76">
        <f t="shared" ca="1" si="15"/>
        <v>1.3966942148760326</v>
      </c>
      <c r="AJ15" s="2">
        <f t="shared" ca="1" si="16"/>
        <v>0.20661157024793353</v>
      </c>
      <c r="AK15" s="43">
        <f t="shared" ca="1" si="17"/>
        <v>14.578512396694217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9.9499999999999993" customHeight="1" x14ac:dyDescent="0.25">
      <c r="A16" s="2"/>
      <c r="B16" s="33">
        <f t="shared" ca="1" si="1"/>
        <v>8</v>
      </c>
      <c r="C16" s="68">
        <f t="shared" ca="1" si="1"/>
        <v>1</v>
      </c>
      <c r="D16" s="4"/>
      <c r="E16" s="2"/>
      <c r="F16" s="33">
        <f t="shared" ca="1" si="2"/>
        <v>2</v>
      </c>
      <c r="G16" s="68">
        <f t="shared" ca="1" si="2"/>
        <v>6</v>
      </c>
      <c r="H16" s="67">
        <f t="shared" ca="1" si="2"/>
        <v>9</v>
      </c>
      <c r="I16" s="2"/>
      <c r="J16" s="65">
        <f t="shared" ca="1" si="18"/>
        <v>4.1818181818181817</v>
      </c>
      <c r="K16" s="65">
        <f t="shared" ca="1" si="19"/>
        <v>4.4545454545454541</v>
      </c>
      <c r="L16" s="2"/>
      <c r="M16" s="75">
        <f t="shared" ca="1" si="3"/>
        <v>2</v>
      </c>
      <c r="N16" s="74">
        <f t="shared" ca="1" si="4"/>
        <v>6</v>
      </c>
      <c r="O16" s="71">
        <f t="shared" ca="1" si="5"/>
        <v>9</v>
      </c>
      <c r="P16" s="2"/>
      <c r="Q16" s="102">
        <f t="shared" ca="1" si="6"/>
        <v>-2.1818181818181817</v>
      </c>
      <c r="R16" s="74">
        <f t="shared" ca="1" si="7"/>
        <v>1.5454545454545459</v>
      </c>
      <c r="S16" s="73"/>
      <c r="T16" s="72">
        <f t="shared" ca="1" si="8"/>
        <v>-3.3719008264462818</v>
      </c>
      <c r="U16" s="107">
        <f t="shared" ca="1" si="9"/>
        <v>4.7603305785123959</v>
      </c>
      <c r="V16" s="99">
        <f t="shared" ca="1" si="10"/>
        <v>4.7603305785123959</v>
      </c>
      <c r="W16" s="99">
        <f t="shared" ca="1" si="11"/>
        <v>2.3884297520661169</v>
      </c>
      <c r="X16" s="71"/>
      <c r="Y16" s="2"/>
      <c r="Z16" s="70">
        <f t="shared" ca="1" si="12"/>
        <v>-3.3719008264462818</v>
      </c>
      <c r="AA16" s="26">
        <f t="shared" ca="1" si="13"/>
        <v>-9.1239669421487601</v>
      </c>
      <c r="AB16" s="69">
        <f t="shared" ca="1" si="14"/>
        <v>6.462809917355373</v>
      </c>
      <c r="AC16" s="2"/>
      <c r="AD16" s="2"/>
      <c r="AE16" s="2"/>
      <c r="AF16" s="2"/>
      <c r="AG16" s="2"/>
      <c r="AH16" s="2"/>
      <c r="AI16" s="33">
        <f t="shared" ca="1" si="15"/>
        <v>4.7603305785123959</v>
      </c>
      <c r="AJ16" s="68">
        <f t="shared" ca="1" si="16"/>
        <v>2.3884297520661169</v>
      </c>
      <c r="AK16" s="67">
        <f t="shared" ca="1" si="17"/>
        <v>17.487603305785122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9.9499999999999993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66"/>
      <c r="K17" s="66" t="s">
        <v>12</v>
      </c>
      <c r="L17" s="66"/>
      <c r="M17" s="65">
        <f ca="1">AVERAGEIF(M6:M16,"&lt;&gt;0",M6:M16)</f>
        <v>4.1818181818181817</v>
      </c>
      <c r="N17" s="65">
        <f ca="1">AVERAGEIF(N6:N16,"&lt;&gt;0",N6:N16)</f>
        <v>4.4545454545454541</v>
      </c>
      <c r="O17" s="65">
        <f ca="1">IF(ISNUMBER(AVERAGEIF(O6:O16,"&lt;&gt;0",O6:O16)),AVERAGEIF(O6:O16,"&lt;&gt;0",O6:O16),"")</f>
        <v>4.8181818181818183</v>
      </c>
      <c r="P17" s="37"/>
      <c r="Q17" s="37"/>
      <c r="R17" s="37"/>
      <c r="S17" s="37"/>
      <c r="T17" s="37"/>
      <c r="U17" s="37"/>
      <c r="V17" s="37"/>
      <c r="W17" s="37"/>
      <c r="X17" s="65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 t="s">
        <v>11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9.9499999999999993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64"/>
      <c r="K18" s="64" t="s">
        <v>10</v>
      </c>
      <c r="L18" s="64"/>
      <c r="M18" s="62">
        <f ca="1">_xlfn.VAR.S(M28:M38)</f>
        <v>4.5636363636363626</v>
      </c>
      <c r="N18" s="62">
        <f ca="1">_xlfn.VAR.S(N28:N38)</f>
        <v>3.0727272727272719</v>
      </c>
      <c r="O18" s="62">
        <f ca="1">IF(ISNUMBER(_xlfn.VAR.S(O28:O38)),_xlfn.VAR.S(O28:O38),"")</f>
        <v>6.5636363636363626</v>
      </c>
      <c r="P18" s="41"/>
      <c r="Q18" s="41"/>
      <c r="R18" s="41"/>
      <c r="S18" s="41"/>
      <c r="T18" s="63">
        <f ca="1">T4/(COUNT(T6:T16)-1)</f>
        <v>-1.8909090909090907</v>
      </c>
      <c r="U18" s="41"/>
      <c r="V18" s="62">
        <f ca="1">SUM(V6:V16)/(COUNT(V6:V16)-1)</f>
        <v>4.5636363636363635</v>
      </c>
      <c r="W18" s="62">
        <f ca="1">SUM(W6:W16)/(COUNT(W6:W16)-1)</f>
        <v>3.0727272727272728</v>
      </c>
      <c r="X18" s="62"/>
      <c r="Y18" s="2"/>
      <c r="Z18" s="61">
        <f ca="1">SUM(Z6:Z16)/(COUNT(Z6:Z16)-1)</f>
        <v>-1.8909090909090907</v>
      </c>
      <c r="AA18" s="61">
        <f ca="1">IF(ISNUMBER(SUM(AA6:AA16)/(COUNT(AA6:AA16)-1)),SUM(AA6:AA16)/(COUNT(AA6:AA16)-1),"")</f>
        <v>1.3363636363636362</v>
      </c>
      <c r="AB18" s="61">
        <f ca="1">IF(ISNUMBER(SUM(AB6:AB16)/(COUNT(AB6:AB16)-1)),SUM(AB6:AB16)/(COUNT(AB6:AB16)-1),"")</f>
        <v>-1.4090909090909094</v>
      </c>
      <c r="AC18" s="2"/>
      <c r="AD18" s="2"/>
      <c r="AE18" s="2"/>
      <c r="AF18" s="2"/>
      <c r="AG18" s="2"/>
      <c r="AH18" s="2"/>
      <c r="AI18" s="60">
        <f ca="1">SUM(AI6:AI16)/(COUNT(AI6:AI16)-1)</f>
        <v>4.5636363636363635</v>
      </c>
      <c r="AJ18" s="60">
        <f ca="1">SUM(AJ6:AJ16)/(COUNT(AJ6:AJ16)-1)</f>
        <v>3.0727272727272728</v>
      </c>
      <c r="AK18" s="60">
        <f ca="1">SUM(AK6:AK16)/(COUNT(AK6:AK16)-1)</f>
        <v>6.5636363636363626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9.9499999999999993" customHeight="1" x14ac:dyDescent="0.25">
      <c r="A19" s="2"/>
      <c r="B19" s="21" t="s">
        <v>9</v>
      </c>
      <c r="C19" s="21"/>
      <c r="D19" s="2"/>
      <c r="E19" s="2"/>
      <c r="F19" s="21" t="s">
        <v>8</v>
      </c>
      <c r="G19" s="21"/>
      <c r="H19" s="2"/>
      <c r="I19" s="2"/>
      <c r="J19" s="59"/>
      <c r="K19" s="59" t="s">
        <v>7</v>
      </c>
      <c r="L19" s="59"/>
      <c r="M19" s="58">
        <f ca="1">_xlfn.VAR.P(M28:M38)</f>
        <v>4.1487603305785123</v>
      </c>
      <c r="N19" s="58">
        <f ca="1">_xlfn.VAR.P(N28:N38)</f>
        <v>2.7933884297520661</v>
      </c>
      <c r="O19" s="58">
        <f ca="1">_xlfn.VAR.P(O28:O38)</f>
        <v>5.9669421487603307</v>
      </c>
      <c r="P19" s="58"/>
      <c r="Q19" s="58"/>
      <c r="R19" s="58"/>
      <c r="S19" s="58"/>
      <c r="T19" s="58"/>
      <c r="U19" s="58"/>
      <c r="V19" s="57">
        <f ca="1">SUM(V6:V16)/COUNT(V6:V16)</f>
        <v>4.1487603305785123</v>
      </c>
      <c r="W19" s="57">
        <f ca="1">SUM(W6:W16)/COUNT(W6:W16)</f>
        <v>2.7933884297520661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3.5" customHeight="1" x14ac:dyDescent="0.25">
      <c r="A20" s="2" t="s">
        <v>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/>
      <c r="N20" s="8"/>
      <c r="O20" s="8"/>
      <c r="P20" s="2"/>
      <c r="Q20" s="2"/>
      <c r="R20" s="2"/>
      <c r="S20" s="2"/>
      <c r="T20" s="2"/>
      <c r="U20" s="2"/>
      <c r="V20" s="55">
        <f ca="1">IF(SQRT(M18*M18) = 0,1,V18/SQRT(M18*M18))</f>
        <v>1.0000000000000002</v>
      </c>
      <c r="W20" s="55">
        <f ca="1">IF(SQRT(N18*N18) = 0,1,W18/SQRT(N18*N18))</f>
        <v>1.0000000000000002</v>
      </c>
      <c r="X20" s="49"/>
      <c r="Y20" s="49"/>
      <c r="Z20" s="129" t="s">
        <v>30</v>
      </c>
      <c r="AA20" s="54"/>
      <c r="AB20" s="54"/>
      <c r="AC20" s="2"/>
      <c r="AD20" s="2"/>
      <c r="AE20" s="56" t="str">
        <f>_xlfn.IFS($B$3=0,B4,$B$3=1,F4,$B$3=2,B19,$B$3=3,F19,$B$3=4,B33)</f>
        <v>Input B</v>
      </c>
      <c r="AF20" s="134" t="s">
        <v>31</v>
      </c>
      <c r="AG20" s="56">
        <f ca="1">_xlfn.IFS($B$3=0,D4,$B$3=1,H4,$B$3=2,B19,$B$3=3,F19,$B$3=4,B33)</f>
        <v>3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21" customHeight="1" x14ac:dyDescent="0.25">
      <c r="A21" s="2" t="s">
        <v>5</v>
      </c>
      <c r="B21" s="20">
        <v>273</v>
      </c>
      <c r="C21" s="19">
        <v>1600</v>
      </c>
      <c r="D21" s="53">
        <v>6</v>
      </c>
      <c r="E21" s="2"/>
      <c r="F21" s="20">
        <v>1</v>
      </c>
      <c r="G21" s="19">
        <v>1</v>
      </c>
      <c r="H21" s="52">
        <v>1</v>
      </c>
      <c r="I21" s="2"/>
      <c r="J21" s="37"/>
      <c r="K21" s="109" t="s">
        <v>5</v>
      </c>
      <c r="L21" s="2"/>
      <c r="M21" s="117" t="str">
        <f t="array" ref="M21:X22">TRANSPOSE(Q5:R16)</f>
        <v>X</v>
      </c>
      <c r="N21" s="51">
        <f ca="1"/>
        <v>2.8181818181818183</v>
      </c>
      <c r="O21" s="51">
        <f ca="1"/>
        <v>-1.1818181818181817</v>
      </c>
      <c r="P21" s="51">
        <f ca="1"/>
        <v>-2.1818181818181817</v>
      </c>
      <c r="Q21" s="51">
        <f ca="1"/>
        <v>-1.1818181818181817</v>
      </c>
      <c r="R21" s="51">
        <f ca="1"/>
        <v>1.8181818181818183</v>
      </c>
      <c r="S21" s="51">
        <f ca="1"/>
        <v>-2.1818181818181817</v>
      </c>
      <c r="T21" s="51">
        <f ca="1"/>
        <v>0.81818181818181834</v>
      </c>
      <c r="U21" s="51">
        <f ca="1"/>
        <v>0.81818181818181834</v>
      </c>
      <c r="V21" s="51">
        <f ca="1"/>
        <v>3.8181818181818183</v>
      </c>
      <c r="W21" s="51">
        <f ca="1"/>
        <v>-1.1818181818181817</v>
      </c>
      <c r="X21" s="51">
        <f ca="1"/>
        <v>-2.1818181818181817</v>
      </c>
      <c r="Y21" s="2"/>
      <c r="Z21" s="111">
        <f ca="1">IF(SQRT(M18*N18)=0,1,T18/SQRT(M18*N18))</f>
        <v>-0.5049555224782426</v>
      </c>
      <c r="AA21" s="49" t="s">
        <v>6</v>
      </c>
      <c r="AB21" s="49" t="s">
        <v>6</v>
      </c>
      <c r="AC21" s="2"/>
      <c r="AD21" s="2"/>
      <c r="AE21" s="133" t="str">
        <f>M5</f>
        <v>x</v>
      </c>
      <c r="AF21" s="133" t="str">
        <f>N5</f>
        <v>y</v>
      </c>
      <c r="AG21" s="133" t="str">
        <f>O5</f>
        <v>z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21" customHeight="1" thickBot="1" x14ac:dyDescent="0.3">
      <c r="A22" s="2"/>
      <c r="B22" s="15">
        <v>285</v>
      </c>
      <c r="C22" s="3">
        <v>1670</v>
      </c>
      <c r="D22" s="7">
        <v>4</v>
      </c>
      <c r="E22" s="2"/>
      <c r="F22" s="15">
        <v>1</v>
      </c>
      <c r="G22" s="3">
        <v>2</v>
      </c>
      <c r="H22" s="43">
        <v>1</v>
      </c>
      <c r="I22" s="2"/>
      <c r="J22" s="37"/>
      <c r="K22" s="109" t="s">
        <v>5</v>
      </c>
      <c r="L22" s="2"/>
      <c r="M22" s="108" t="str">
        <v>y</v>
      </c>
      <c r="N22" s="50">
        <f ca="1"/>
        <v>-0.45454545454545414</v>
      </c>
      <c r="O22" s="50">
        <f ca="1"/>
        <v>-3.4545454545454541</v>
      </c>
      <c r="P22" s="50">
        <f ca="1"/>
        <v>2.5454545454545459</v>
      </c>
      <c r="Q22" s="50">
        <f ca="1"/>
        <v>1.5454545454545459</v>
      </c>
      <c r="R22" s="50">
        <f ca="1"/>
        <v>-1.4545454545454541</v>
      </c>
      <c r="S22" s="50">
        <f ca="1"/>
        <v>1.5454545454545459</v>
      </c>
      <c r="T22" s="50">
        <f ca="1"/>
        <v>0.54545454545454586</v>
      </c>
      <c r="U22" s="50">
        <f ca="1"/>
        <v>-0.45454545454545414</v>
      </c>
      <c r="V22" s="50">
        <f ca="1"/>
        <v>-1.4545454545454541</v>
      </c>
      <c r="W22" s="50">
        <f ca="1"/>
        <v>-0.45454545454545414</v>
      </c>
      <c r="X22" s="50">
        <f ca="1"/>
        <v>1.5454545454545459</v>
      </c>
      <c r="Y22" s="2"/>
      <c r="Z22" s="49" t="str">
        <f>Z3</f>
        <v>xy</v>
      </c>
      <c r="AA22" s="49" t="str">
        <f>AA3</f>
        <v>xz</v>
      </c>
      <c r="AB22" s="49" t="str">
        <f>AB3</f>
        <v>yz</v>
      </c>
      <c r="AC22" s="2"/>
      <c r="AD22" s="133" t="str">
        <f t="array" ref="AD22:AD24">TRANSPOSE(AE21:AG21)</f>
        <v>x</v>
      </c>
      <c r="AE22" s="38">
        <f ca="1">INDEX($AI$18:$AK$18,1,AE10)</f>
        <v>4.5636363636363635</v>
      </c>
      <c r="AF22" s="48">
        <f ca="1">INDEX($Z$18:$AB$18,1,AF10)</f>
        <v>-1.8909090909090907</v>
      </c>
      <c r="AG22" s="47">
        <f ca="1">IF(AG20&lt;3,"",INDEX($Z$18:$AB$18,1,AG10))</f>
        <v>1.3363636363636362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21" customHeight="1" thickBot="1" x14ac:dyDescent="0.3">
      <c r="A23" s="2"/>
      <c r="B23" s="15">
        <v>297</v>
      </c>
      <c r="C23" s="3">
        <v>1730</v>
      </c>
      <c r="D23" s="7">
        <v>2</v>
      </c>
      <c r="E23" s="2"/>
      <c r="F23" s="15">
        <v>1</v>
      </c>
      <c r="G23" s="3">
        <v>3</v>
      </c>
      <c r="H23" s="43">
        <v>2</v>
      </c>
      <c r="I23" s="2"/>
      <c r="J23" s="37"/>
      <c r="K23" s="4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33" t="str">
        <v>y</v>
      </c>
      <c r="AE23" s="45">
        <f ca="1">INDEX($Z$18:$AB$18,1,AE11)</f>
        <v>-1.8909090909090907</v>
      </c>
      <c r="AF23" s="38">
        <f ca="1">INDEX($AI$18:$AK$18,1,AF11)</f>
        <v>3.0727272727272728</v>
      </c>
      <c r="AG23" s="44">
        <f ca="1">IF(AG20&lt;3,"",INDEX($Z$18:$AB$18,1,AG11))</f>
        <v>-1.4090909090909094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21" customHeight="1" thickBot="1" x14ac:dyDescent="0.3">
      <c r="A24" s="2"/>
      <c r="B24" s="15">
        <v>309</v>
      </c>
      <c r="C24" s="3">
        <v>1830</v>
      </c>
      <c r="D24" s="7">
        <v>5</v>
      </c>
      <c r="E24" s="2"/>
      <c r="F24" s="15">
        <v>1</v>
      </c>
      <c r="G24" s="3">
        <v>4</v>
      </c>
      <c r="H24" s="43">
        <v>3</v>
      </c>
      <c r="I24" s="2"/>
      <c r="J24" s="37"/>
      <c r="K24" s="36" t="s">
        <v>4</v>
      </c>
      <c r="L24" s="42"/>
      <c r="M24" s="118" t="str">
        <f>V5</f>
        <v>VAR</v>
      </c>
      <c r="N24" s="41">
        <f t="array" aca="1" ref="N24:X24" ca="1">MMULT(Q6:Q16,N21:X21)</f>
        <v>7.9421487603305794</v>
      </c>
      <c r="O24" s="41">
        <f ca="1"/>
        <v>-3.330578512396694</v>
      </c>
      <c r="P24" s="41">
        <f ca="1"/>
        <v>-6.1487603305785123</v>
      </c>
      <c r="Q24" s="41">
        <f ca="1"/>
        <v>-3.330578512396694</v>
      </c>
      <c r="R24" s="41">
        <f ca="1"/>
        <v>5.123966942148761</v>
      </c>
      <c r="S24" s="41">
        <f ca="1"/>
        <v>-6.1487603305785123</v>
      </c>
      <c r="T24" s="41">
        <f ca="1"/>
        <v>2.3057851239669427</v>
      </c>
      <c r="U24" s="41">
        <f ca="1"/>
        <v>2.3057851239669427</v>
      </c>
      <c r="V24" s="41">
        <f ca="1"/>
        <v>10.760330578512399</v>
      </c>
      <c r="W24" s="41">
        <f ca="1"/>
        <v>-3.330578512396694</v>
      </c>
      <c r="X24" s="41">
        <f ca="1"/>
        <v>-6.1487603305785123</v>
      </c>
      <c r="Y24" s="2"/>
      <c r="Z24" s="112" t="s">
        <v>26</v>
      </c>
      <c r="AA24" s="1"/>
      <c r="AB24" s="2"/>
      <c r="AC24" s="2"/>
      <c r="AD24" s="133" t="str">
        <v>z</v>
      </c>
      <c r="AE24" s="40">
        <f ca="1">IF(AG20&lt;3,"",INDEX($Z$18:$AB$18,1,AE12))</f>
        <v>1.3363636363636362</v>
      </c>
      <c r="AF24" s="39">
        <f ca="1">IF(AG20&lt;3,"",INDEX($Z$18:$AB$18,1,AF12))</f>
        <v>-1.4090909090909094</v>
      </c>
      <c r="AG24" s="38">
        <f ca="1">IF(AG20&lt;3,"",INDEX($AI$18:$AK$18,1,AG12))</f>
        <v>6.5636363636363626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21" customHeight="1" x14ac:dyDescent="0.25">
      <c r="A25" s="2"/>
      <c r="B25" s="15">
        <v>321</v>
      </c>
      <c r="C25" s="3">
        <v>1880</v>
      </c>
      <c r="D25" s="7">
        <v>7</v>
      </c>
      <c r="E25" s="2"/>
      <c r="F25" s="29"/>
      <c r="G25" s="28"/>
      <c r="H25" s="27"/>
      <c r="I25" s="2"/>
      <c r="J25" s="37"/>
      <c r="K25" s="36" t="s">
        <v>4</v>
      </c>
      <c r="L25" s="2"/>
      <c r="M25" s="110" t="str">
        <f>T5</f>
        <v>COV</v>
      </c>
      <c r="N25" s="35">
        <f t="array" aca="1" ref="N25:X25" ca="1">MMULT(Q6:Q16,N22:X22)</f>
        <v>-1.2809917355371889</v>
      </c>
      <c r="O25" s="35">
        <f ca="1"/>
        <v>-9.7355371900826437</v>
      </c>
      <c r="P25" s="35">
        <f ca="1"/>
        <v>7.1735537190082663</v>
      </c>
      <c r="Q25" s="35">
        <f ca="1"/>
        <v>4.355371900826448</v>
      </c>
      <c r="R25" s="35">
        <f ca="1"/>
        <v>-4.099173553719007</v>
      </c>
      <c r="S25" s="35">
        <f ca="1"/>
        <v>4.355371900826448</v>
      </c>
      <c r="T25" s="35">
        <f ca="1"/>
        <v>1.5371900826446294</v>
      </c>
      <c r="U25" s="35">
        <f ca="1"/>
        <v>-1.2809917355371889</v>
      </c>
      <c r="V25" s="35">
        <f ca="1"/>
        <v>-4.099173553719007</v>
      </c>
      <c r="W25" s="35">
        <f ca="1"/>
        <v>-1.2809917355371889</v>
      </c>
      <c r="X25" s="35">
        <f ca="1"/>
        <v>4.355371900826448</v>
      </c>
      <c r="Y25" s="2"/>
      <c r="Z25" s="113" t="s">
        <v>27</v>
      </c>
      <c r="AA25" s="1"/>
      <c r="AB25" s="2"/>
      <c r="AC25" s="2"/>
      <c r="AD25" s="34"/>
      <c r="AE25" s="130"/>
      <c r="AF25" s="131"/>
      <c r="AG25" s="132" t="s">
        <v>3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3.5" customHeight="1" x14ac:dyDescent="0.25">
      <c r="A26" s="2"/>
      <c r="B26" s="15">
        <v>333</v>
      </c>
      <c r="C26" s="3">
        <v>1920</v>
      </c>
      <c r="D26" s="7">
        <v>7</v>
      </c>
      <c r="E26" s="2"/>
      <c r="F26" s="29"/>
      <c r="G26" s="28"/>
      <c r="H26" s="2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3.5" customHeight="1" x14ac:dyDescent="0.25">
      <c r="A27" s="2"/>
      <c r="B27" s="15">
        <v>345</v>
      </c>
      <c r="C27" s="3">
        <v>2000</v>
      </c>
      <c r="D27" s="7">
        <v>4</v>
      </c>
      <c r="E27" s="2"/>
      <c r="F27" s="29"/>
      <c r="G27" s="28"/>
      <c r="H27" s="2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3.5" customHeight="1" x14ac:dyDescent="0.25">
      <c r="A28" s="2"/>
      <c r="B28" s="15">
        <v>357</v>
      </c>
      <c r="C28" s="3">
        <v>2100</v>
      </c>
      <c r="D28" s="7">
        <v>7</v>
      </c>
      <c r="E28" s="2"/>
      <c r="F28" s="29"/>
      <c r="G28" s="28"/>
      <c r="H28" s="27"/>
      <c r="I28" s="2"/>
      <c r="J28" s="13">
        <v>1</v>
      </c>
      <c r="K28" s="13">
        <v>1</v>
      </c>
      <c r="L28" s="2"/>
      <c r="M28" s="32">
        <f t="shared" ref="M28:O38" ca="1" si="20">IF(M6=0,"",M6)</f>
        <v>7</v>
      </c>
      <c r="N28" s="31">
        <f t="shared" ca="1" si="20"/>
        <v>4</v>
      </c>
      <c r="O28" s="30">
        <f t="shared" ca="1" si="20"/>
        <v>6</v>
      </c>
      <c r="P28" s="13"/>
      <c r="Q28" s="32">
        <f t="shared" ref="Q28:Q38" ca="1" si="21">IF(M6=0,"",M6-M$17)</f>
        <v>2.8181818181818183</v>
      </c>
      <c r="R28" s="31">
        <f t="shared" ref="R28:R38" ca="1" si="22">IF(N6=0,"",N6-N$17)</f>
        <v>-0.45454545454545414</v>
      </c>
      <c r="S28" s="30">
        <f t="shared" ref="S28:S38" ca="1" si="23">IF(O6=0,"",O6-O$17)</f>
        <v>1.1818181818181817</v>
      </c>
      <c r="T28" s="32">
        <f t="shared" ref="T28:T38" ca="1" si="24">IF(M6=0,"",Q6*R6)</f>
        <v>-1.2809917355371889</v>
      </c>
      <c r="U28" s="31">
        <f t="shared" ref="U28:U38" ca="1" si="25">IF(M6=0,"",Q6*Q6)</f>
        <v>7.9421487603305794</v>
      </c>
      <c r="V28" s="30">
        <f t="shared" ref="V28:V38" ca="1" si="26">IF(M6=0,"",(M6-M$17)^2)</f>
        <v>7.9421487603305794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3.5" customHeight="1" x14ac:dyDescent="0.25">
      <c r="A29" s="2"/>
      <c r="B29" s="15">
        <v>369</v>
      </c>
      <c r="C29" s="3">
        <v>2170</v>
      </c>
      <c r="D29" s="7">
        <v>5</v>
      </c>
      <c r="E29" s="2"/>
      <c r="F29" s="29"/>
      <c r="G29" s="28"/>
      <c r="H29" s="27"/>
      <c r="I29" s="2"/>
      <c r="J29" s="13">
        <f>J28+1</f>
        <v>2</v>
      </c>
      <c r="K29" s="13">
        <v>1</v>
      </c>
      <c r="L29" s="2"/>
      <c r="M29" s="17">
        <f t="shared" ca="1" si="20"/>
        <v>3</v>
      </c>
      <c r="N29" s="13">
        <f t="shared" ca="1" si="20"/>
        <v>1</v>
      </c>
      <c r="O29" s="16">
        <f t="shared" ca="1" si="20"/>
        <v>7</v>
      </c>
      <c r="P29" s="13"/>
      <c r="Q29" s="17">
        <f t="shared" ca="1" si="21"/>
        <v>-1.1818181818181817</v>
      </c>
      <c r="R29" s="13">
        <f t="shared" ca="1" si="22"/>
        <v>-3.4545454545454541</v>
      </c>
      <c r="S29" s="16">
        <f t="shared" ca="1" si="23"/>
        <v>2.1818181818181817</v>
      </c>
      <c r="T29" s="17">
        <f t="shared" ca="1" si="24"/>
        <v>4.0826446280991728</v>
      </c>
      <c r="U29" s="13">
        <f t="shared" ca="1" si="25"/>
        <v>1.3966942148760326</v>
      </c>
      <c r="V29" s="16">
        <f t="shared" ca="1" si="26"/>
        <v>1.3966942148760326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3.5" customHeight="1" x14ac:dyDescent="0.25">
      <c r="A30" s="2"/>
      <c r="B30" s="15">
        <v>381</v>
      </c>
      <c r="C30" s="3">
        <v>2200</v>
      </c>
      <c r="D30" s="7">
        <v>3</v>
      </c>
      <c r="E30" s="2"/>
      <c r="F30" s="29"/>
      <c r="G30" s="28"/>
      <c r="H30" s="27"/>
      <c r="I30" s="2"/>
      <c r="J30" s="13">
        <f t="shared" ref="J30:J38" si="27">J29+1</f>
        <v>3</v>
      </c>
      <c r="K30" s="13">
        <v>1</v>
      </c>
      <c r="L30" s="2"/>
      <c r="M30" s="17">
        <f t="shared" ca="1" si="20"/>
        <v>2</v>
      </c>
      <c r="N30" s="13">
        <f t="shared" ca="1" si="20"/>
        <v>7</v>
      </c>
      <c r="O30" s="16">
        <f t="shared" ca="1" si="20"/>
        <v>3</v>
      </c>
      <c r="P30" s="13"/>
      <c r="Q30" s="17">
        <f t="shared" ca="1" si="21"/>
        <v>-2.1818181818181817</v>
      </c>
      <c r="R30" s="13">
        <f t="shared" ca="1" si="22"/>
        <v>2.5454545454545459</v>
      </c>
      <c r="S30" s="16">
        <f t="shared" ca="1" si="23"/>
        <v>-1.8181818181818183</v>
      </c>
      <c r="T30" s="17">
        <f t="shared" ca="1" si="24"/>
        <v>-5.553719008264463</v>
      </c>
      <c r="U30" s="13">
        <f t="shared" ca="1" si="25"/>
        <v>4.7603305785123959</v>
      </c>
      <c r="V30" s="16">
        <f t="shared" ca="1" si="26"/>
        <v>4.7603305785123959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3.5" customHeight="1" x14ac:dyDescent="0.25">
      <c r="A31" s="2"/>
      <c r="B31" s="26">
        <v>327</v>
      </c>
      <c r="C31" s="25">
        <v>1910</v>
      </c>
      <c r="D31" s="4">
        <v>1</v>
      </c>
      <c r="E31" s="2"/>
      <c r="F31" s="24"/>
      <c r="G31" s="23"/>
      <c r="H31" s="22"/>
      <c r="I31" s="2"/>
      <c r="J31" s="13">
        <f t="shared" si="27"/>
        <v>4</v>
      </c>
      <c r="K31" s="13">
        <v>1</v>
      </c>
      <c r="L31" s="2"/>
      <c r="M31" s="17">
        <f t="shared" ca="1" si="20"/>
        <v>3</v>
      </c>
      <c r="N31" s="13">
        <f t="shared" ca="1" si="20"/>
        <v>6</v>
      </c>
      <c r="O31" s="16">
        <f t="shared" ca="1" si="20"/>
        <v>3</v>
      </c>
      <c r="P31" s="13"/>
      <c r="Q31" s="17">
        <f t="shared" ca="1" si="21"/>
        <v>-1.1818181818181817</v>
      </c>
      <c r="R31" s="13">
        <f t="shared" ca="1" si="22"/>
        <v>1.5454545454545459</v>
      </c>
      <c r="S31" s="16">
        <f t="shared" ca="1" si="23"/>
        <v>-1.8181818181818183</v>
      </c>
      <c r="T31" s="17">
        <f t="shared" ca="1" si="24"/>
        <v>-1.8264462809917357</v>
      </c>
      <c r="U31" s="13">
        <f t="shared" ca="1" si="25"/>
        <v>1.3966942148760326</v>
      </c>
      <c r="V31" s="16">
        <f t="shared" ca="1" si="26"/>
        <v>1.3966942148760326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13">
        <f t="shared" si="27"/>
        <v>5</v>
      </c>
      <c r="K32" s="13">
        <v>1</v>
      </c>
      <c r="L32" s="2"/>
      <c r="M32" s="17">
        <f t="shared" ca="1" si="20"/>
        <v>6</v>
      </c>
      <c r="N32" s="13">
        <f t="shared" ca="1" si="20"/>
        <v>3</v>
      </c>
      <c r="O32" s="16">
        <f t="shared" ca="1" si="20"/>
        <v>4</v>
      </c>
      <c r="P32" s="13"/>
      <c r="Q32" s="17">
        <f t="shared" ca="1" si="21"/>
        <v>1.8181818181818183</v>
      </c>
      <c r="R32" s="13">
        <f t="shared" ca="1" si="22"/>
        <v>-1.4545454545454541</v>
      </c>
      <c r="S32" s="16">
        <f t="shared" ca="1" si="23"/>
        <v>-0.81818181818181834</v>
      </c>
      <c r="T32" s="17">
        <f t="shared" ca="1" si="24"/>
        <v>-2.6446280991735533</v>
      </c>
      <c r="U32" s="13">
        <f t="shared" ca="1" si="25"/>
        <v>3.3057851239669427</v>
      </c>
      <c r="V32" s="16">
        <f t="shared" ca="1" si="26"/>
        <v>3.3057851239669427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3.5" customHeight="1" x14ac:dyDescent="0.25">
      <c r="A33" s="2"/>
      <c r="B33" s="21" t="s">
        <v>2</v>
      </c>
      <c r="C33" s="21"/>
      <c r="D33" s="2"/>
      <c r="E33" s="2"/>
      <c r="F33" s="2"/>
      <c r="G33" s="2"/>
      <c r="H33" s="2"/>
      <c r="I33" s="2"/>
      <c r="J33" s="13">
        <f t="shared" si="27"/>
        <v>6</v>
      </c>
      <c r="K33" s="13">
        <v>1</v>
      </c>
      <c r="L33" s="2"/>
      <c r="M33" s="17">
        <f t="shared" ca="1" si="20"/>
        <v>2</v>
      </c>
      <c r="N33" s="13">
        <f t="shared" ca="1" si="20"/>
        <v>6</v>
      </c>
      <c r="O33" s="16">
        <f t="shared" ca="1" si="20"/>
        <v>4</v>
      </c>
      <c r="P33" s="13"/>
      <c r="Q33" s="17">
        <f t="shared" ca="1" si="21"/>
        <v>-2.1818181818181817</v>
      </c>
      <c r="R33" s="13">
        <f t="shared" ca="1" si="22"/>
        <v>1.5454545454545459</v>
      </c>
      <c r="S33" s="16">
        <f t="shared" ca="1" si="23"/>
        <v>-0.81818181818181834</v>
      </c>
      <c r="T33" s="17">
        <f t="shared" ca="1" si="24"/>
        <v>-3.3719008264462818</v>
      </c>
      <c r="U33" s="13">
        <f t="shared" ca="1" si="25"/>
        <v>4.7603305785123959</v>
      </c>
      <c r="V33" s="16">
        <f t="shared" ca="1" si="26"/>
        <v>4.7603305785123959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13">
        <f t="shared" si="27"/>
        <v>7</v>
      </c>
      <c r="K34" s="13">
        <v>1</v>
      </c>
      <c r="L34" s="2"/>
      <c r="M34" s="17">
        <f t="shared" ca="1" si="20"/>
        <v>5</v>
      </c>
      <c r="N34" s="13">
        <f t="shared" ca="1" si="20"/>
        <v>5</v>
      </c>
      <c r="O34" s="16">
        <f t="shared" ca="1" si="20"/>
        <v>2</v>
      </c>
      <c r="P34" s="13"/>
      <c r="Q34" s="17">
        <f t="shared" ca="1" si="21"/>
        <v>0.81818181818181834</v>
      </c>
      <c r="R34" s="13">
        <f t="shared" ca="1" si="22"/>
        <v>0.54545454545454586</v>
      </c>
      <c r="S34" s="16">
        <f t="shared" ca="1" si="23"/>
        <v>-2.8181818181818183</v>
      </c>
      <c r="T34" s="17">
        <f t="shared" ca="1" si="24"/>
        <v>0.44628099173553759</v>
      </c>
      <c r="U34" s="13">
        <f t="shared" ca="1" si="25"/>
        <v>0.669421487603306</v>
      </c>
      <c r="V34" s="16">
        <f t="shared" ca="1" si="26"/>
        <v>0.669421487603306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3.5" customHeight="1" x14ac:dyDescent="0.25">
      <c r="A35" s="2"/>
      <c r="B35" s="20">
        <v>1</v>
      </c>
      <c r="C35" s="19">
        <v>4</v>
      </c>
      <c r="D35" s="18">
        <v>7</v>
      </c>
      <c r="E35" s="2"/>
      <c r="F35" s="2"/>
      <c r="G35" s="2"/>
      <c r="H35" s="2"/>
      <c r="I35" s="2"/>
      <c r="J35" s="13">
        <f t="shared" si="27"/>
        <v>8</v>
      </c>
      <c r="K35" s="13">
        <v>1</v>
      </c>
      <c r="L35" s="2"/>
      <c r="M35" s="17">
        <f t="shared" ca="1" si="20"/>
        <v>5</v>
      </c>
      <c r="N35" s="13">
        <f t="shared" ca="1" si="20"/>
        <v>4</v>
      </c>
      <c r="O35" s="16">
        <f t="shared" ca="1" si="20"/>
        <v>6</v>
      </c>
      <c r="P35" s="13"/>
      <c r="Q35" s="17">
        <f t="shared" ca="1" si="21"/>
        <v>0.81818181818181834</v>
      </c>
      <c r="R35" s="13">
        <f t="shared" ca="1" si="22"/>
        <v>-0.45454545454545414</v>
      </c>
      <c r="S35" s="16">
        <f t="shared" ca="1" si="23"/>
        <v>1.1818181818181817</v>
      </c>
      <c r="T35" s="17">
        <f t="shared" ca="1" si="24"/>
        <v>-0.37190082644628075</v>
      </c>
      <c r="U35" s="13">
        <f t="shared" ca="1" si="25"/>
        <v>0.669421487603306</v>
      </c>
      <c r="V35" s="16">
        <f t="shared" ca="1" si="26"/>
        <v>0.669421487603306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3.5" customHeight="1" x14ac:dyDescent="0.25">
      <c r="A36" s="2"/>
      <c r="B36" s="15">
        <v>2</v>
      </c>
      <c r="C36" s="3">
        <v>5</v>
      </c>
      <c r="D36" s="14">
        <v>8</v>
      </c>
      <c r="E36" s="2"/>
      <c r="F36" s="2"/>
      <c r="G36" s="2"/>
      <c r="H36" s="2"/>
      <c r="I36" s="2"/>
      <c r="J36" s="13">
        <f t="shared" si="27"/>
        <v>9</v>
      </c>
      <c r="K36" s="13">
        <v>1</v>
      </c>
      <c r="L36" s="2"/>
      <c r="M36" s="17">
        <f t="shared" ca="1" si="20"/>
        <v>8</v>
      </c>
      <c r="N36" s="13">
        <f t="shared" ca="1" si="20"/>
        <v>3</v>
      </c>
      <c r="O36" s="16">
        <f t="shared" ca="1" si="20"/>
        <v>8</v>
      </c>
      <c r="P36" s="13"/>
      <c r="Q36" s="17">
        <f t="shared" ca="1" si="21"/>
        <v>3.8181818181818183</v>
      </c>
      <c r="R36" s="13">
        <f t="shared" ca="1" si="22"/>
        <v>-1.4545454545454541</v>
      </c>
      <c r="S36" s="16">
        <f t="shared" ca="1" si="23"/>
        <v>3.1818181818181817</v>
      </c>
      <c r="T36" s="17">
        <f t="shared" ca="1" si="24"/>
        <v>-5.5537190082644612</v>
      </c>
      <c r="U36" s="13">
        <f t="shared" ca="1" si="25"/>
        <v>14.578512396694217</v>
      </c>
      <c r="V36" s="16">
        <f t="shared" ca="1" si="26"/>
        <v>14.578512396694217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3.5" customHeight="1" x14ac:dyDescent="0.25">
      <c r="A37" s="2"/>
      <c r="B37" s="15">
        <v>3</v>
      </c>
      <c r="C37" s="3">
        <v>6</v>
      </c>
      <c r="D37" s="14">
        <v>9</v>
      </c>
      <c r="E37" s="2"/>
      <c r="F37" s="2"/>
      <c r="G37" s="2"/>
      <c r="H37" s="2"/>
      <c r="I37" s="2"/>
      <c r="J37" s="13">
        <f t="shared" si="27"/>
        <v>10</v>
      </c>
      <c r="K37" s="13">
        <v>1</v>
      </c>
      <c r="L37" s="2"/>
      <c r="M37" s="17">
        <f t="shared" ca="1" si="20"/>
        <v>3</v>
      </c>
      <c r="N37" s="13">
        <f t="shared" ca="1" si="20"/>
        <v>4</v>
      </c>
      <c r="O37" s="16">
        <f t="shared" ca="1" si="20"/>
        <v>1</v>
      </c>
      <c r="P37" s="13"/>
      <c r="Q37" s="17">
        <f t="shared" ca="1" si="21"/>
        <v>-1.1818181818181817</v>
      </c>
      <c r="R37" s="13">
        <f t="shared" ca="1" si="22"/>
        <v>-0.45454545454545414</v>
      </c>
      <c r="S37" s="16">
        <f t="shared" ca="1" si="23"/>
        <v>-3.8181818181818183</v>
      </c>
      <c r="T37" s="17">
        <f t="shared" ca="1" si="24"/>
        <v>0.53719008264462753</v>
      </c>
      <c r="U37" s="13">
        <f t="shared" ca="1" si="25"/>
        <v>1.3966942148760326</v>
      </c>
      <c r="V37" s="16">
        <f t="shared" ca="1" si="26"/>
        <v>1.3966942148760326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3.5" customHeight="1" x14ac:dyDescent="0.25">
      <c r="A38" s="2"/>
      <c r="B38" s="15">
        <v>4</v>
      </c>
      <c r="C38" s="3">
        <v>5</v>
      </c>
      <c r="D38" s="14">
        <v>6</v>
      </c>
      <c r="E38" s="2"/>
      <c r="F38" s="2"/>
      <c r="G38" s="2"/>
      <c r="H38" s="2"/>
      <c r="I38" s="2"/>
      <c r="J38" s="13">
        <f t="shared" si="27"/>
        <v>11</v>
      </c>
      <c r="K38" s="13">
        <v>1</v>
      </c>
      <c r="L38" s="2"/>
      <c r="M38" s="12">
        <f t="shared" ca="1" si="20"/>
        <v>2</v>
      </c>
      <c r="N38" s="11">
        <f t="shared" ca="1" si="20"/>
        <v>6</v>
      </c>
      <c r="O38" s="10">
        <f t="shared" ca="1" si="20"/>
        <v>9</v>
      </c>
      <c r="P38" s="13"/>
      <c r="Q38" s="12">
        <f t="shared" ca="1" si="21"/>
        <v>-2.1818181818181817</v>
      </c>
      <c r="R38" s="11">
        <f t="shared" ca="1" si="22"/>
        <v>1.5454545454545459</v>
      </c>
      <c r="S38" s="10">
        <f t="shared" ca="1" si="23"/>
        <v>4.1818181818181817</v>
      </c>
      <c r="T38" s="12">
        <f t="shared" ca="1" si="24"/>
        <v>-3.3719008264462818</v>
      </c>
      <c r="U38" s="11">
        <f t="shared" ca="1" si="25"/>
        <v>4.7603305785123959</v>
      </c>
      <c r="V38" s="10">
        <f t="shared" ca="1" si="26"/>
        <v>4.7603305785123959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3.5" customHeight="1" x14ac:dyDescent="0.25">
      <c r="A39" s="2"/>
      <c r="B39" s="9"/>
      <c r="C39" s="8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3.5" customHeight="1" x14ac:dyDescent="0.25">
      <c r="A40" s="2"/>
      <c r="B40" s="9"/>
      <c r="C40" s="8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3.5" customHeight="1" x14ac:dyDescent="0.25">
      <c r="A41" s="2"/>
      <c r="B41" s="9"/>
      <c r="C41" s="8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3.5" customHeight="1" x14ac:dyDescent="0.25">
      <c r="A42" s="2"/>
      <c r="B42" s="9"/>
      <c r="C42" s="8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3.5" customHeight="1" x14ac:dyDescent="0.25">
      <c r="A43" s="2"/>
      <c r="B43" s="9"/>
      <c r="C43" s="8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3.5" customHeight="1" x14ac:dyDescent="0.25">
      <c r="A44" s="2"/>
      <c r="B44" s="9"/>
      <c r="C44" s="8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3.5" customHeight="1" x14ac:dyDescent="0.25">
      <c r="A45" s="2"/>
      <c r="B45" s="6"/>
      <c r="C45" s="5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</sheetData>
  <conditionalFormatting sqref="M6:O16">
    <cfRule type="cellIs" dxfId="1" priority="6" operator="equal">
      <formula>0</formula>
    </cfRule>
  </conditionalFormatting>
  <conditionalFormatting sqref="P6:P1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{FD107C99-8825-42AE-980E-005DFFCB9B47}</x14:id>
        </ext>
      </extLst>
    </cfRule>
  </conditionalFormatting>
  <conditionalFormatting sqref="T6:T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{550109B6-0263-45FF-AECD-E8FC3C870ADD}</x14:id>
        </ext>
      </extLst>
    </cfRule>
  </conditionalFormatting>
  <conditionalFormatting sqref="X6:X16">
    <cfRule type="cellIs" dxfId="0" priority="5" operator="equal">
      <formula>0</formula>
    </cfRule>
  </conditionalFormatting>
  <conditionalFormatting sqref="AE22:AG24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{87110565-7B0D-4D63-A306-336AA32DCCE6}</x14:id>
        </ext>
      </extLst>
    </cfRule>
  </conditionalFormatting>
  <conditionalFormatting sqref="AF23 AE22 AG24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{A8307FC7-CB04-412A-85F7-F387FFFA9C2B}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107C99-8825-42AE-980E-005DFFCB9B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P6:P16</xm:sqref>
        </x14:conditionalFormatting>
        <x14:conditionalFormatting xmlns:xm="http://schemas.microsoft.com/office/excel/2006/main">
          <x14:cfRule type="dataBar" id="{550109B6-0263-45FF-AECD-E8FC3C870A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T6:T16</xm:sqref>
        </x14:conditionalFormatting>
        <x14:conditionalFormatting xmlns:xm="http://schemas.microsoft.com/office/excel/2006/main">
          <x14:cfRule type="dataBar" id="{87110565-7B0D-4D63-A306-336AA32DCC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AE22:AG24</xm:sqref>
        </x14:conditionalFormatting>
        <x14:conditionalFormatting xmlns:xm="http://schemas.microsoft.com/office/excel/2006/main">
          <x14:cfRule type="dataBar" id="{A8307FC7-CB04-412A-85F7-F387FFFA9C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AF23 AE22 AG24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2023-07-31T13:40:00Z</dcterms:created>
  <dcterms:modified xsi:type="dcterms:W3CDTF">2025-09-11T17:34:50Z</dcterms:modified>
</cp:coreProperties>
</file>