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 Distress Call" sheetId="1" state="visible" r:id="rId3"/>
    <sheet name="2 Distress Call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<sst xmlns="http://schemas.openxmlformats.org/spreadsheetml/2006/main" count="122" uniqueCount="62">
  <si>
    <t xml:space="preserve">The time column contains the time difference to now (or some other fixed time) to the following events: </t>
  </si>
  <si>
    <t xml:space="preserve">Input</t>
  </si>
  <si>
    <t xml:space="preserve">Latitude (North)</t>
  </si>
  <si>
    <t xml:space="preserve">Longitude (East)</t>
  </si>
  <si>
    <t xml:space="preserve">Time</t>
  </si>
  <si>
    <t xml:space="preserve">Speed</t>
  </si>
  <si>
    <t xml:space="preserve">Bearing</t>
  </si>
  <si>
    <t xml:space="preserve">Degrees</t>
  </si>
  <si>
    <t xml:space="preserve">Minutes</t>
  </si>
  <si>
    <t xml:space="preserve">Seconds</t>
  </si>
  <si>
    <t xml:space="preserve">(Minutes)</t>
  </si>
  <si>
    <t xml:space="preserve">(kn)</t>
  </si>
  <si>
    <t xml:space="preserve">(degree)</t>
  </si>
  <si>
    <t xml:space="preserve">Boat</t>
  </si>
  <si>
    <t xml:space="preserve">Start of travel with new bearing</t>
  </si>
  <si>
    <t xml:space="preserve">D. Call</t>
  </si>
  <si>
    <t xml:space="preserve">Time of distress call</t>
  </si>
  <si>
    <t xml:space="preserve">Output</t>
  </si>
  <si>
    <t xml:space="preserve">Rendezvous</t>
  </si>
  <si>
    <t xml:space="preserve">Time of arrival at the rendezvous point</t>
  </si>
  <si>
    <t xml:space="preserve">Distance (NM)</t>
  </si>
  <si>
    <t xml:space="preserve">Calculations (Do not touch!)</t>
  </si>
  <si>
    <t xml:space="preserve">Latitude</t>
  </si>
  <si>
    <t xml:space="preserve">Longitude</t>
  </si>
  <si>
    <t xml:space="preserve">Vel. (km/min)</t>
  </si>
  <si>
    <t xml:space="preserve">x</t>
  </si>
  <si>
    <t xml:space="preserve">y</t>
  </si>
  <si>
    <t xml:space="preserve">z</t>
  </si>
  <si>
    <t xml:space="preserve">Rx</t>
  </si>
  <si>
    <t xml:space="preserve">Ry</t>
  </si>
  <si>
    <t xml:space="preserve">This model assumes the earth is flat. This should be a good enough approximation but there might be some small deviations to reality. It does not incorporate winds or currents. It uses the earth’s radius in the Mediterranean (see r_Earth).</t>
  </si>
  <si>
    <r>
      <rPr>
        <sz val="10"/>
        <rFont val="Arial"/>
        <family val="2"/>
        <charset val="1"/>
      </rPr>
      <t xml:space="preserve">Virtual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D. Call</t>
    </r>
  </si>
  <si>
    <t xml:space="preserve">r_Earth (km)</t>
  </si>
  <si>
    <t xml:space="preserve">Pi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</si>
  <si>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Time (min)</t>
    </r>
  </si>
  <si>
    <t xml:space="preserve">a</t>
  </si>
  <si>
    <t xml:space="preserve">b</t>
  </si>
  <si>
    <t xml:space="preserve">c</t>
  </si>
  <si>
    <t xml:space="preserve">t1 (min)</t>
  </si>
  <si>
    <t xml:space="preserve">t2 (min)</t>
  </si>
  <si>
    <t xml:space="preserve">This document was create by Jonathan Groß and Lukas Ehlers. It is available for use by the civil search and rescue community. For questions please contact via github: grossjonathan.</t>
  </si>
  <si>
    <t xml:space="preserve">Bearing (rad)</t>
  </si>
  <si>
    <t xml:space="preserve">RelDist. (km)</t>
  </si>
  <si>
    <t xml:space="preserve">dx</t>
  </si>
  <si>
    <t xml:space="preserve">dy</t>
  </si>
  <si>
    <t xml:space="preserve">rendRx</t>
  </si>
  <si>
    <t xml:space="preserve">rendRy</t>
  </si>
  <si>
    <t xml:space="preserve">rendRz</t>
  </si>
  <si>
    <t xml:space="preserve">rendX</t>
  </si>
  <si>
    <t xml:space="preserve">rendY</t>
  </si>
  <si>
    <t xml:space="preserve">rendZ</t>
  </si>
  <si>
    <t xml:space="preserve">rendLat</t>
  </si>
  <si>
    <t xml:space="preserve">rendLon</t>
  </si>
  <si>
    <t xml:space="preserve">deltaLat</t>
  </si>
  <si>
    <t xml:space="preserve">bearing</t>
  </si>
  <si>
    <t xml:space="preserve">Speed (kn)</t>
  </si>
  <si>
    <t xml:space="preserve">D. Call 1</t>
  </si>
  <si>
    <t xml:space="preserve">Time of first distress call</t>
  </si>
  <si>
    <t xml:space="preserve">D. Call 2</t>
  </si>
  <si>
    <t xml:space="preserve">Time of second distress call</t>
  </si>
  <si>
    <t xml:space="preserve">Speed (km/min)</t>
  </si>
  <si>
    <t xml:space="preserve">This document was create by Jonathan Groß and Lukas Ehlers. It is available for use by the civil search and rescue community. For questions please contact: jonathangross(at)web.de.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</si>
</sst>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name val="Liberation Mono;Courier New;Cousine;DejaVu Sans Mono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81ACA6"/>
        <bgColor rgb="FF9999FF"/>
      </patternFill>
    </fill>
    <fill>
      <patternFill patternType="solid">
        <fgColor rgb="FFDEE7E5"/>
        <bgColor rgb="FFCCFFFF"/>
      </patternFill>
    </fill>
    <fill>
      <patternFill patternType="solid">
        <fgColor rgb="FFB3CAC7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58466"/>
      </left>
      <right style="thin">
        <color rgb="FF158466"/>
      </right>
      <top style="thin">
        <color rgb="FF158466"/>
      </top>
      <bottom/>
      <diagonal/>
    </border>
    <border diagonalUp="false" diagonalDown="false">
      <left style="thin">
        <color rgb="FF158466"/>
      </left>
      <right style="thin">
        <color rgb="FF158466"/>
      </right>
      <top/>
      <bottom/>
      <diagonal/>
    </border>
    <border diagonalUp="false" diagonalDown="false">
      <left style="thin">
        <color rgb="FF158466"/>
      </left>
      <right style="thin">
        <color rgb="FF158466"/>
      </right>
      <top/>
      <bottom style="thin">
        <color rgb="FF158466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158466"/>
      </left>
      <right style="thin">
        <color rgb="FF158466"/>
      </right>
      <top style="thin">
        <color rgb="FF158466"/>
      </top>
      <bottom style="thin">
        <color rgb="FF1584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7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O23" activeCellId="0" sqref="O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4.27"/>
    <col collapsed="false" customWidth="true" hidden="false" outlineLevel="0" max="3" min="3" style="1" width="14.8"/>
  </cols>
  <sheetData>
    <row r="1" customFormat="false" ht="12.8" hidden="false" customHeight="false" outlineLevel="0" collapsed="false">
      <c r="O1" s="2"/>
    </row>
    <row r="2" customFormat="false" ht="12.8" hidden="false" customHeight="true" outlineLevel="0" collapsed="false">
      <c r="O2" s="3" t="s">
        <v>0</v>
      </c>
      <c r="P2" s="3"/>
      <c r="Q2" s="3"/>
    </row>
    <row r="3" customFormat="false" ht="12.8" hidden="false" customHeight="false" outlineLevel="0" collapsed="false">
      <c r="B3" s="4" t="s">
        <v>1</v>
      </c>
      <c r="C3" s="5"/>
      <c r="D3" s="6" t="s">
        <v>2</v>
      </c>
      <c r="E3" s="6"/>
      <c r="F3" s="6"/>
      <c r="G3" s="6" t="s">
        <v>3</v>
      </c>
      <c r="H3" s="6"/>
      <c r="I3" s="6"/>
      <c r="J3" s="5"/>
      <c r="K3" s="5" t="s">
        <v>4</v>
      </c>
      <c r="L3" s="5" t="s">
        <v>5</v>
      </c>
      <c r="M3" s="5" t="s">
        <v>6</v>
      </c>
      <c r="O3" s="3"/>
      <c r="P3" s="3"/>
      <c r="Q3" s="3"/>
    </row>
    <row r="4" customFormat="false" ht="12.8" hidden="false" customHeight="false" outlineLevel="0" collapsed="false">
      <c r="B4" s="4"/>
      <c r="C4" s="5"/>
      <c r="D4" s="5" t="s">
        <v>7</v>
      </c>
      <c r="E4" s="5" t="s">
        <v>8</v>
      </c>
      <c r="F4" s="5" t="s">
        <v>9</v>
      </c>
      <c r="G4" s="5" t="s">
        <v>7</v>
      </c>
      <c r="H4" s="5" t="s">
        <v>8</v>
      </c>
      <c r="I4" s="5" t="s">
        <v>9</v>
      </c>
      <c r="J4" s="5"/>
      <c r="K4" s="5" t="s">
        <v>10</v>
      </c>
      <c r="L4" s="5" t="s">
        <v>11</v>
      </c>
      <c r="M4" s="5" t="s">
        <v>12</v>
      </c>
      <c r="O4" s="3"/>
      <c r="P4" s="3"/>
      <c r="Q4" s="3"/>
    </row>
    <row r="5" customFormat="false" ht="12.8" hidden="false" customHeight="false" outlineLevel="0" collapsed="false">
      <c r="B5" s="4"/>
      <c r="C5" s="5" t="s">
        <v>13</v>
      </c>
      <c r="D5" s="7" t="n">
        <v>34</v>
      </c>
      <c r="E5" s="7" t="n">
        <v>43</v>
      </c>
      <c r="F5" s="7" t="n">
        <v>46.9</v>
      </c>
      <c r="G5" s="7" t="n">
        <v>12</v>
      </c>
      <c r="H5" s="7" t="n">
        <v>1</v>
      </c>
      <c r="I5" s="7" t="n">
        <v>54.4</v>
      </c>
      <c r="J5" s="7"/>
      <c r="K5" s="7" t="n">
        <v>0</v>
      </c>
      <c r="L5" s="7" t="n">
        <v>8.5</v>
      </c>
      <c r="O5" s="8" t="s">
        <v>14</v>
      </c>
      <c r="P5" s="8"/>
      <c r="Q5" s="8"/>
    </row>
    <row r="6" customFormat="false" ht="12.8" hidden="false" customHeight="false" outlineLevel="0" collapsed="false">
      <c r="B6" s="4"/>
      <c r="C6" s="5" t="s">
        <v>15</v>
      </c>
      <c r="D6" s="7" t="n">
        <v>33</v>
      </c>
      <c r="E6" s="7" t="n">
        <v>54</v>
      </c>
      <c r="F6" s="7" t="n">
        <v>19.9</v>
      </c>
      <c r="G6" s="7" t="n">
        <v>14</v>
      </c>
      <c r="H6" s="7" t="n">
        <v>8</v>
      </c>
      <c r="I6" s="7" t="n">
        <v>28</v>
      </c>
      <c r="J6" s="7"/>
      <c r="K6" s="7" t="n">
        <v>-300</v>
      </c>
      <c r="L6" s="7" t="n">
        <v>1.7</v>
      </c>
      <c r="M6" s="7" t="n">
        <v>210</v>
      </c>
      <c r="O6" s="8" t="s">
        <v>16</v>
      </c>
      <c r="P6" s="8"/>
      <c r="Q6" s="8"/>
    </row>
    <row r="7" customFormat="false" ht="12.8" hidden="false" customHeight="false" outlineLevel="0" collapsed="false">
      <c r="O7" s="8"/>
      <c r="P7" s="8"/>
      <c r="Q7" s="8"/>
    </row>
    <row r="8" customFormat="false" ht="12.8" hidden="false" customHeight="false" outlineLevel="0" collapsed="false">
      <c r="O8" s="8"/>
      <c r="P8" s="8"/>
      <c r="Q8" s="8"/>
    </row>
    <row r="9" customFormat="false" ht="12.8" hidden="false" customHeight="false" outlineLevel="0" collapsed="false">
      <c r="B9" s="4" t="s">
        <v>17</v>
      </c>
      <c r="C9" s="5" t="s">
        <v>18</v>
      </c>
      <c r="D9" s="7" t="n">
        <f aca="false">INT($H$34*180/$D$22)</f>
        <v>33</v>
      </c>
      <c r="E9" s="7" t="n">
        <f aca="false">INT(($H$34*180/$D$22-D9)*60)</f>
        <v>26</v>
      </c>
      <c r="F9" s="7" t="n">
        <f aca="false">INT((($H$34*180/$D$22-D9)*60-E9)*600)/10</f>
        <v>32.8</v>
      </c>
      <c r="G9" s="7" t="n">
        <f aca="false">INT($I$34*180/$D$22)</f>
        <v>13</v>
      </c>
      <c r="H9" s="7" t="n">
        <f aca="false">INT(($I$34*180/$D$22-G9)*60)</f>
        <v>49</v>
      </c>
      <c r="I9" s="7" t="n">
        <f aca="false">INT((($I$34*180/$D$22-G9)*60-H9)*600)/10</f>
        <v>15.8</v>
      </c>
      <c r="J9" s="7"/>
      <c r="K9" s="9" t="n">
        <f aca="false">K22</f>
        <v>830.933889781532</v>
      </c>
      <c r="O9" s="10" t="s">
        <v>19</v>
      </c>
      <c r="P9" s="10"/>
      <c r="Q9" s="10"/>
    </row>
    <row r="10" customFormat="false" ht="12.8" hidden="false" customHeight="false" outlineLevel="0" collapsed="false">
      <c r="B10" s="4"/>
      <c r="C10" s="5"/>
    </row>
    <row r="11" customFormat="false" ht="12.8" hidden="false" customHeight="false" outlineLevel="0" collapsed="false">
      <c r="B11" s="4"/>
      <c r="C11" s="5" t="s">
        <v>6</v>
      </c>
      <c r="D11" s="7" t="n">
        <f aca="false">INT($K$37*180/$D$22)</f>
        <v>130</v>
      </c>
      <c r="E11" s="7" t="n">
        <f aca="false">INT(($K$37*180/$D$22-D11)*60)</f>
        <v>28</v>
      </c>
      <c r="F11" s="7" t="n">
        <f aca="false">INT((($K$37*180/$D$22-D11)*60-E11)*600)/10</f>
        <v>28.7</v>
      </c>
    </row>
    <row r="12" customFormat="false" ht="12.8" hidden="false" customHeight="false" outlineLevel="0" collapsed="false">
      <c r="B12" s="4"/>
      <c r="C12" s="5" t="s">
        <v>20</v>
      </c>
      <c r="D12" s="9" t="n">
        <f aca="false">F16*K9/ 1.852</f>
        <v>117.715634385717</v>
      </c>
    </row>
    <row r="15" customFormat="false" ht="12.8" hidden="false" customHeight="true" outlineLevel="0" collapsed="false">
      <c r="B15" s="11" t="s">
        <v>21</v>
      </c>
      <c r="C15" s="12"/>
      <c r="D15" s="12" t="s">
        <v>22</v>
      </c>
      <c r="E15" s="12" t="s">
        <v>23</v>
      </c>
      <c r="F15" s="12" t="s">
        <v>24</v>
      </c>
      <c r="H15" s="12" t="s">
        <v>25</v>
      </c>
      <c r="I15" s="12" t="s">
        <v>26</v>
      </c>
      <c r="J15" s="12" t="s">
        <v>27</v>
      </c>
      <c r="K15" s="12" t="s">
        <v>28</v>
      </c>
      <c r="L15" s="12" t="s">
        <v>29</v>
      </c>
      <c r="O15" s="13" t="s">
        <v>30</v>
      </c>
      <c r="P15" s="13"/>
      <c r="Q15" s="13"/>
    </row>
    <row r="16" customFormat="false" ht="12.8" hidden="false" customHeight="false" outlineLevel="0" collapsed="false">
      <c r="B16" s="11"/>
      <c r="C16" s="12" t="s">
        <v>13</v>
      </c>
      <c r="D16" s="7" t="n">
        <f aca="false">(D5+E5/60+F5/3600)/180*$D$22</f>
        <v>0.606147516266985</v>
      </c>
      <c r="E16" s="7" t="n">
        <f aca="false">(G5+H5/60+I5/3600)/180*$D$22</f>
        <v>0.209994137090456</v>
      </c>
      <c r="F16" s="7" t="n">
        <f aca="false">L5*1852/60/1000</f>
        <v>0.262366666666667</v>
      </c>
      <c r="H16" s="7" t="n">
        <f aca="false">COS(D16)*COS(E16)*C$22</f>
        <v>5116.15281065538</v>
      </c>
      <c r="I16" s="7" t="n">
        <f aca="false">COS(D16)*SIN(E16)*C$22</f>
        <v>1090.43795770779</v>
      </c>
      <c r="J16" s="7" t="n">
        <f aca="false">SIN(D16)*C$22</f>
        <v>3626.17573738686</v>
      </c>
      <c r="K16" s="7" t="n">
        <f aca="false">COS(D$16-D$22/2)*COS(-E$16)*H16-COS(D$16-D$22/2)*SIN(-E$16)*I16+SIN(D$16-D$22/2)*J16</f>
        <v>2.52430254477076E-009</v>
      </c>
      <c r="L16" s="7" t="n">
        <f aca="false">SIN(-E$16)*H16+COS(-E$16)*I16</f>
        <v>0</v>
      </c>
      <c r="O16" s="13"/>
      <c r="P16" s="13"/>
      <c r="Q16" s="13"/>
    </row>
    <row r="17" customFormat="false" ht="12.8" hidden="false" customHeight="false" outlineLevel="0" collapsed="false">
      <c r="B17" s="11"/>
      <c r="C17" s="12" t="s">
        <v>15</v>
      </c>
      <c r="D17" s="7" t="n">
        <f aca="false">(D6+E6/60+F6/3600)/180*$D$22</f>
        <v>0.591763094348469</v>
      </c>
      <c r="E17" s="7" t="n">
        <f aca="false">(G6+H6/60+I6/3600)/180*$D$22</f>
        <v>0.24680894877918</v>
      </c>
      <c r="F17" s="7" t="n">
        <f aca="false">L6*1852/60/1000</f>
        <v>0.0524733333333333</v>
      </c>
      <c r="H17" s="7" t="n">
        <f aca="false">COS(D17)*COS(E17)*C$22</f>
        <v>5122.60426516404</v>
      </c>
      <c r="I17" s="7" t="n">
        <f aca="false">COS(D17)*SIN(E17)*C$22</f>
        <v>1290.61745616215</v>
      </c>
      <c r="J17" s="7" t="n">
        <f aca="false">SIN(D17)*C$22</f>
        <v>3550.55729771719</v>
      </c>
      <c r="K17" s="7" t="n">
        <f aca="false">COS(D$16-D$22/2)*COS(-E$16)*H17-COS(D$16-D$22/2)*SIN(-E$16)*I17+SIN(D$16-D$22/2)*J17</f>
        <v>89.5144341545961</v>
      </c>
      <c r="L17" s="7" t="n">
        <f aca="false">SIN(-E$16)*H17+COS(-E$16)*I17</f>
        <v>194.437150067278</v>
      </c>
      <c r="O17" s="13"/>
      <c r="P17" s="13"/>
      <c r="Q17" s="13"/>
    </row>
    <row r="18" customFormat="false" ht="12.85" hidden="false" customHeight="false" outlineLevel="0" collapsed="false">
      <c r="B18" s="11"/>
      <c r="C18" s="12" t="s">
        <v>31</v>
      </c>
      <c r="D18" s="7" t="n">
        <f aca="false">ASIN(SIN(D17)*COS(D25) + COS(D17)*SIN(D25)*COS(C25))</f>
        <v>0.589549286346295</v>
      </c>
      <c r="E18" s="7" t="n">
        <f aca="false">E17 + ATAN2(COS(D25) - SIN(D17)*SIN(D18),SIN(C25)*SIN(D25)*COS(D17))</f>
        <v>0.245271606310348</v>
      </c>
      <c r="H18" s="7" t="n">
        <f aca="false">COS(D18)*COS(E18)*C$22</f>
        <v>5132.19477398783</v>
      </c>
      <c r="I18" s="7" t="n">
        <f aca="false">COS(D18)*SIN(E18)*C$22</f>
        <v>1284.64621710613</v>
      </c>
      <c r="J18" s="7" t="n">
        <f aca="false">SIN(D18)*C$22</f>
        <v>3538.85375492219</v>
      </c>
      <c r="K18" s="7" t="n">
        <f aca="false">COS(D$16-D$22/2)*COS(-E$16)*H18-COS(D$16-D$22/2)*SIN(-E$16)*I18+SIN(D$16-D$22/2)*J18</f>
        <v>103.767587171363</v>
      </c>
      <c r="L18" s="7" t="n">
        <f aca="false">SIN(-E$16)*H18+COS(-E$16)*I18</f>
        <v>186.5979048576</v>
      </c>
      <c r="O18" s="13"/>
      <c r="P18" s="13"/>
      <c r="Q18" s="13"/>
    </row>
    <row r="19" customFormat="false" ht="12.8" hidden="false" customHeight="false" outlineLevel="0" collapsed="false">
      <c r="B19" s="11"/>
      <c r="D19" s="14"/>
      <c r="E19" s="14"/>
      <c r="O19" s="13"/>
      <c r="P19" s="13"/>
      <c r="Q19" s="13"/>
    </row>
    <row r="20" customFormat="false" ht="12.8" hidden="false" customHeight="false" outlineLevel="0" collapsed="false">
      <c r="B20" s="11"/>
      <c r="O20" s="13"/>
      <c r="P20" s="13"/>
      <c r="Q20" s="13"/>
    </row>
    <row r="21" customFormat="false" ht="12.8" hidden="false" customHeight="false" outlineLevel="0" collapsed="false">
      <c r="B21" s="11"/>
      <c r="C21" s="12" t="s">
        <v>32</v>
      </c>
      <c r="D21" s="12" t="s">
        <v>33</v>
      </c>
      <c r="E21" s="12" t="s">
        <v>34</v>
      </c>
      <c r="H21" s="12" t="s">
        <v>35</v>
      </c>
      <c r="I21" s="12" t="s">
        <v>36</v>
      </c>
      <c r="J21" s="12" t="s">
        <v>37</v>
      </c>
      <c r="K21" s="12" t="s">
        <v>38</v>
      </c>
      <c r="L21" s="12" t="s">
        <v>39</v>
      </c>
      <c r="O21" s="13"/>
      <c r="P21" s="13"/>
      <c r="Q21" s="13"/>
    </row>
    <row r="22" customFormat="false" ht="12.8" hidden="false" customHeight="false" outlineLevel="0" collapsed="false">
      <c r="B22" s="11"/>
      <c r="C22" s="7" t="n">
        <v>6365</v>
      </c>
      <c r="D22" s="7" t="n">
        <v>3.141592653589</v>
      </c>
      <c r="E22" s="7" t="n">
        <v>10</v>
      </c>
      <c r="H22" s="7" t="n">
        <f aca="false">F16^2*(E22-K6)^2-(K18-K17)^2-(L18-L17)^2</f>
        <v>6350.55919706761</v>
      </c>
      <c r="I22" s="7" t="n">
        <f aca="false">2*(-K5*F16^2*(E22-K6)^2-(K18-K17)*(-K6*K18+E22*K17-(E22-K6)*K16)-(L18-L17)*(-K6*L18+E22*L17-(E22-K6)*L16))</f>
        <v>-4769.58838300919</v>
      </c>
      <c r="J22" s="7" t="n">
        <f aca="false">F16^2*(E22-K6)^2*K5^2-(-K6*K18+E22*K17-(E22-K6)*K16)^2-(-K6*L18+E22*L17-(E22-K6)*L16)^2</f>
        <v>-4380787555.95944</v>
      </c>
      <c r="K22" s="7" t="n">
        <f aca="false">(-I22+SQRT(I22^2-4*H22*J22))/2/H22</f>
        <v>830.933889781532</v>
      </c>
      <c r="L22" s="7" t="n">
        <f aca="false">(-I22-SQRT(I22^2-4*H22*J22))/2/H22</f>
        <v>-830.182839640119</v>
      </c>
    </row>
    <row r="23" customFormat="false" ht="12.8" hidden="false" customHeight="true" outlineLevel="0" collapsed="false">
      <c r="B23" s="11"/>
      <c r="O23" s="15" t="s">
        <v>40</v>
      </c>
      <c r="P23" s="15"/>
      <c r="Q23" s="15"/>
    </row>
    <row r="24" customFormat="false" ht="12.8" hidden="false" customHeight="false" outlineLevel="0" collapsed="false">
      <c r="B24" s="11"/>
      <c r="C24" s="12" t="s">
        <v>41</v>
      </c>
      <c r="D24" s="12" t="s">
        <v>42</v>
      </c>
      <c r="H24" s="12" t="s">
        <v>43</v>
      </c>
      <c r="I24" s="12" t="s">
        <v>44</v>
      </c>
      <c r="O24" s="15"/>
      <c r="P24" s="15"/>
      <c r="Q24" s="15"/>
    </row>
    <row r="25" customFormat="false" ht="12.8" hidden="false" customHeight="false" outlineLevel="0" collapsed="false">
      <c r="B25" s="11"/>
      <c r="C25" s="7" t="n">
        <f aca="false">M6/180*D22</f>
        <v>3.66519142918717</v>
      </c>
      <c r="D25" s="7" t="n">
        <f aca="false">F17*(E22-K6)/C22</f>
        <v>0.00255565331238544</v>
      </c>
      <c r="H25" s="7" t="n">
        <f aca="false">1/F16/(K22-K5)*(1/(E22-K6)*(K22*(K18-K17)+E22*K17-K6*K18)-K16)</f>
        <v>0.649111659328986</v>
      </c>
      <c r="I25" s="7" t="n">
        <f aca="false">1/F16/(K22-K5)*(1/(E22-K6)*(K22*(L18-L17)+E22*L17-K6*L18)-L16)</f>
        <v>0.760693140315574</v>
      </c>
      <c r="O25" s="15"/>
      <c r="P25" s="15"/>
      <c r="Q25" s="15"/>
    </row>
    <row r="26" customFormat="false" ht="12.8" hidden="false" customHeight="false" outlineLevel="0" collapsed="false">
      <c r="B26" s="11"/>
      <c r="O26" s="15"/>
      <c r="P26" s="15"/>
      <c r="Q26" s="15"/>
    </row>
    <row r="27" customFormat="false" ht="12.8" hidden="false" customHeight="false" outlineLevel="0" collapsed="false">
      <c r="B27" s="11"/>
      <c r="H27" s="12" t="s">
        <v>45</v>
      </c>
      <c r="I27" s="12" t="s">
        <v>46</v>
      </c>
      <c r="J27" s="12" t="s">
        <v>47</v>
      </c>
      <c r="O27" s="15"/>
      <c r="P27" s="15"/>
      <c r="Q27" s="15"/>
    </row>
    <row r="28" customFormat="false" ht="12.8" hidden="false" customHeight="false" outlineLevel="0" collapsed="false">
      <c r="B28" s="11"/>
      <c r="H28" s="7" t="n">
        <f aca="false">F16*(K22-K5)*H25+K16</f>
        <v>141.512414099447</v>
      </c>
      <c r="I28" s="7" t="n">
        <f aca="false">F16*(K22-K5)*I25+L16</f>
        <v>165.838220783626</v>
      </c>
      <c r="J28" s="7" t="n">
        <f aca="false">SQRT(C22^2-H28^2-I28^2)</f>
        <v>6361.26535535054</v>
      </c>
    </row>
    <row r="29" customFormat="false" ht="12.8" hidden="false" customHeight="false" outlineLevel="0" collapsed="false">
      <c r="B29" s="11"/>
    </row>
    <row r="30" customFormat="false" ht="12.8" hidden="false" customHeight="false" outlineLevel="0" collapsed="false">
      <c r="B30" s="11"/>
      <c r="H30" s="12" t="s">
        <v>48</v>
      </c>
      <c r="I30" s="12" t="s">
        <v>49</v>
      </c>
      <c r="J30" s="12" t="s">
        <v>50</v>
      </c>
    </row>
    <row r="31" customFormat="false" ht="12.8" hidden="false" customHeight="false" outlineLevel="0" collapsed="false">
      <c r="B31" s="11"/>
      <c r="H31" s="7" t="n">
        <f aca="false">COS(D$22/2-D$16)*COS(E16)*H28-SIN(E16)*I28+SIN(D$22/2-D$16)*COS(E16)*J28</f>
        <v>5157.43060308922</v>
      </c>
      <c r="I31" s="7" t="n">
        <f aca="false">COS(D$22/2-D$16)*SIN(E16)*H28+COS(E16)*I28+SIN(D$22/2-D$16)*SIN(E16)*J28</f>
        <v>1268.79891537912</v>
      </c>
      <c r="J31" s="7" t="n">
        <f aca="false">-SIN(D$22/2-D$16)*H28+COS(D$22/2-D$16)*J28</f>
        <v>3507.74626885292</v>
      </c>
    </row>
    <row r="32" customFormat="false" ht="12.8" hidden="false" customHeight="false" outlineLevel="0" collapsed="false">
      <c r="B32" s="11"/>
    </row>
    <row r="33" customFormat="false" ht="12.8" hidden="false" customHeight="false" outlineLevel="0" collapsed="false">
      <c r="B33" s="11"/>
      <c r="H33" s="12" t="s">
        <v>51</v>
      </c>
      <c r="I33" s="12" t="s">
        <v>52</v>
      </c>
    </row>
    <row r="34" customFormat="false" ht="12.8" hidden="false" customHeight="false" outlineLevel="0" collapsed="false">
      <c r="B34" s="11"/>
      <c r="H34" s="7" t="n">
        <f aca="false">ASIN(J31/C22)</f>
        <v>0.583680930586141</v>
      </c>
      <c r="I34" s="7" t="n">
        <f aca="false">ATAN2(H31,I31)</f>
        <v>0.241223407062583</v>
      </c>
    </row>
    <row r="35" customFormat="false" ht="12.8" hidden="false" customHeight="false" outlineLevel="0" collapsed="false">
      <c r="B35" s="11"/>
    </row>
    <row r="36" customFormat="false" ht="12.8" hidden="false" customHeight="false" outlineLevel="0" collapsed="false">
      <c r="B36" s="11"/>
      <c r="H36" s="12" t="s">
        <v>53</v>
      </c>
      <c r="I36" s="12" t="s">
        <v>25</v>
      </c>
      <c r="J36" s="12" t="s">
        <v>26</v>
      </c>
      <c r="K36" s="12" t="s">
        <v>54</v>
      </c>
    </row>
    <row r="37" customFormat="false" ht="12.8" hidden="false" customHeight="false" outlineLevel="0" collapsed="false">
      <c r="B37" s="11"/>
      <c r="H37" s="7" t="n">
        <f aca="false">I34-E16</f>
        <v>0.0312292699721275</v>
      </c>
      <c r="I37" s="7" t="n">
        <f aca="false">SIN(H37)*COS(H34)</f>
        <v>0.0260547086855658</v>
      </c>
      <c r="J37" s="7" t="n">
        <f aca="false">COS(D16)*SIN(H34)-COS(H34)*SIN(D16)*COS(H37)</f>
        <v>-0.0222329008793281</v>
      </c>
      <c r="K37" s="7" t="n">
        <f aca="false">ATAN2(J37,I37)</f>
        <v>2.27721237657637</v>
      </c>
    </row>
  </sheetData>
  <mergeCells count="13">
    <mergeCell ref="O2:Q4"/>
    <mergeCell ref="B3:B6"/>
    <mergeCell ref="D3:F3"/>
    <mergeCell ref="G3:I3"/>
    <mergeCell ref="O5:Q5"/>
    <mergeCell ref="O6:Q6"/>
    <mergeCell ref="O7:Q7"/>
    <mergeCell ref="O8:Q8"/>
    <mergeCell ref="B9:B12"/>
    <mergeCell ref="O9:Q9"/>
    <mergeCell ref="B15:B37"/>
    <mergeCell ref="O15:Q21"/>
    <mergeCell ref="O23:Q27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23" activeCellId="0" sqref="O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4.28"/>
    <col collapsed="false" customWidth="true" hidden="false" outlineLevel="0" max="3" min="3" style="1" width="14.44"/>
  </cols>
  <sheetData>
    <row r="1" customFormat="false" ht="12.8" hidden="false" customHeight="false" outlineLevel="0" collapsed="false">
      <c r="M1" s="2"/>
    </row>
    <row r="2" customFormat="false" ht="12.8" hidden="false" customHeight="true" outlineLevel="0" collapsed="false">
      <c r="B2" s="4" t="s">
        <v>1</v>
      </c>
      <c r="C2" s="5" t="s">
        <v>55</v>
      </c>
      <c r="D2" s="7" t="n">
        <v>8.5</v>
      </c>
      <c r="O2" s="3" t="s">
        <v>0</v>
      </c>
      <c r="P2" s="3"/>
      <c r="Q2" s="3"/>
    </row>
    <row r="3" customFormat="false" ht="12.8" hidden="false" customHeight="false" outlineLevel="0" collapsed="false">
      <c r="B3" s="4"/>
      <c r="C3" s="5"/>
      <c r="D3" s="6" t="s">
        <v>2</v>
      </c>
      <c r="E3" s="6"/>
      <c r="F3" s="6"/>
      <c r="G3" s="6" t="s">
        <v>3</v>
      </c>
      <c r="H3" s="6"/>
      <c r="I3" s="6"/>
      <c r="J3" s="5"/>
      <c r="K3" s="5" t="s">
        <v>4</v>
      </c>
      <c r="O3" s="3"/>
      <c r="P3" s="3"/>
      <c r="Q3" s="3"/>
    </row>
    <row r="4" customFormat="false" ht="12.8" hidden="false" customHeight="false" outlineLevel="0" collapsed="false">
      <c r="B4" s="4"/>
      <c r="C4" s="5"/>
      <c r="D4" s="5" t="s">
        <v>7</v>
      </c>
      <c r="E4" s="5" t="s">
        <v>8</v>
      </c>
      <c r="F4" s="5" t="s">
        <v>9</v>
      </c>
      <c r="G4" s="5" t="s">
        <v>7</v>
      </c>
      <c r="H4" s="5" t="s">
        <v>8</v>
      </c>
      <c r="I4" s="5" t="s">
        <v>9</v>
      </c>
      <c r="J4" s="5"/>
      <c r="K4" s="5" t="s">
        <v>10</v>
      </c>
      <c r="O4" s="3"/>
      <c r="P4" s="3"/>
      <c r="Q4" s="3"/>
    </row>
    <row r="5" customFormat="false" ht="12.8" hidden="false" customHeight="false" outlineLevel="0" collapsed="false">
      <c r="B5" s="4"/>
      <c r="C5" s="5" t="s">
        <v>13</v>
      </c>
      <c r="D5" s="7" t="n">
        <v>51</v>
      </c>
      <c r="E5" s="7" t="n">
        <v>32</v>
      </c>
      <c r="F5" s="7" t="n">
        <v>8.5</v>
      </c>
      <c r="G5" s="7" t="n">
        <v>9</v>
      </c>
      <c r="H5" s="7" t="n">
        <v>54</v>
      </c>
      <c r="I5" s="7" t="n">
        <v>57.1</v>
      </c>
      <c r="J5" s="7"/>
      <c r="K5" s="7" t="n">
        <v>0</v>
      </c>
      <c r="O5" s="8" t="s">
        <v>14</v>
      </c>
      <c r="P5" s="8"/>
      <c r="Q5" s="8"/>
    </row>
    <row r="6" customFormat="false" ht="12.8" hidden="false" customHeight="false" outlineLevel="0" collapsed="false">
      <c r="B6" s="4"/>
      <c r="C6" s="5" t="s">
        <v>56</v>
      </c>
      <c r="D6" s="7" t="n">
        <v>51</v>
      </c>
      <c r="E6" s="7" t="n">
        <v>33</v>
      </c>
      <c r="F6" s="7" t="n">
        <v>8</v>
      </c>
      <c r="G6" s="7" t="n">
        <v>9</v>
      </c>
      <c r="H6" s="7" t="n">
        <v>57</v>
      </c>
      <c r="I6" s="7" t="n">
        <v>1</v>
      </c>
      <c r="J6" s="7"/>
      <c r="K6" s="7" t="n">
        <v>-40</v>
      </c>
      <c r="O6" s="8" t="s">
        <v>57</v>
      </c>
      <c r="P6" s="8"/>
      <c r="Q6" s="8"/>
    </row>
    <row r="7" customFormat="false" ht="12.8" hidden="false" customHeight="false" outlineLevel="0" collapsed="false">
      <c r="B7" s="4"/>
      <c r="C7" s="5" t="s">
        <v>58</v>
      </c>
      <c r="D7" s="7" t="n">
        <v>51</v>
      </c>
      <c r="E7" s="7" t="n">
        <v>32</v>
      </c>
      <c r="F7" s="7" t="n">
        <v>55.7</v>
      </c>
      <c r="G7" s="7" t="n">
        <v>9</v>
      </c>
      <c r="H7" s="7" t="n">
        <v>57</v>
      </c>
      <c r="I7" s="7" t="n">
        <v>7.7</v>
      </c>
      <c r="J7" s="7"/>
      <c r="K7" s="7" t="n">
        <v>-10</v>
      </c>
      <c r="O7" s="8" t="s">
        <v>59</v>
      </c>
      <c r="P7" s="8"/>
      <c r="Q7" s="8"/>
    </row>
    <row r="8" customFormat="false" ht="12.8" hidden="false" customHeight="false" outlineLevel="0" collapsed="false">
      <c r="C8" s="16"/>
      <c r="O8" s="8"/>
      <c r="P8" s="8"/>
      <c r="Q8" s="8"/>
    </row>
    <row r="9" customFormat="false" ht="12.8" hidden="false" customHeight="false" outlineLevel="0" collapsed="false">
      <c r="B9" s="4" t="s">
        <v>17</v>
      </c>
      <c r="C9" s="5" t="s">
        <v>18</v>
      </c>
      <c r="D9" s="7" t="n">
        <f aca="false">INT($G$34*180/$E$22)</f>
        <v>51</v>
      </c>
      <c r="E9" s="7" t="n">
        <f aca="false">INT(($G$34*180/$E$22-D9)*60)</f>
        <v>32</v>
      </c>
      <c r="F9" s="7" t="n">
        <f aca="false">INT((($G$34*180/$E$22-D9)*60-E9)*600)/10</f>
        <v>47.1</v>
      </c>
      <c r="G9" s="7" t="n">
        <f aca="false">INT($H$34*180/$E$22)</f>
        <v>9</v>
      </c>
      <c r="H9" s="7" t="n">
        <f aca="false">INT(($H$34*180/$E$22-G9)*60)</f>
        <v>57</v>
      </c>
      <c r="I9" s="7" t="n">
        <f aca="false">INT((($H$34*180/$E$22-G9)*60-H9)*600)/10</f>
        <v>12.3</v>
      </c>
      <c r="J9" s="7"/>
      <c r="K9" s="9" t="n">
        <f aca="false">J22</f>
        <v>10.8883489448519</v>
      </c>
      <c r="O9" s="10" t="s">
        <v>19</v>
      </c>
      <c r="P9" s="10"/>
      <c r="Q9" s="10"/>
    </row>
    <row r="10" customFormat="false" ht="12.8" hidden="false" customHeight="false" outlineLevel="0" collapsed="false">
      <c r="B10" s="4"/>
      <c r="C10" s="5"/>
    </row>
    <row r="11" customFormat="false" ht="12.8" hidden="false" customHeight="false" outlineLevel="0" collapsed="false">
      <c r="B11" s="4"/>
      <c r="C11" s="5" t="s">
        <v>6</v>
      </c>
      <c r="D11" s="7" t="n">
        <f aca="false">INT($J$37*180/$E$22)</f>
        <v>65</v>
      </c>
      <c r="E11" s="7" t="n">
        <f aca="false">INT(($J$37*180/$E$22-D11)*60)</f>
        <v>19</v>
      </c>
      <c r="F11" s="7" t="n">
        <f aca="false">INT((($J$37*180/$E$22-D11)*60-E11)*600)/10</f>
        <v>6.3</v>
      </c>
    </row>
    <row r="12" customFormat="false" ht="12.8" hidden="false" customHeight="false" outlineLevel="0" collapsed="false">
      <c r="B12" s="4"/>
      <c r="C12" s="5" t="s">
        <v>20</v>
      </c>
      <c r="D12" s="9" t="n">
        <f aca="false">C22*K9/ 1.852</f>
        <v>1.54251610052068</v>
      </c>
    </row>
    <row r="15" customFormat="false" ht="12.8" hidden="false" customHeight="true" outlineLevel="0" collapsed="false">
      <c r="B15" s="11" t="s">
        <v>21</v>
      </c>
      <c r="C15" s="12"/>
      <c r="D15" s="12" t="s">
        <v>22</v>
      </c>
      <c r="E15" s="12" t="s">
        <v>23</v>
      </c>
      <c r="G15" s="12" t="s">
        <v>25</v>
      </c>
      <c r="H15" s="12" t="s">
        <v>26</v>
      </c>
      <c r="I15" s="12" t="s">
        <v>27</v>
      </c>
      <c r="J15" s="12" t="s">
        <v>28</v>
      </c>
      <c r="K15" s="12" t="s">
        <v>29</v>
      </c>
      <c r="O15" s="13" t="s">
        <v>30</v>
      </c>
      <c r="P15" s="13"/>
      <c r="Q15" s="13"/>
    </row>
    <row r="16" customFormat="false" ht="12.8" hidden="false" customHeight="false" outlineLevel="0" collapsed="false">
      <c r="B16" s="11"/>
      <c r="C16" s="12" t="s">
        <v>13</v>
      </c>
      <c r="D16" s="7" t="n">
        <f aca="false">(D5+E5/60+F5/3600)/180*$E$22</f>
        <v>0.899467550357078</v>
      </c>
      <c r="E16" s="7" t="n">
        <f aca="false">(G5+H5/60+I5/3600)/180*$E$22</f>
        <v>0.173064424559308</v>
      </c>
      <c r="G16" s="7" t="n">
        <f aca="false">COS(D16)*COS(E16)*D$22</f>
        <v>3900.05784769059</v>
      </c>
      <c r="H16" s="7" t="n">
        <f aca="false">COS(D16)*SIN(E16)*D$22</f>
        <v>681.781645176227</v>
      </c>
      <c r="I16" s="7" t="n">
        <f aca="false">SIN(D16)*D$22</f>
        <v>4983.76841084815</v>
      </c>
      <c r="J16" s="7" t="n">
        <f aca="false">COS(D$16-E$22/2)*COS(-E$16)*G16-COS(D$16-E$22/2)*SIN(-E$16)*H16+SIN(D$16-E$22/2)*I16</f>
        <v>2.52475729212165E-009</v>
      </c>
      <c r="K16" s="7" t="n">
        <f aca="false">SIN(-E$16)*G16+COS(-E$16)*H16</f>
        <v>0</v>
      </c>
      <c r="O16" s="13"/>
      <c r="P16" s="13"/>
      <c r="Q16" s="13"/>
    </row>
    <row r="17" customFormat="false" ht="12.8" hidden="false" customHeight="false" outlineLevel="0" collapsed="false">
      <c r="B17" s="11"/>
      <c r="C17" s="12" t="s">
        <v>56</v>
      </c>
      <c r="D17" s="7" t="n">
        <f aca="false">(D6+E6/60+F6/3600)/180*$E$22</f>
        <v>0.899756014497338</v>
      </c>
      <c r="E17" s="7" t="n">
        <f aca="false">(G6+H6/60+I6/3600)/180*$E$22</f>
        <v>0.173665108710203</v>
      </c>
      <c r="G17" s="7" t="n">
        <f aca="false">COS(D17)*COS(E17)*D$22</f>
        <v>3898.2314328235</v>
      </c>
      <c r="H17" s="7" t="n">
        <f aca="false">COS(D17)*SIN(E17)*D$22</f>
        <v>683.875781957065</v>
      </c>
      <c r="I17" s="7" t="n">
        <f aca="false">SIN(D17)*D$22</f>
        <v>4984.91029116868</v>
      </c>
      <c r="J17" s="7" t="n">
        <f aca="false">COS(D$16-E$22/2)*COS(-E$16)*G17-COS(D$16-E$22/2)*SIN(-E$16)*H17+SIN(D$16-E$22/2)*I17</f>
        <v>-1.83663330180525</v>
      </c>
      <c r="K17" s="7" t="n">
        <f aca="false">SIN(-E$16)*G17+COS(-E$16)*H17</f>
        <v>2.37736585168932</v>
      </c>
      <c r="O17" s="13"/>
      <c r="P17" s="13"/>
      <c r="Q17" s="13"/>
    </row>
    <row r="18" customFormat="false" ht="12.8" hidden="false" customHeight="false" outlineLevel="0" collapsed="false">
      <c r="B18" s="11"/>
      <c r="C18" s="12" t="s">
        <v>58</v>
      </c>
      <c r="D18" s="7" t="n">
        <f aca="false">(D7+E7/60+F7/3600)/180*$E$22</f>
        <v>0.899696382414562</v>
      </c>
      <c r="E18" s="7" t="n">
        <f aca="false">(G7+H7/60+I7/3600)/180*$E$22</f>
        <v>0.173697591226837</v>
      </c>
      <c r="G18" s="7" t="n">
        <f aca="false">COS(D18)*COS(E18)*D$22</f>
        <v>3898.50199737302</v>
      </c>
      <c r="H18" s="7" t="n">
        <f aca="false">COS(D18)*SIN(E18)*D$22</f>
        <v>684.05377894856</v>
      </c>
      <c r="I18" s="7" t="n">
        <f aca="false">SIN(D18)*D$22</f>
        <v>4984.67427260646</v>
      </c>
      <c r="J18" s="7" t="n">
        <f aca="false">COS(D$16-E$22/2)*COS(-E$16)*G18-COS(D$16-E$22/2)*SIN(-E$16)*H18+SIN(D$16-E$22/2)*I18</f>
        <v>-1.45713725434098</v>
      </c>
      <c r="K18" s="7" t="n">
        <f aca="false">SIN(-E$16)*G18+COS(-E$16)*H18</f>
        <v>2.50611216709126</v>
      </c>
      <c r="O18" s="13"/>
      <c r="P18" s="13"/>
      <c r="Q18" s="13"/>
    </row>
    <row r="19" customFormat="false" ht="12.8" hidden="false" customHeight="false" outlineLevel="0" collapsed="false">
      <c r="B19" s="11"/>
      <c r="O19" s="13"/>
      <c r="P19" s="13"/>
      <c r="Q19" s="13"/>
    </row>
    <row r="20" customFormat="false" ht="12.8" hidden="false" customHeight="false" outlineLevel="0" collapsed="false">
      <c r="B20" s="11"/>
      <c r="O20" s="13"/>
      <c r="P20" s="13"/>
      <c r="Q20" s="13"/>
    </row>
    <row r="21" customFormat="false" ht="12.8" hidden="false" customHeight="false" outlineLevel="0" collapsed="false">
      <c r="B21" s="11"/>
      <c r="C21" s="12" t="s">
        <v>60</v>
      </c>
      <c r="D21" s="12" t="s">
        <v>32</v>
      </c>
      <c r="E21" s="12" t="s">
        <v>33</v>
      </c>
      <c r="G21" s="12" t="s">
        <v>35</v>
      </c>
      <c r="H21" s="12" t="s">
        <v>36</v>
      </c>
      <c r="I21" s="12" t="s">
        <v>37</v>
      </c>
      <c r="J21" s="12" t="s">
        <v>38</v>
      </c>
      <c r="K21" s="12" t="s">
        <v>39</v>
      </c>
      <c r="O21" s="13"/>
      <c r="P21" s="13"/>
      <c r="Q21" s="13"/>
    </row>
    <row r="22" customFormat="false" ht="12.8" hidden="false" customHeight="false" outlineLevel="0" collapsed="false">
      <c r="B22" s="11"/>
      <c r="C22" s="7" t="n">
        <f aca="false">D2*1852/60/1000</f>
        <v>0.262366666666667</v>
      </c>
      <c r="D22" s="7" t="n">
        <v>6365</v>
      </c>
      <c r="E22" s="7" t="n">
        <v>3.141592653589</v>
      </c>
      <c r="G22" s="7" t="n">
        <f aca="false">C22^2*(K7-K6)^2-(J18-J17)^2-(K18-K17)^2</f>
        <v>61.7920481362294</v>
      </c>
      <c r="H22" s="7" t="n">
        <f aca="false">2*(-K5*C22^2*(K7-K6)^2-(J18-J17)*(-K6*J18+K7*J17-(K7-K6)*J16)-(K18-K17)*(-K6*K18+K7*K17-(K7-K6)*K16))</f>
        <v>10.6076500503788</v>
      </c>
      <c r="I22" s="7" t="n">
        <f aca="false">C22^2*(K7-K6)^2*K5^2-(-K6*J18+K7*J17-(K7-K6)*J16)^2-(-K6*K18+K7*K17-(K7-K6)*K16)^2</f>
        <v>-7441.3266745693</v>
      </c>
      <c r="J22" s="7" t="n">
        <f aca="false">(-H22+SQRT(H22^2-4*G22*I22))/2/G22</f>
        <v>10.8883489448519</v>
      </c>
      <c r="K22" s="7" t="n">
        <f aca="false">(-H22-SQRT(H22^2-4*G22*I22))/2/G22</f>
        <v>-11.0600158562155</v>
      </c>
    </row>
    <row r="23" customFormat="false" ht="12.8" hidden="false" customHeight="true" outlineLevel="0" collapsed="false">
      <c r="B23" s="11"/>
      <c r="O23" s="15" t="s">
        <v>61</v>
      </c>
      <c r="P23" s="15"/>
      <c r="Q23" s="15"/>
    </row>
    <row r="24" customFormat="false" ht="12.8" hidden="false" customHeight="false" outlineLevel="0" collapsed="false">
      <c r="B24" s="11"/>
      <c r="G24" s="12" t="s">
        <v>43</v>
      </c>
      <c r="H24" s="12" t="s">
        <v>44</v>
      </c>
      <c r="O24" s="15"/>
      <c r="P24" s="15"/>
      <c r="Q24" s="15"/>
    </row>
    <row r="25" customFormat="false" ht="12.8" hidden="false" customHeight="false" outlineLevel="0" collapsed="false">
      <c r="B25" s="11"/>
      <c r="G25" s="7" t="n">
        <f aca="false">1/C22/(J22-K5)*(1/(K7-K6)*(J22*(J18-J17)+K7*J17-K6*J18)-J16)</f>
        <v>-0.417574742786604</v>
      </c>
      <c r="H25" s="7" t="n">
        <f aca="false">1/C22/(J22-K5)*(1/(K7-K6)*(J22*(K18-K17)+K7*K17-K6*K18)-K16)</f>
        <v>0.908642577797619</v>
      </c>
      <c r="O25" s="15"/>
      <c r="P25" s="15"/>
      <c r="Q25" s="15"/>
    </row>
    <row r="26" customFormat="false" ht="12.8" hidden="false" customHeight="false" outlineLevel="0" collapsed="false">
      <c r="B26" s="11"/>
      <c r="O26" s="15"/>
      <c r="P26" s="15"/>
      <c r="Q26" s="15"/>
    </row>
    <row r="27" customFormat="false" ht="12.8" hidden="false" customHeight="false" outlineLevel="0" collapsed="false">
      <c r="B27" s="11"/>
      <c r="G27" s="12" t="s">
        <v>45</v>
      </c>
      <c r="H27" s="12" t="s">
        <v>46</v>
      </c>
      <c r="I27" s="12" t="s">
        <v>47</v>
      </c>
      <c r="O27" s="15"/>
      <c r="P27" s="15"/>
      <c r="Q27" s="15"/>
    </row>
    <row r="28" customFormat="false" ht="12.8" hidden="false" customHeight="false" outlineLevel="0" collapsed="false">
      <c r="B28" s="11"/>
      <c r="G28" s="7" t="n">
        <f aca="false">C22*(J22-K5)*G25+J16</f>
        <v>-1.19290239225345</v>
      </c>
      <c r="H28" s="7" t="n">
        <f aca="false">C22*(J22-K5)*H25+K16</f>
        <v>2.59575543247392</v>
      </c>
      <c r="I28" s="7" t="n">
        <f aca="false">SQRT(D22^2-G28^2-H28^2)</f>
        <v>6364.99935891887</v>
      </c>
    </row>
    <row r="29" customFormat="false" ht="12.8" hidden="false" customHeight="false" outlineLevel="0" collapsed="false">
      <c r="B29" s="11"/>
    </row>
    <row r="30" customFormat="false" ht="12.8" hidden="false" customHeight="false" outlineLevel="0" collapsed="false">
      <c r="B30" s="11"/>
      <c r="G30" s="12" t="s">
        <v>48</v>
      </c>
      <c r="H30" s="12" t="s">
        <v>49</v>
      </c>
      <c r="I30" s="12" t="s">
        <v>50</v>
      </c>
    </row>
    <row r="31" customFormat="false" ht="12.8" hidden="false" customHeight="false" outlineLevel="0" collapsed="false">
      <c r="B31" s="11"/>
      <c r="G31" s="7" t="n">
        <f aca="false">COS(E$22/2-D$16)*COS(E16)*G28-SIN(E16)*H28+SIN(E$22/2-D$16)*COS(E16)*I28</f>
        <v>3898.69037646753</v>
      </c>
      <c r="H31" s="7" t="n">
        <f aca="false">COS(E$22/2-D$16)*SIN(E16)*G28+COS(E16)*H28+SIN(E$22/2-D$16)*SIN(E16)*I28</f>
        <v>684.177712794905</v>
      </c>
      <c r="I31" s="7" t="n">
        <f aca="false">-SIN(E$22/2-D$16)*G28+COS(E$22/2-D$16)*I28</f>
        <v>4984.50992633721</v>
      </c>
    </row>
    <row r="32" customFormat="false" ht="12.8" hidden="false" customHeight="false" outlineLevel="0" collapsed="false">
      <c r="B32" s="11"/>
    </row>
    <row r="33" customFormat="false" ht="12.8" hidden="false" customHeight="false" outlineLevel="0" collapsed="false">
      <c r="B33" s="11"/>
      <c r="G33" s="12" t="s">
        <v>51</v>
      </c>
      <c r="H33" s="12" t="s">
        <v>52</v>
      </c>
    </row>
    <row r="34" customFormat="false" ht="12.8" hidden="false" customHeight="false" outlineLevel="0" collapsed="false">
      <c r="B34" s="11"/>
      <c r="G34" s="7" t="n">
        <f aca="false">ASIN(I31/D22)</f>
        <v>0.899654861586598</v>
      </c>
      <c r="H34" s="7" t="n">
        <f aca="false">ATAN2(G31,H31)</f>
        <v>0.173720205218704</v>
      </c>
    </row>
    <row r="35" customFormat="false" ht="12.8" hidden="false" customHeight="false" outlineLevel="0" collapsed="false">
      <c r="B35" s="11"/>
    </row>
    <row r="36" customFormat="false" ht="12.8" hidden="false" customHeight="false" outlineLevel="0" collapsed="false">
      <c r="B36" s="11"/>
      <c r="G36" s="12" t="s">
        <v>53</v>
      </c>
      <c r="H36" s="12" t="s">
        <v>25</v>
      </c>
      <c r="I36" s="12" t="s">
        <v>26</v>
      </c>
      <c r="J36" s="12" t="s">
        <v>54</v>
      </c>
    </row>
    <row r="37" customFormat="false" ht="12.8" hidden="false" customHeight="false" outlineLevel="0" collapsed="false">
      <c r="B37" s="11"/>
      <c r="G37" s="7" t="n">
        <f aca="false">H34-E16</f>
        <v>0.00065578065939581</v>
      </c>
      <c r="H37" s="7" t="n">
        <f aca="false">SIN(G37)*COS(G34)</f>
        <v>0.000407817035738266</v>
      </c>
      <c r="I37" s="7" t="n">
        <f aca="false">COS(D16)*SIN(G34)-COS(G34)*SIN(D16)*COS(G37)</f>
        <v>0.000187415930051671</v>
      </c>
      <c r="J37" s="7" t="n">
        <f aca="false">ATAN2(I37,H37)</f>
        <v>1.14002174812277</v>
      </c>
    </row>
  </sheetData>
  <mergeCells count="13">
    <mergeCell ref="B2:B7"/>
    <mergeCell ref="O2:Q4"/>
    <mergeCell ref="D3:F3"/>
    <mergeCell ref="G3:I3"/>
    <mergeCell ref="O5:Q5"/>
    <mergeCell ref="O6:Q6"/>
    <mergeCell ref="O7:Q7"/>
    <mergeCell ref="O8:Q8"/>
    <mergeCell ref="B9:B12"/>
    <mergeCell ref="O9:Q9"/>
    <mergeCell ref="B15:B37"/>
    <mergeCell ref="O15:Q21"/>
    <mergeCell ref="O23:Q27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2024-09-15T15:11:06Z</dcterms:created>
  <dc:creator/>
  <dc:description/>
  <dc:language>de-DE</dc:language>
  <cp:lastModifiedBy/>
  <dcterms:modified xsi:type="dcterms:W3CDTF">2025-09-04T20:49:32Z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