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Advisor List (Previous Year)" sheetId="10" r:id="rId13"/>
    <sheet state="visible" name="Course List" sheetId="11" r:id="rId14"/>
    <sheet state="visible" name="Courses by Department" sheetId="12" r:id="rId15"/>
    <sheet state="visible" name="Historical Enrollment" sheetId="13" r:id="rId16"/>
    <sheet state="visible" name="Individual Enrollment History" sheetId="14" r:id="rId17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Clean_Params">Parameters!$B$7:$B$9</definedName>
    <definedName name="Enrollment_Host_ID">'Historical Enrollment'!$D:$D</definedName>
    <definedName name="Course_Department">'Course List'!$D$2</definedName>
    <definedName name="Param_StudiesCommittee">Parameters!$B$7</definedName>
    <definedName name="Enrollment_Department">'Historical Enrollment'!$Q:$Q</definedName>
    <definedName name="Clean_AvailableCourses">'Available Courses'!$A$3</definedName>
    <definedName name="RollOver_CoursePlanPermissions">'Course Plan Inventory'!$R$2</definedName>
    <definedName name="Param_AdvisorFolderNameFormat">Parameters!$B$5</definedName>
    <definedName name="Param_RollOverAcademicYear">Parameters!$B$10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Inventory'!$I$2</definedName>
    <definedName name="Enrollment_ParentheticalNote">'Historical Enrollment'!$P:$P</definedName>
    <definedName name="Param_CoursePlanTemplate">Parameters!$B$9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hidden="1" localSheetId="2" name="_xlnm._FilterDatabase">'Available Courses'!$A$2:$F$3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8/15/2023, 1:02:33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<sst xmlns="http://schemas.openxmlformats.org/spreadsheetml/2006/main" count="133" uniqueCount="93">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</sst>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shrinkToFit="0" wrapText="1"/>
    </xf>
    <xf borderId="0" fillId="5" fontId="5" numFmtId="0" xfId="0" applyAlignment="1" applyFont="1">
      <alignment readingOrder="0" shrinkToFit="0" wrapText="1"/>
    </xf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  <row r="10">
      <c r="A10" s="9" t="s">
        <v>20</v>
      </c>
      <c r="B10" s="12">
        <v>45146.0</v>
      </c>
    </row>
  </sheetData>
  <dataValidations>
    <dataValidation type="custom" allowBlank="1" showDropDown="1" sqref="B10">
      <formula1>OR(NOT(ISERROR(DATEVALUE(B10))), AND(ISNUMBER(B10), LEFT(CELL("format", B10))="D"))</formula1>
    </dataValidation>
    <dataValidation type="decimal" operator="greaterThan" allowBlank="1" showDropDown="1" showErrorMessage="1" sqref="B2">
      <formula1>2.0</formula1>
    </dataValidation>
    <dataValidation type="decimal" operator="greaterThan" allowBlank="1" showDropDown="1" showErrorMessage="1" sqref="B1">
      <formula1>1.0</formula1>
    </dataValidation>
    <dataValidation type="custom" allowBlank="1" showDropDown="1" sqref="B9">
      <formula1>IFERROR(ISURL(B9),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8">
      <formula1>IFERROR(ISEMAIL(B7),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21</v>
      </c>
      <c r="B2" s="15" t="str">
        <f t="array" ref="B2:E3">vlookup($A2:$A3,{'Course List'!$A:$D,'Course List'!$J:$J},column(B:E),false)</f>
        <v>Course Code</v>
      </c>
      <c r="C2" s="15" t="s">
        <v>22</v>
      </c>
      <c r="D2" s="15" t="s">
        <v>23</v>
      </c>
      <c r="E2" s="15" t="s">
        <v>24</v>
      </c>
      <c r="F2" s="16" t="s">
        <v>25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5" width="9.63"/>
    <col customWidth="1" min="16" max="17" width="7.25"/>
    <col customWidth="1" min="18" max="18" width="11.13"/>
    <col customWidth="1" min="19" max="20" width="7.0"/>
  </cols>
  <sheetData>
    <row r="1">
      <c r="A1" s="19" t="s">
        <v>26</v>
      </c>
      <c r="B1" s="19" t="s">
        <v>27</v>
      </c>
      <c r="C1" s="19" t="s">
        <v>28</v>
      </c>
      <c r="D1" s="20" t="str">
        <f t="array" ref="D1:D2">ifna(if(row(D:D)=1,'Advisor List'!B1,ifna(vlookup($A:$A,'Advisor List'!$A:$H,COLUMN()-2,false),vlookup($A:$A,'Advisor List (Previous Year)'!$A:$H,COLUMN()-2,false))),)</f>
        <v>Student Email</v>
      </c>
      <c r="E1" s="20" t="str">
        <f t="array" ref="E1:E2">ifna(if(row(E:E)=1,'Advisor List'!C1,ifna(vlookup($A:$A,'Advisor List'!$A:$H,COLUMN()-2,false),vlookup($A:$A,'Advisor List (Previous Year)'!$A:$H,COLUMN()-2,false))),)</f>
        <v>Student First Name</v>
      </c>
      <c r="F1" s="20" t="str">
        <f t="array" ref="F1:F2">ifna(if(row(F:F)=1,'Advisor List'!D1,ifna(vlookup($A:$A,'Advisor List'!$A:$H,COLUMN()-2,false),vlookup($A:$A,'Advisor List (Previous Year)'!$A:$H,COLUMN()-2,false))),)</f>
        <v>Student Last Name</v>
      </c>
      <c r="G1" s="20" t="str">
        <f t="array" ref="G1:G2">ifna(if(row(G:G)=1,'Advisor List'!E1,ifna(vlookup($A:$A,'Advisor List'!$A:$H,COLUMN()-2,false),vlookup($A:$A,'Advisor List (Previous Year)'!$A:$H,COLUMN()-2,false))),)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19" t="s">
        <v>8</v>
      </c>
      <c r="P1" s="20" t="str">
        <f t="array" ref="P1:P2">if(row(P:P)=1,"Inactive", isna(vlookup(A:A,'Advisor List'!A:A,1,false)))</f>
        <v>Inactive</v>
      </c>
      <c r="Q1" s="20" t="str">
        <f t="array" ref="Q1:Q2">if(row(Q:Q)=1,"New Advisor",iferror(if((P:P=false)*(xlookup(A:A,'Advisor List'!A:A,'Advisor List'!F:F)&lt;&gt;xlookup(A:A,'Advisor List (Previous Year)'!A:A,'Advisor List (Previous Year)'!F:F))=1,true,false),false))</f>
        <v>New Advisor</v>
      </c>
      <c r="R1" s="19" t="s">
        <v>29</v>
      </c>
      <c r="S1" s="19" t="s">
        <v>30</v>
      </c>
      <c r="T1" s="19" t="s">
        <v>31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4">
        <v>6.0</v>
      </c>
      <c r="P2" s="27" t="b">
        <v>1</v>
      </c>
      <c r="Q2" s="27" t="b">
        <v>0</v>
      </c>
      <c r="R2" s="23" t="b">
        <v>0</v>
      </c>
      <c r="S2" s="23" t="s">
        <v>32</v>
      </c>
      <c r="T2" s="23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1.25"/>
    <col customWidth="1" min="6" max="6" width="17.88"/>
    <col customWidth="1" min="7" max="8" width="7.25"/>
    <col customWidth="1" min="9" max="9" width="10.88"/>
  </cols>
  <sheetData>
    <row r="1">
      <c r="A1" s="28" t="s">
        <v>26</v>
      </c>
      <c r="B1" s="28" t="s">
        <v>33</v>
      </c>
      <c r="C1" s="28" t="s">
        <v>34</v>
      </c>
      <c r="D1" s="29" t="str">
        <f t="array" ref="D1:D2">if($A:$A&lt;&gt;"",ifna(vlookup($A:$A,'Advisor List'!$A:$D,2,false),vlookup($A:$A,'Advisor List (Previous Year)'!$A:$D,2,false)),"")</f>
        <v>Student Email</v>
      </c>
      <c r="E1" s="29" t="str">
        <f t="array" ref="E1:E2">if($A:$A&lt;&gt;"",ifna(vlookup($A:$A,'Advisor List'!$A:$D,3,false),vlookup($A:$A,'Advisor List (Previous Year)'!$A:$D,3,false)),"")</f>
        <v>Student First Name</v>
      </c>
      <c r="F1" s="29" t="str">
        <f t="array" ref="F1:F2">if($A:$A&lt;&gt;"",ifna(vlookup($A:$A,'Advisor List'!$A:$D,4,false),vlookup($A:$A,'Advisor List (Previous Year)'!$A:$D,4,false)),"")</f>
        <v>Student Last Name</v>
      </c>
      <c r="G1" s="30" t="str">
        <f t="array" ref="G1:G2">if(row(G:G)=1,"Inactive",isna(vlookup(A:A,'Advisor List'!A:A,1,false)))</f>
        <v>Inactive</v>
      </c>
      <c r="H1" s="30" t="str">
        <f t="array" ref="H1:H2">if(row(H:H)=1,"New Advisor",iferror(if((G:G=false)*(xlookup(A:A,'Advisor List'!A:A,'Advisor List'!F:F)&lt;&gt;xlookup(A:A,'Advisor List (Previous Year)'!A:A,'Advisor List (Previous Year)'!F:F))=1,true,false),false))</f>
        <v>New Advisor</v>
      </c>
      <c r="I1" s="28" t="s">
        <v>29</v>
      </c>
    </row>
    <row r="2">
      <c r="A2" s="23"/>
      <c r="B2" s="23"/>
      <c r="C2" s="23"/>
      <c r="D2" s="27" t="s">
        <v>35</v>
      </c>
      <c r="E2" s="27" t="s">
        <v>35</v>
      </c>
      <c r="F2" s="27" t="s">
        <v>35</v>
      </c>
      <c r="G2" s="27" t="b">
        <v>1</v>
      </c>
      <c r="H2" s="27" t="b">
        <v>0</v>
      </c>
      <c r="I2" s="2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36</v>
      </c>
      <c r="B1" s="9" t="s">
        <v>37</v>
      </c>
      <c r="C1" s="9" t="s">
        <v>38</v>
      </c>
      <c r="D1" s="31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31" t="str">
        <f t="array" ref="E1:E2">ifna(if(row(E:E)=1,'Advisor List'!H1,ifna(vlookup($A:$A,'Advisor List'!$F:$H,COLUMN()-2,false),vlookup($A:$A,'Advisor List (Previous Year)'!$F:$H,COLUMN()-2,false))),)</f>
        <v>Advisor Last Name</v>
      </c>
      <c r="F1" s="9" t="s">
        <v>39</v>
      </c>
    </row>
    <row r="2">
      <c r="A2" s="23" t="s">
        <v>40</v>
      </c>
      <c r="B2" s="23" t="s">
        <v>41</v>
      </c>
      <c r="C2" s="32" t="s">
        <v>42</v>
      </c>
      <c r="D2" s="25"/>
      <c r="E2" s="25"/>
      <c r="F2" s="24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43</v>
      </c>
      <c r="B1" s="9" t="s">
        <v>44</v>
      </c>
      <c r="C1" s="9" t="s">
        <v>45</v>
      </c>
    </row>
    <row r="2">
      <c r="A2" s="23" t="s">
        <v>40</v>
      </c>
      <c r="B2" s="23" t="s">
        <v>41</v>
      </c>
      <c r="C2" s="32" t="s">
        <v>42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43</v>
      </c>
      <c r="B1" s="9" t="s">
        <v>46</v>
      </c>
      <c r="C1" s="9" t="s">
        <v>47</v>
      </c>
    </row>
    <row r="2">
      <c r="A2" s="23" t="s">
        <v>40</v>
      </c>
      <c r="B2" s="23" t="s">
        <v>41</v>
      </c>
      <c r="C2" s="32" t="s">
        <v>42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  <col customWidth="1" min="10" max="11" width="11.13"/>
  </cols>
  <sheetData>
    <row r="1">
      <c r="A1" s="33" t="s">
        <v>26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36</v>
      </c>
      <c r="G1" s="34" t="s">
        <v>52</v>
      </c>
      <c r="H1" s="34" t="s">
        <v>53</v>
      </c>
      <c r="I1" s="31" t="str">
        <f t="array" ref="I1:I2">if(row(I:I)=1,"Menu Option",D:D&amp;", "&amp;C:C&amp;" ’"&amp;(E:E-2000)&amp;" ["&amp;A:A&amp;"]")</f>
        <v>Menu Option</v>
      </c>
      <c r="J1" s="31" t="str">
        <f t="array" ref="J1:J2">if(row(J:J)=1,"New Student",isna(vlookup(A:A,'Advisor List (Previous Year)'!A:A,1,false)))</f>
        <v>New Student</v>
      </c>
      <c r="K1" s="31" t="str">
        <f t="array" ref="K1:K2">if(row(K:K)=1,"New Advisor",xlookup(A:A,'Advisor List (Previous Year)'!A:A,'Advisor List (Previous Year)'!F:F)&lt;&gt;F:F)</f>
        <v>New Advisor</v>
      </c>
    </row>
    <row r="2">
      <c r="A2" s="35"/>
      <c r="B2" s="35"/>
      <c r="C2" s="35"/>
      <c r="D2" s="35"/>
      <c r="E2" s="35"/>
      <c r="F2" s="35"/>
      <c r="G2" s="35"/>
      <c r="H2" s="35"/>
      <c r="I2" s="36" t="s">
        <v>54</v>
      </c>
      <c r="J2" s="36" t="b">
        <v>1</v>
      </c>
      <c r="K2" s="36" t="e">
        <v>#N/A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26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36</v>
      </c>
      <c r="G1" s="9" t="s">
        <v>52</v>
      </c>
      <c r="H1" s="9" t="s">
        <v>53</v>
      </c>
    </row>
    <row r="2">
      <c r="A2" s="23"/>
      <c r="B2" s="23"/>
      <c r="C2" s="23"/>
      <c r="D2" s="23"/>
      <c r="E2" s="37"/>
      <c r="F2" s="23"/>
      <c r="G2" s="23"/>
      <c r="H2" s="2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3" t="s">
        <v>21</v>
      </c>
      <c r="B1" s="34" t="s">
        <v>55</v>
      </c>
      <c r="C1" s="34" t="s">
        <v>22</v>
      </c>
      <c r="D1" s="34" t="s">
        <v>23</v>
      </c>
      <c r="E1" s="34" t="s">
        <v>56</v>
      </c>
      <c r="F1" s="31" t="str">
        <f>IFERROR(__xludf.DUMMYFUNCTION("ARRAYFORMULA(if(row(F:F)=1,""Course Title"",iferror(index(REGEXEXTRACT(C:C,""^(.+) \([FWSY]\)""),0,0))))"),"Course Title")</f>
        <v>Course Title</v>
      </c>
      <c r="G1" s="31" t="s">
        <v>57</v>
      </c>
      <c r="H1" s="31" t="s">
        <v>58</v>
      </c>
      <c r="I1" s="31" t="s">
        <v>59</v>
      </c>
      <c r="J1" s="31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31" t="str">
        <f t="array" ref="K1:K2">if(row(K:K)=1,"Available",vlookup(A:A,'Available Courses'!A2:F$3,6,false))</f>
        <v>Available</v>
      </c>
    </row>
    <row r="2" ht="15.75" customHeight="1">
      <c r="A2" s="35"/>
      <c r="B2" s="35"/>
      <c r="C2" s="35"/>
      <c r="D2" s="35"/>
      <c r="E2" s="35"/>
      <c r="F2" s="36"/>
      <c r="G2" s="36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1" t="s">
        <v>60</v>
      </c>
      <c r="B1" s="31" t="s">
        <v>61</v>
      </c>
      <c r="C1" s="31" t="s">
        <v>62</v>
      </c>
      <c r="D1" s="31" t="s">
        <v>63</v>
      </c>
      <c r="E1" s="31" t="s">
        <v>64</v>
      </c>
      <c r="F1" s="31" t="s">
        <v>65</v>
      </c>
      <c r="G1" s="31" t="s">
        <v>66</v>
      </c>
      <c r="H1" s="31" t="s">
        <v>67</v>
      </c>
      <c r="I1" s="31" t="s">
        <v>68</v>
      </c>
      <c r="J1" s="31" t="s">
        <v>69</v>
      </c>
      <c r="K1" s="31" t="s">
        <v>70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4" t="s">
        <v>71</v>
      </c>
      <c r="B1" s="34" t="s">
        <v>72</v>
      </c>
      <c r="C1" s="34" t="s">
        <v>73</v>
      </c>
      <c r="D1" s="34" t="s">
        <v>26</v>
      </c>
      <c r="E1" s="34" t="s">
        <v>74</v>
      </c>
      <c r="F1" s="34" t="s">
        <v>75</v>
      </c>
      <c r="G1" s="34" t="s">
        <v>76</v>
      </c>
      <c r="H1" s="34" t="s">
        <v>77</v>
      </c>
      <c r="I1" s="34" t="s">
        <v>78</v>
      </c>
      <c r="J1" s="34" t="s">
        <v>79</v>
      </c>
      <c r="K1" s="34" t="s">
        <v>80</v>
      </c>
      <c r="L1" s="34" t="s">
        <v>81</v>
      </c>
      <c r="M1" s="34" t="s">
        <v>82</v>
      </c>
      <c r="N1" s="34" t="s">
        <v>83</v>
      </c>
      <c r="O1" s="31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31" t="str">
        <f>IFERROR(__xludf.DUMMYFUNCTION("ARRAYFORMULA(if(row(Enrollment_ParentheticalNote)=1,""Parenthetical Note"",ifna(REGEXEXTRACT(Enrollment_BaseTitle,""\((.+)\)""),)))"),"Parenthetical Note")</f>
        <v>Parenthetical Note</v>
      </c>
      <c r="Q1" s="31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31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31" t="str">
        <f t="array" ref="S1:S2">if(row(Enrollment_Order)=1,"Order",switch(Enrollment_TermName,"Fall Term",1,"Winter Term",2,"Spring Term",3,0)-if(Enrollment_Status="Dropped",0.5,0))</f>
        <v>Order</v>
      </c>
      <c r="T1" s="31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38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5"/>
      <c r="N2" s="35"/>
      <c r="O2" s="36"/>
      <c r="P2" s="36"/>
      <c r="Q2" s="36"/>
      <c r="R2" s="36" t="s">
        <v>84</v>
      </c>
      <c r="S2" s="36">
        <v>0.0</v>
      </c>
      <c r="T2" s="36" t="s">
        <v>35</v>
      </c>
      <c r="U2" s="36" t="b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0"/>
      <c r="B1" s="41" t="s">
        <v>26</v>
      </c>
      <c r="C1" s="41" t="s">
        <v>85</v>
      </c>
      <c r="D1" s="41" t="s">
        <v>86</v>
      </c>
      <c r="E1" s="42"/>
      <c r="F1" s="42"/>
    </row>
    <row r="2">
      <c r="A2" s="43"/>
      <c r="B2" s="44" t="str">
        <f>IFERROR(__xludf.DUMMYFUNCTION("if(A2&lt;&gt;"""",A2,REGEXEXTRACT(A1,""\[(.+)\]$""))"),"#N/A")</f>
        <v>#N/A</v>
      </c>
      <c r="C2" s="44" t="str">
        <f t="array" ref="C2">join(" ",INDEX('Advisor List'!C:D,match(B2,'Advisor List'!A:A,0),0))</f>
        <v>#N/A</v>
      </c>
      <c r="D2" s="44" t="str">
        <f t="array" ref="D2">INDEX('Advisor List'!E:E,match(B2,'Advisor List'!A:A,0),0)</f>
        <v>#N/A</v>
      </c>
      <c r="E2" s="42"/>
      <c r="F2" s="42"/>
    </row>
    <row r="3">
      <c r="A3" s="45" t="s">
        <v>87</v>
      </c>
      <c r="B3" s="46" t="str">
        <f t="array" ref="B3:F3">IEH_GradYear-(6-COLUMN(B5:F5))</f>
        <v>#N/A</v>
      </c>
      <c r="C3" s="46" t="e">
        <v>#N/A</v>
      </c>
      <c r="D3" s="47" t="e">
        <v>#N/A</v>
      </c>
      <c r="E3" s="47" t="e">
        <v>#N/A</v>
      </c>
      <c r="F3" s="48" t="e">
        <v>#N/A</v>
      </c>
    </row>
    <row r="4">
      <c r="A4" s="49"/>
      <c r="B4" s="50" t="s">
        <v>88</v>
      </c>
      <c r="C4" s="50" t="s">
        <v>89</v>
      </c>
      <c r="D4" s="50" t="s">
        <v>90</v>
      </c>
      <c r="E4" s="50" t="s">
        <v>91</v>
      </c>
      <c r="F4" s="50" t="s">
        <v>92</v>
      </c>
    </row>
    <row r="5">
      <c r="A5" s="49"/>
      <c r="B5" s="51" t="str">
        <f t="array" ref="B5:F5">(B3:F3-1)&amp;" - "&amp;B3:F3</f>
        <v>#N/A</v>
      </c>
      <c r="C5" s="51" t="e">
        <v>#N/A</v>
      </c>
      <c r="D5" s="51" t="e">
        <v>#N/A</v>
      </c>
      <c r="E5" s="51" t="e">
        <v>#N/A</v>
      </c>
      <c r="F5" s="51" t="e">
        <v>#N/A</v>
      </c>
    </row>
    <row r="6">
      <c r="A6" s="52" t="s">
        <v>60</v>
      </c>
      <c r="B6" s="53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3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3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3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3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2" t="s">
        <v>61</v>
      </c>
      <c r="B7" s="53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3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3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3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3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2" t="s">
        <v>62</v>
      </c>
      <c r="B8" s="53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3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3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3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3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2" t="s">
        <v>63</v>
      </c>
      <c r="B9" s="53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3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3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3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3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2" t="s">
        <v>64</v>
      </c>
      <c r="B10" s="53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3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3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3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3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2" t="s">
        <v>65</v>
      </c>
      <c r="B11" s="53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3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3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3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3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2" t="s">
        <v>66</v>
      </c>
      <c r="B12" s="53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3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3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3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3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2" t="s">
        <v>67</v>
      </c>
      <c r="B13" s="53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3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3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3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3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2" t="s">
        <v>68</v>
      </c>
      <c r="B14" s="53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3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3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3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3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2" t="s">
        <v>69</v>
      </c>
      <c r="B15" s="53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3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3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3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3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2" t="s">
        <v>70</v>
      </c>
      <c r="B16" s="53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3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3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3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3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