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Course Plan" sheetId="1" r:id="rId4"/>
    <sheet state="visible" name="Legend" sheetId="2" r:id="rId5"/>
    <sheet state="visible" name="Parameters" sheetId="3" r:id="rId6"/>
    <sheet state="visible" name="Course Plan Inventory" sheetId="4" r:id="rId7"/>
    <sheet state="visible" name="Advisor Folder Inventory" sheetId="5" r:id="rId8"/>
    <sheet state="visible" name="Form Folder Inventory" sheetId="6" r:id="rId9"/>
    <sheet state="visible" name="Historical Enrollment" sheetId="7" r:id="rId10"/>
    <sheet state="visible" name="Advisor List" sheetId="8" r:id="rId11"/>
    <sheet state="visible" name="Course List" sheetId="9" r:id="rId12"/>
    <sheet state="visible" name="Courses by Department" sheetId="10" r:id="rId13"/>
  </sheets>
  <definedNames>
    <definedName name="Enrollment_Title">'Historical Enrollment'!$X$2</definedName>
    <definedName name="Param_FormFolderNameFormat">Parameters!$B$3</definedName>
    <definedName localSheetId="0" name="Protect_LeftMargin">'Sample Course Plan'!$A:$A</definedName>
    <definedName localSheetId="0" name="Protect_TopMargin">'Sample Course Plan'!$B$1:$F$5</definedName>
    <definedName localSheetId="0" name="Template_Names">'Sample Course Plan'!$A$1:$A$2</definedName>
    <definedName localSheetId="0" name="Protect_AfterStudiesCommittee">'Sample Course Plan'!$B$27:$F$29</definedName>
    <definedName name="Param_CoursePlanNameFormat">Parameters!$B$5</definedName>
    <definedName localSheetId="0" name="Template_Years">'Sample Course Plan'!$B$5:$F$5</definedName>
    <definedName name="Enrollment_Order">'Historical Enrollment'!$W$2</definedName>
    <definedName localSheetId="0" name="Protect_AfterAdvisor">'Sample Course Plan'!$B$22:$F$24</definedName>
    <definedName name="Enrollment_Host_ID">'Historical Enrollment'!$A$2</definedName>
    <definedName name="Param_StudiesCommittee">Parameters!$B$6</definedName>
    <definedName name="Enrollment_Department">'Historical Enrollment'!$P$2</definedName>
    <definedName name="Param_AdvisorFolderNameFormat">Parameters!$B$4</definedName>
    <definedName localSheetId="0" name="Protect_Advisor">'Sample Course Plan'!$B$20:$F$21</definedName>
    <definedName localSheetId="0" name="Protect_CollegeCounselingOffice">'Sample Course Plan'!$B$30:$F$31</definedName>
    <definedName name="Enrollment_Original_Title">'Historical Enrollment'!$I$2</definedName>
    <definedName name="Enrollment_Year">'Historical Enrollment'!$G$2</definedName>
    <definedName localSheetId="0" name="Protect_StudiesCommittee">'Sample Course Plan'!$B$25:$F$26</definedName>
    <definedName name="Param_CollegeCounselingOffice">Parameters!$B$7</definedName>
    <definedName name="Enrollment_TitleWithTerm">'Historical Enrollment'!$I$2</definedName>
    <definedName localSheetId="0" name="Template_Anchor">'Sample Course Plan'!$B$6</definedName>
    <definedName name="Enrollment_Dropped">'Historical Enrollment'!$S$2</definedName>
    <definedName name="Param_NumOptionsPerDepartment">Parameters!$B$1</definedName>
    <definedName name="Param_CoursePlanTemplate">Parameters!$B$8</definedName>
    <definedName name="Param_NumComments">Parameters!$B$2</definedName>
    <definedName name="Enrollment_Term">'Historical Enrollment'!$V$2</definedName>
    <definedName name="Course_Titles">'Course List'!$C$2</definedName>
    <definedName name="Enrollment_BaseTitle">'Historical Enrollment'!$U$2</definedName>
    <definedName hidden="1" localSheetId="6" name="_xlnm._FilterDatabase">'Historical Enrollment'!$A$1:$X$2</definedName>
    <definedName hidden="1" localSheetId="7" name="_xlnm._FilterDatabase">'Advisor List'!$A$1:$H$2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"Historical Enrollment for Course Planning" 3/8/2023, 1:46:34 PM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2/24/2023, 12:35:44 PM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3/3/2023, 1:47:57 PM</t>
      </text>
    </comment>
  </commentList>
</comments>
</file>

<file path=xl/sharedStrings.xml><?xml version="1.0" encoding="utf-8"?>
<sst xmlns="http://schemas.openxmlformats.org/spreadsheetml/2006/main" count="121" uniqueCount="88">
  <si>
    <t>Samuel Clemens ‘27</t>
  </si>
  <si>
    <t>Advisor: Horace Bixby</t>
  </si>
  <si>
    <t>II Form</t>
  </si>
  <si>
    <t>III Form</t>
  </si>
  <si>
    <t>IV Form</t>
  </si>
  <si>
    <t>V Form</t>
  </si>
  <si>
    <t>VI Form</t>
  </si>
  <si>
    <t>2019 - 2020</t>
  </si>
  <si>
    <t>2020 - 2021</t>
  </si>
  <si>
    <t>2021 - 2022</t>
  </si>
  <si>
    <t>2022 - 2023</t>
  </si>
  <si>
    <t>2023 - 2024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</si>
  <si>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</si>
  <si>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</si>
  <si>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</si>
  <si>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</si>
  <si>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</si>
  <si>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</si>
  <si>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</si>
  <si>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</si>
  <si>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</si>
  <si>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</si>
  <si>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</si>
  <si>
    <t>Comments from Faculty Advisor</t>
  </si>
  <si>
    <t>Date</t>
  </si>
  <si>
    <t>Comment</t>
  </si>
  <si>
    <t>Initials</t>
  </si>
  <si>
    <t>Comments from Studies Committee</t>
  </si>
  <si>
    <t>Comments from College Counseling Office</t>
  </si>
  <si>
    <t>Cell Color Legend</t>
  </si>
  <si>
    <t>Data retrieved from Blackbaud</t>
  </si>
  <si>
    <t>Do not edit</t>
  </si>
  <si>
    <t>Data updated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</si>
  <si>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</si>
  <si>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</si>
  <si>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</si>
  <si>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</si>
  <si>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</si>
  <si>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Form Folder Name Format</t>
  </si>
  <si>
    <t>Class of {{gradYear}}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</si>
  <si>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</si>
  <si>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</si>
  <si>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</si>
  <si>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</si>
  <si>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Studies Committee</t>
  </si>
  <si>
    <t>College Counseling Office</t>
  </si>
  <si>
    <t>Course Plan Template</t>
  </si>
  <si>
    <t>Host ID</t>
  </si>
  <si>
    <t>Course Plan ID</t>
  </si>
  <si>
    <t>Course Plan URL</t>
  </si>
  <si>
    <t>Advisor Email</t>
  </si>
  <si>
    <t>Advisor Folder ID</t>
  </si>
  <si>
    <t>Advisor Folder URL</t>
  </si>
  <si>
    <t>Permissions Set</t>
  </si>
  <si>
    <t>ROOT</t>
  </si>
  <si>
    <t>FOLDER_ID</t>
  </si>
  <si>
    <t>https://drive.google.com/drive/folders/FOLDER_ID</t>
  </si>
  <si>
    <t>Form</t>
  </si>
  <si>
    <t>Form Folder ID</t>
  </si>
  <si>
    <t>Form Folder URL</t>
  </si>
  <si>
    <t>Student Email</t>
  </si>
  <si>
    <t>Student User ID</t>
  </si>
  <si>
    <t>Student First Name</t>
  </si>
  <si>
    <t>Student Last Name</t>
  </si>
  <si>
    <t>Student Grad Year</t>
  </si>
  <si>
    <t>School Year</t>
  </si>
  <si>
    <t>Course Code</t>
  </si>
  <si>
    <t>Course Title (with term)</t>
  </si>
  <si>
    <t>Length</t>
  </si>
  <si>
    <t>Group Identifier</t>
  </si>
  <si>
    <t>Course ID</t>
  </si>
  <si>
    <t>Faculty User ID</t>
  </si>
  <si>
    <t>Faculty First Name</t>
  </si>
  <si>
    <t>Faculty Last Name</t>
  </si>
  <si>
    <t>Department</t>
  </si>
  <si>
    <t>Begin Date</t>
  </si>
  <si>
    <t>End Date</t>
  </si>
  <si>
    <t>Dropped</t>
  </si>
  <si>
    <t>Dropped Comment</t>
  </si>
  <si>
    <t>Course Title</t>
  </si>
  <si>
    <t>Term</t>
  </si>
  <si>
    <t>Order</t>
  </si>
  <si>
    <t>Formatted Course Title</t>
  </si>
  <si>
    <t>Grad Year</t>
  </si>
  <si>
    <t>Advisor First Name</t>
  </si>
  <si>
    <t>Advisor Last Name</t>
  </si>
  <si>
    <t>Description</t>
  </si>
  <si>
    <t>Course 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</si>
</sst>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 h:mm:ss"/>
    <numFmt numFmtId="166" formatCode="m/d/yyyy h:mm:ss"/>
  </numFmts>
  <fonts count="14">
    <font>
      <sz val="10.0"/>
      <color rgb="FF000000"/>
      <name val="Arial"/>
      <scheme val="minor"/>
    </font>
    <font>
      <b/>
      <sz val="18.0"/>
      <color theme="1"/>
      <name val="Arial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i/>
      <sz val="9.0"/>
      <color theme="1"/>
      <name val="Arial"/>
      <scheme val="minor"/>
    </font>
    <font>
      <i/>
      <color theme="1"/>
      <name val="Arial"/>
      <scheme val="minor"/>
    </font>
    <font>
      <sz val="9.0"/>
      <color theme="1"/>
      <name val="Arial"/>
      <scheme val="minor"/>
    </font>
    <font/>
    <font>
      <b/>
      <sz val="18.0"/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EBE9"/>
        <bgColor rgb="FFFFEBE9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2" fontId="6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4" numFmtId="164" xfId="0" applyAlignment="1" applyFont="1" applyNumberFormat="1">
      <alignment readingOrder="0" shrinkToFit="0" vertical="center" wrapText="1"/>
    </xf>
    <xf borderId="0" fillId="0" fontId="8" numFmtId="164" xfId="0" applyAlignment="1" applyFont="1" applyNumberForma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1" fillId="0" fontId="2" numFmtId="164" xfId="0" applyAlignment="1" applyBorder="1" applyFont="1" applyNumberForma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9" numFmtId="0" xfId="0" applyBorder="1" applyFont="1"/>
    <xf borderId="4" fillId="0" fontId="9" numFmtId="0" xfId="0" applyBorder="1" applyFont="1"/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0" fillId="0" fontId="2" numFmtId="164" xfId="0" applyAlignment="1" applyFont="1" applyNumberFormat="1">
      <alignment shrinkToFit="0" vertical="center" wrapText="1"/>
    </xf>
    <xf borderId="1" fillId="0" fontId="2" numFmtId="164" xfId="0" applyAlignment="1" applyBorder="1" applyFont="1" applyNumberFormat="1">
      <alignment readingOrder="0" shrinkToFit="0" vertical="center" wrapText="1"/>
    </xf>
    <xf borderId="0" fillId="0" fontId="10" numFmtId="0" xfId="0" applyAlignment="1" applyFont="1">
      <alignment readingOrder="0" vertical="center"/>
    </xf>
    <xf borderId="0" fillId="3" fontId="2" numFmtId="0" xfId="0" applyAlignment="1" applyFill="1" applyFont="1">
      <alignment readingOrder="0" vertical="center"/>
    </xf>
    <xf borderId="0" fillId="4" fontId="11" numFmtId="0" xfId="0" applyAlignment="1" applyFill="1" applyFont="1">
      <alignment horizontal="center" readingOrder="0" textRotation="180" vertical="center"/>
    </xf>
    <xf borderId="0" fillId="5" fontId="2" numFmtId="0" xfId="0" applyAlignment="1" applyFill="1" applyFont="1">
      <alignment readingOrder="0" vertical="center"/>
    </xf>
    <xf borderId="0" fillId="2" fontId="2" numFmtId="0" xfId="0" applyAlignment="1" applyFont="1">
      <alignment readingOrder="0" vertical="center"/>
    </xf>
    <xf borderId="0" fillId="0" fontId="12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5" fontId="4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5" fontId="13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" numFmtId="165" xfId="0" applyAlignment="1" applyFont="1" applyNumberFormat="1">
      <alignment readingOrder="0"/>
    </xf>
    <xf borderId="0" fillId="3" fontId="2" numFmtId="166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4" numFmtId="0" xfId="0" applyAlignment="1" applyFont="1">
      <alignment horizontal="right" readingOrder="0"/>
    </xf>
  </cellXfs>
  <cellStyles count="1">
    <cellStyle xfId="0" name="Normal" builtinId="0"/>
  </cellStyles>
  <dxfs count="1"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D1t9tNGQDWmc-QjcHMF7mCH2MITXPb0E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_ZxzjyX5tcvcLtv8ExQA2UW0KcmTHDWy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3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5"/>
    <col customWidth="1" min="2" max="6" width="22.5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2"/>
      <c r="C2" s="2"/>
      <c r="D2" s="2"/>
      <c r="E2" s="2"/>
      <c r="F2" s="2"/>
    </row>
    <row r="3">
      <c r="A3" s="4"/>
      <c r="B3" s="5"/>
      <c r="C3" s="5"/>
      <c r="D3" s="5"/>
      <c r="E3" s="5"/>
      <c r="F3" s="5"/>
    </row>
    <row r="4">
      <c r="A4" s="4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</row>
    <row r="5">
      <c r="A5" s="4"/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</row>
    <row r="6">
      <c r="A6" s="8" t="s">
        <v>12</v>
      </c>
      <c r="B6" s="9" t="str">
        <f>IFERROR(__xludf.DUMMYFUNCTION("IFNA(JOIN(CHAR(10),UNIQUE(INDEX(SORT(FILTER({Enrollment_Title, Enrollment_Order},Enrollment_Host_ID=""A61343"",Enrollment_Year=""2019 - 2020"",Enrollment_Department=""English""),2,true,1,true),,1))),)"),"")</f>
        <v/>
      </c>
      <c r="C6" s="9" t="str">
        <f>IFERROR(__xludf.DUMMYFUNCTION("IFNA(JOIN(CHAR(10),UNIQUE(INDEX(SORT(FILTER({Enrollment_Title, Enrollment_Order},Enrollment_Host_ID=""A61343"",Enrollment_Year=""2020 - 2021"",Enrollment_Department=""English""),2,true,1,true),,1))),)"),"")</f>
        <v/>
      </c>
      <c r="D6" s="9" t="str">
        <f>IFERROR(__xludf.DUMMYFUNCTION("IFNA(JOIN(CHAR(10),UNIQUE(INDEX(SORT(FILTER({Enrollment_Title, Enrollment_Order},Enrollment_Host_ID=""A61343"",Enrollment_Year=""2021 - 2022"",Enrollment_Department=""English""),2,true,1,true),,1))),)"),"")</f>
        <v/>
      </c>
      <c r="E6" s="9" t="str">
        <f>IFERROR(__xludf.DUMMYFUNCTION("IFNA(JOIN(CHAR(10),UNIQUE(INDEX(SORT(FILTER({Enrollment_Title, Enrollment_Order},Enrollment_Host_ID=""A61343"",Enrollment_Year=""2022 - 2023"",Enrollment_Department=""English""),2,true,1,true),,1))),)"),"")</f>
        <v/>
      </c>
      <c r="F6" s="9"/>
    </row>
    <row r="7">
      <c r="A7" s="10" t="s">
        <v>13</v>
      </c>
      <c r="B7" s="11" t="str">
        <f>IFERROR(__xludf.DUMMYFUNCTION("IFNA(JOIN(CHAR(10),UNIQUE(INDEX(SORT(FILTER({Enrollment_Title, Enrollment_Order},Enrollment_Host_ID=""A61343"",Enrollment_Year=""2019 - 2020"",Enrollment_Department=""Mathematics and Computer Science""),2,true,1,true),,1))),)"),"")</f>
        <v/>
      </c>
      <c r="C7" s="11" t="str">
        <f>IFERROR(__xludf.DUMMYFUNCTION("IFNA(JOIN(CHAR(10),UNIQUE(INDEX(SORT(FILTER({Enrollment_Title, Enrollment_Order},Enrollment_Host_ID=""A61343"",Enrollment_Year=""2020 - 2021"",Enrollment_Department=""Mathematics and Computer Science""),2,true,1,true),,1))),)"),"")</f>
        <v/>
      </c>
      <c r="D7" s="11" t="str">
        <f>IFERROR(__xludf.DUMMYFUNCTION("IFNA(JOIN(CHAR(10),UNIQUE(INDEX(SORT(FILTER({Enrollment_Title, Enrollment_Order},Enrollment_Host_ID=""A61343"",Enrollment_Year=""2021 - 2022"",Enrollment_Department=""Mathematics and Computer Science""),2,true,1,true),,1))),)"),"")</f>
        <v/>
      </c>
      <c r="E7" s="11" t="str">
        <f>IFERROR(__xludf.DUMMYFUNCTION("IFNA(JOIN(CHAR(10),UNIQUE(INDEX(SORT(FILTER({Enrollment_Title, Enrollment_Order},Enrollment_Host_ID=""A61343"",Enrollment_Year=""2022 - 2023"",Enrollment_Department=""Mathematics and Computer Science""),2,true,1,true),,1))),)"),"")</f>
        <v/>
      </c>
      <c r="F7" s="11"/>
    </row>
    <row r="8">
      <c r="A8" s="8" t="s">
        <v>14</v>
      </c>
      <c r="B8" s="9" t="str">
        <f>IFERROR(__xludf.DUMMYFUNCTION("IFNA(JOIN(CHAR(10),UNIQUE(INDEX(SORT(FILTER({Enrollment_Title, Enrollment_Order},Enrollment_Host_ID=""A61343"",Enrollment_Year=""2019 - 2020"",Enrollment_Department=""World Language and Culture""),2,true,1,true),,1))),)"),"")</f>
        <v/>
      </c>
      <c r="C8" s="9" t="str">
        <f>IFERROR(__xludf.DUMMYFUNCTION("IFNA(JOIN(CHAR(10),UNIQUE(INDEX(SORT(FILTER({Enrollment_Title, Enrollment_Order},Enrollment_Host_ID=""A61343"",Enrollment_Year=""2020 - 2021"",Enrollment_Department=""World Language and Culture""),2,true,1,true),,1))),)"),"")</f>
        <v/>
      </c>
      <c r="D8" s="9" t="str">
        <f>IFERROR(__xludf.DUMMYFUNCTION("IFNA(JOIN(CHAR(10),UNIQUE(INDEX(SORT(FILTER({Enrollment_Title, Enrollment_Order},Enrollment_Host_ID=""A61343"",Enrollment_Year=""2021 - 2022"",Enrollment_Department=""World Language and Culture""),2,true,1,true),,1))),)"),"")</f>
        <v/>
      </c>
      <c r="E8" s="9" t="str">
        <f>IFERROR(__xludf.DUMMYFUNCTION("IFNA(JOIN(CHAR(10),UNIQUE(INDEX(SORT(FILTER({Enrollment_Title, Enrollment_Order},Enrollment_Host_ID=""A61343"",Enrollment_Year=""2022 - 2023"",Enrollment_Department=""World Language and Culture""),2,true,1,true),,1))),)"),"")</f>
        <v/>
      </c>
      <c r="F8" s="9"/>
    </row>
    <row r="9">
      <c r="A9" s="10" t="s">
        <v>15</v>
      </c>
      <c r="B9" s="11" t="str">
        <f>IFERROR(__xludf.DUMMYFUNCTION("IFNA(JOIN(CHAR(10),UNIQUE(INDEX(SORT(FILTER({Enrollment_Title, Enrollment_Order},Enrollment_Host_ID=""A61343"",Enrollment_Year=""2019 - 2020"",Enrollment_Department=""Classics""),2,true,1,true),,1))),)"),"")</f>
        <v/>
      </c>
      <c r="C9" s="11" t="str">
        <f>IFERROR(__xludf.DUMMYFUNCTION("IFNA(JOIN(CHAR(10),UNIQUE(INDEX(SORT(FILTER({Enrollment_Title, Enrollment_Order},Enrollment_Host_ID=""A61343"",Enrollment_Year=""2020 - 2021"",Enrollment_Department=""Classics""),2,true,1,true),,1))),)"),"")</f>
        <v/>
      </c>
      <c r="D9" s="11" t="str">
        <f>IFERROR(__xludf.DUMMYFUNCTION("IFNA(JOIN(CHAR(10),UNIQUE(INDEX(SORT(FILTER({Enrollment_Title, Enrollment_Order},Enrollment_Host_ID=""A61343"",Enrollment_Year=""2021 - 2022"",Enrollment_Department=""Classics""),2,true,1,true),,1))),)"),"")</f>
        <v/>
      </c>
      <c r="E9" s="11" t="str">
        <f>IFERROR(__xludf.DUMMYFUNCTION("IFNA(JOIN(CHAR(10),UNIQUE(INDEX(SORT(FILTER({Enrollment_Title, Enrollment_Order},Enrollment_Host_ID=""A61343"",Enrollment_Year=""2022 - 2023"",Enrollment_Department=""Classics""),2,true,1,true),,1))),)"),"")</f>
        <v/>
      </c>
      <c r="F9" s="11"/>
    </row>
    <row r="10">
      <c r="A10" s="8" t="s">
        <v>16</v>
      </c>
      <c r="B10" s="9" t="str">
        <f>IFERROR(__xludf.DUMMYFUNCTION("IFNA(JOIN(CHAR(10),UNIQUE(INDEX(SORT(FILTER({Enrollment_Title, Enrollment_Order},Enrollment_Host_ID=""A61343"",Enrollment_Year=""2019 - 2020"",Enrollment_Department=""Science""),2,true,1,true),,1))),)"),"")</f>
        <v/>
      </c>
      <c r="C10" s="9" t="str">
        <f>IFERROR(__xludf.DUMMYFUNCTION("IFNA(JOIN(CHAR(10),UNIQUE(INDEX(SORT(FILTER({Enrollment_Title, Enrollment_Order},Enrollment_Host_ID=""A61343"",Enrollment_Year=""2020 - 2021"",Enrollment_Department=""Science""),2,true,1,true),,1))),)"),"")</f>
        <v/>
      </c>
      <c r="D10" s="9" t="str">
        <f>IFERROR(__xludf.DUMMYFUNCTION("IFNA(JOIN(CHAR(10),UNIQUE(INDEX(SORT(FILTER({Enrollment_Title, Enrollment_Order},Enrollment_Host_ID=""A61343"",Enrollment_Year=""2021 - 2022"",Enrollment_Department=""Science""),2,true,1,true),,1))),)"),"")</f>
        <v/>
      </c>
      <c r="E10" s="9" t="str">
        <f>IFERROR(__xludf.DUMMYFUNCTION("IFNA(JOIN(CHAR(10),UNIQUE(INDEX(SORT(FILTER({Enrollment_Title, Enrollment_Order},Enrollment_Host_ID=""A61343"",Enrollment_Year=""2022 - 2023"",Enrollment_Department=""Science""),2,true,1,true),,1))),)"),"")</f>
        <v/>
      </c>
      <c r="F10" s="9"/>
    </row>
    <row r="11">
      <c r="A11" s="10" t="s">
        <v>17</v>
      </c>
      <c r="B11" s="11" t="str">
        <f>IFERROR(__xludf.DUMMYFUNCTION("IFNA(JOIN(CHAR(10),UNIQUE(INDEX(SORT(FILTER({Enrollment_Title, Enrollment_Order},Enrollment_Host_ID=""A61343"",Enrollment_Year=""2019 - 2020"",Enrollment_Department=""Philosophy and Religious Studies""),2,true,1,true),,1))),)"),"")</f>
        <v/>
      </c>
      <c r="C11" s="11" t="str">
        <f>IFERROR(__xludf.DUMMYFUNCTION("IFNA(JOIN(CHAR(10),UNIQUE(INDEX(SORT(FILTER({Enrollment_Title, Enrollment_Order},Enrollment_Host_ID=""A61343"",Enrollment_Year=""2020 - 2021"",Enrollment_Department=""Philosophy and Religious Studies""),2,true,1,true),,1))),)"),"")</f>
        <v/>
      </c>
      <c r="D11" s="11" t="str">
        <f>IFERROR(__xludf.DUMMYFUNCTION("IFNA(JOIN(CHAR(10),UNIQUE(INDEX(SORT(FILTER({Enrollment_Title, Enrollment_Order},Enrollment_Host_ID=""A61343"",Enrollment_Year=""2021 - 2022"",Enrollment_Department=""Philosophy and Religious Studies""),2,true,1,true),,1))),)"),"")</f>
        <v/>
      </c>
      <c r="E11" s="11" t="str">
        <f>IFERROR(__xludf.DUMMYFUNCTION("IFNA(JOIN(CHAR(10),UNIQUE(INDEX(SORT(FILTER({Enrollment_Title, Enrollment_Order},Enrollment_Host_ID=""A61343"",Enrollment_Year=""2022 - 2023"",Enrollment_Department=""Philosophy and Religious Studies""),2,true,1,true),,1))),)"),"")</f>
        <v/>
      </c>
      <c r="F11" s="11"/>
    </row>
    <row r="12">
      <c r="A12" s="8" t="s">
        <v>18</v>
      </c>
      <c r="B12" s="9" t="str">
        <f>IFERROR(__xludf.DUMMYFUNCTION("IFNA(JOIN(CHAR(10),UNIQUE(INDEX(SORT(FILTER({Enrollment_Title, Enrollment_Order},Enrollment_Host_ID=""A61343"",Enrollment_Year=""2019 - 2020"",Enrollment_Department=""History and Social Science""),2,true,1,true),,1))),)"),"")</f>
        <v/>
      </c>
      <c r="C12" s="9" t="str">
        <f>IFERROR(__xludf.DUMMYFUNCTION("IFNA(JOIN(CHAR(10),UNIQUE(INDEX(SORT(FILTER({Enrollment_Title, Enrollment_Order},Enrollment_Host_ID=""A61343"",Enrollment_Year=""2020 - 2021"",Enrollment_Department=""History and Social Science""),2,true,1,true),,1))),)"),"")</f>
        <v/>
      </c>
      <c r="D12" s="9" t="str">
        <f>IFERROR(__xludf.DUMMYFUNCTION("IFNA(JOIN(CHAR(10),UNIQUE(INDEX(SORT(FILTER({Enrollment_Title, Enrollment_Order},Enrollment_Host_ID=""A61343"",Enrollment_Year=""2021 - 2022"",Enrollment_Department=""History and Social Science""),2,true,1,true),,1))),)"),"")</f>
        <v/>
      </c>
      <c r="E12" s="9" t="str">
        <f>IFERROR(__xludf.DUMMYFUNCTION("IFNA(JOIN(CHAR(10),UNIQUE(INDEX(SORT(FILTER({Enrollment_Title, Enrollment_Order},Enrollment_Host_ID=""A61343"",Enrollment_Year=""2022 - 2023"",Enrollment_Department=""History and Social Science""),2,true,1,true),,1))),)"),"")</f>
        <v/>
      </c>
      <c r="F12" s="9"/>
    </row>
    <row r="13">
      <c r="A13" s="10" t="s">
        <v>19</v>
      </c>
      <c r="B13" s="11" t="str">
        <f>IFERROR(__xludf.DUMMYFUNCTION("IFNA(JOIN(CHAR(10),UNIQUE(INDEX(SORT(FILTER({Enrollment_Title, Enrollment_Order},Enrollment_Host_ID=""A61343"",Enrollment_Year=""2019 - 2020"",Enrollment_Department=""Theater and Dance""),2,true,1,true),,1))),)"),"")</f>
        <v/>
      </c>
      <c r="C13" s="11" t="str">
        <f>IFERROR(__xludf.DUMMYFUNCTION("IFNA(JOIN(CHAR(10),UNIQUE(INDEX(SORT(FILTER({Enrollment_Title, Enrollment_Order},Enrollment_Host_ID=""A61343"",Enrollment_Year=""2020 - 2021"",Enrollment_Department=""Theater and Dance""),2,true,1,true),,1))),)"),"")</f>
        <v/>
      </c>
      <c r="D13" s="11" t="str">
        <f>IFERROR(__xludf.DUMMYFUNCTION("IFNA(JOIN(CHAR(10),UNIQUE(INDEX(SORT(FILTER({Enrollment_Title, Enrollment_Order},Enrollment_Host_ID=""A61343"",Enrollment_Year=""2021 - 2022"",Enrollment_Department=""Theater and Dance""),2,true,1,true),,1))),)"),"")</f>
        <v/>
      </c>
      <c r="E13" s="11" t="str">
        <f>IFERROR(__xludf.DUMMYFUNCTION("IFNA(JOIN(CHAR(10),UNIQUE(INDEX(SORT(FILTER({Enrollment_Title, Enrollment_Order},Enrollment_Host_ID=""A61343"",Enrollment_Year=""2022 - 2023"",Enrollment_Department=""Theater and Dance""),2,true,1,true),,1))),)"),"")</f>
        <v/>
      </c>
      <c r="F13" s="11"/>
    </row>
    <row r="14">
      <c r="A14" s="8" t="s">
        <v>20</v>
      </c>
      <c r="B14" s="9" t="str">
        <f>IFERROR(__xludf.DUMMYFUNCTION("IFNA(JOIN(CHAR(10),UNIQUE(INDEX(SORT(FILTER({Enrollment_Title, Enrollment_Order},Enrollment_Host_ID=""A61343"",Enrollment_Year=""2019 - 2020"",Enrollment_Department=""Visual Arts""),2,true,1,true),,1))),)"),"")</f>
        <v/>
      </c>
      <c r="C14" s="9" t="str">
        <f>IFERROR(__xludf.DUMMYFUNCTION("IFNA(JOIN(CHAR(10),UNIQUE(INDEX(SORT(FILTER({Enrollment_Title, Enrollment_Order},Enrollment_Host_ID=""A61343"",Enrollment_Year=""2020 - 2021"",Enrollment_Department=""Visual Arts""),2,true,1,true),,1))),)"),"")</f>
        <v/>
      </c>
      <c r="D14" s="9" t="str">
        <f>IFERROR(__xludf.DUMMYFUNCTION("IFNA(JOIN(CHAR(10),UNIQUE(INDEX(SORT(FILTER({Enrollment_Title, Enrollment_Order},Enrollment_Host_ID=""A61343"",Enrollment_Year=""2021 - 2022"",Enrollment_Department=""Visual Arts""),2,true,1,true),,1))),)"),"")</f>
        <v/>
      </c>
      <c r="E14" s="9" t="str">
        <f>IFERROR(__xludf.DUMMYFUNCTION("IFNA(JOIN(CHAR(10),UNIQUE(INDEX(SORT(FILTER({Enrollment_Title, Enrollment_Order},Enrollment_Host_ID=""A61343"",Enrollment_Year=""2022 - 2023"",Enrollment_Department=""Visual Arts""),2,true,1,true),,1))),)"),"")</f>
        <v/>
      </c>
      <c r="F14" s="9"/>
    </row>
    <row r="15">
      <c r="A15" s="10" t="s">
        <v>21</v>
      </c>
      <c r="B15" s="11" t="str">
        <f>IFERROR(__xludf.DUMMYFUNCTION("IFNA(JOIN(CHAR(10),UNIQUE(INDEX(SORT(FILTER({Enrollment_Title, Enrollment_Order},Enrollment_Host_ID=""A61343"",Enrollment_Year=""2019 - 2020"",Enrollment_Department=""Music""),2,true,1,true),,1))),)"),"")</f>
        <v/>
      </c>
      <c r="C15" s="11" t="str">
        <f>IFERROR(__xludf.DUMMYFUNCTION("IFNA(JOIN(CHAR(10),UNIQUE(INDEX(SORT(FILTER({Enrollment_Title, Enrollment_Order},Enrollment_Host_ID=""A61343"",Enrollment_Year=""2020 - 2021"",Enrollment_Department=""Music""),2,true,1,true),,1))),)"),"")</f>
        <v/>
      </c>
      <c r="D15" s="11" t="str">
        <f>IFERROR(__xludf.DUMMYFUNCTION("IFNA(JOIN(CHAR(10),UNIQUE(INDEX(SORT(FILTER({Enrollment_Title, Enrollment_Order},Enrollment_Host_ID=""A61343"",Enrollment_Year=""2021 - 2022"",Enrollment_Department=""Music""),2,true,1,true),,1))),)"),"")</f>
        <v/>
      </c>
      <c r="E15" s="11" t="str">
        <f>IFERROR(__xludf.DUMMYFUNCTION("IFNA(JOIN(CHAR(10),UNIQUE(INDEX(SORT(FILTER({Enrollment_Title, Enrollment_Order},Enrollment_Host_ID=""A61343"",Enrollment_Year=""2022 - 2023"",Enrollment_Department=""Music""),2,true,1,true),,1))),)"),"")</f>
        <v/>
      </c>
      <c r="F15" s="11"/>
    </row>
    <row r="16">
      <c r="A16" s="8" t="s">
        <v>22</v>
      </c>
      <c r="B16" s="9" t="str">
        <f>IFERROR(__xludf.DUMMYFUNCTION("IFNA(JOIN(CHAR(10),UNIQUE(INDEX(SORT(FILTER({Enrollment_Title, Enrollment_Order},Enrollment_Host_ID=""A61343"",Enrollment_Year=""2019 - 2020"",Enrollment_Department=""Non-Departmental""),2,true,1,true),,1))),)"),"")</f>
        <v/>
      </c>
      <c r="C16" s="9" t="str">
        <f>IFERROR(__xludf.DUMMYFUNCTION("IFNA(JOIN(CHAR(10),UNIQUE(INDEX(SORT(FILTER({Enrollment_Title, Enrollment_Order},Enrollment_Host_ID=""A61343"",Enrollment_Year=""2020 - 2021"",Enrollment_Department=""Non-Departmental""),2,true,1,true),,1))),)"),"")</f>
        <v/>
      </c>
      <c r="D16" s="9" t="str">
        <f>IFERROR(__xludf.DUMMYFUNCTION("IFNA(JOIN(CHAR(10),UNIQUE(INDEX(SORT(FILTER({Enrollment_Title, Enrollment_Order},Enrollment_Host_ID=""A61343"",Enrollment_Year=""2021 - 2022"",Enrollment_Department=""Non-Departmental""),2,true,1,true),,1))),)"),"")</f>
        <v/>
      </c>
      <c r="E16" s="9" t="str">
        <f>IFERROR(__xludf.DUMMYFUNCTION("IFNA(JOIN(CHAR(10),UNIQUE(INDEX(SORT(FILTER({Enrollment_Title, Enrollment_Order},Enrollment_Host_ID=""A61343"",Enrollment_Year=""2022 - 2023"",Enrollment_Department=""Non-Departmental""),2,true,1,true),,1))),)"),"")</f>
        <v/>
      </c>
      <c r="F16" s="9"/>
    </row>
    <row r="17">
      <c r="A17" s="12"/>
      <c r="B17" s="11"/>
      <c r="C17" s="11"/>
      <c r="D17" s="11"/>
      <c r="E17" s="11"/>
      <c r="F17" s="11"/>
    </row>
    <row r="18">
      <c r="A18" s="12"/>
      <c r="B18" s="13" t="s">
        <v>23</v>
      </c>
      <c r="C18" s="11"/>
      <c r="D18" s="11"/>
      <c r="E18" s="11"/>
      <c r="F18" s="11"/>
    </row>
    <row r="19">
      <c r="A19" s="10"/>
      <c r="B19" s="14" t="s">
        <v>24</v>
      </c>
      <c r="C19" s="15" t="s">
        <v>25</v>
      </c>
      <c r="D19" s="16"/>
      <c r="E19" s="16"/>
      <c r="F19" s="15" t="s">
        <v>26</v>
      </c>
    </row>
    <row r="20">
      <c r="A20" s="12"/>
      <c r="B20" s="17"/>
      <c r="C20" s="18"/>
      <c r="D20" s="19"/>
      <c r="E20" s="20"/>
      <c r="F20" s="21"/>
    </row>
    <row r="21">
      <c r="A21" s="12"/>
      <c r="B21" s="17"/>
      <c r="C21" s="22"/>
      <c r="D21" s="19"/>
      <c r="E21" s="20"/>
      <c r="F21" s="21"/>
    </row>
    <row r="22">
      <c r="A22" s="12"/>
      <c r="B22" s="23"/>
      <c r="C22" s="11"/>
      <c r="D22" s="11"/>
      <c r="E22" s="11"/>
      <c r="F22" s="11"/>
    </row>
    <row r="23">
      <c r="A23" s="12"/>
      <c r="B23" s="13" t="s">
        <v>27</v>
      </c>
      <c r="C23" s="11"/>
      <c r="D23" s="11"/>
      <c r="E23" s="11"/>
      <c r="F23" s="11"/>
    </row>
    <row r="24">
      <c r="A24" s="10"/>
      <c r="B24" s="14" t="s">
        <v>24</v>
      </c>
      <c r="C24" s="15" t="s">
        <v>25</v>
      </c>
      <c r="D24" s="15"/>
      <c r="E24" s="16"/>
      <c r="F24" s="15" t="s">
        <v>26</v>
      </c>
    </row>
    <row r="25">
      <c r="A25" s="12"/>
      <c r="B25" s="17"/>
      <c r="C25" s="22"/>
      <c r="D25" s="19"/>
      <c r="E25" s="20"/>
      <c r="F25" s="21"/>
    </row>
    <row r="26">
      <c r="A26" s="12"/>
      <c r="B26" s="17"/>
      <c r="C26" s="22"/>
      <c r="D26" s="19"/>
      <c r="E26" s="20"/>
      <c r="F26" s="21"/>
    </row>
    <row r="27">
      <c r="A27" s="12"/>
      <c r="B27" s="23"/>
      <c r="C27" s="11"/>
      <c r="D27" s="11"/>
      <c r="E27" s="11"/>
      <c r="F27" s="11"/>
    </row>
    <row r="28">
      <c r="A28" s="12"/>
      <c r="B28" s="13" t="s">
        <v>28</v>
      </c>
      <c r="C28" s="11"/>
      <c r="D28" s="11"/>
      <c r="E28" s="11"/>
      <c r="F28" s="11"/>
    </row>
    <row r="29">
      <c r="A29" s="10"/>
      <c r="B29" s="14" t="s">
        <v>24</v>
      </c>
      <c r="C29" s="15" t="s">
        <v>25</v>
      </c>
      <c r="D29" s="15"/>
      <c r="E29" s="16"/>
      <c r="F29" s="15" t="s">
        <v>26</v>
      </c>
    </row>
    <row r="30">
      <c r="A30" s="12"/>
      <c r="B30" s="24"/>
      <c r="C30" s="22"/>
      <c r="D30" s="19"/>
      <c r="E30" s="20"/>
      <c r="F30" s="21"/>
    </row>
    <row r="31">
      <c r="A31" s="12"/>
      <c r="B31" s="24"/>
      <c r="C31" s="22"/>
      <c r="D31" s="19"/>
      <c r="E31" s="20"/>
      <c r="F31" s="21"/>
    </row>
  </sheetData>
  <mergeCells count="6">
    <mergeCell ref="C20:E20"/>
    <mergeCell ref="C21:E21"/>
    <mergeCell ref="C25:E25"/>
    <mergeCell ref="C26:E26"/>
    <mergeCell ref="C30:E30"/>
    <mergeCell ref="C31:E31"/>
  </mergeCells>
  <conditionalFormatting sqref="F20:F21 F25:F31">
    <cfRule type="expression" dxfId="0" priority="1">
      <formula>and(C20&lt;&gt;"",F20="")</formula>
    </cfRule>
  </conditionalFormatting>
  <conditionalFormatting sqref="B19:B31">
    <cfRule type="expression" dxfId="0" priority="2">
      <formula>and(C19&lt;&gt;"",B19="")</formula>
    </cfRule>
  </conditionalFormatting>
  <dataValidations>
    <dataValidation type="custom" allowBlank="1" showDropDown="1" sqref="B20:B21 B25:B26 B30:B31">
      <formula1>OR(NOT(ISERROR(DATEVALUE(B20))), AND(ISNUMBER(B20), LEFT(CELL("format", B20))="D"))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3.63"/>
  </cols>
  <sheetData>
    <row r="1">
      <c r="A1" s="25" t="s">
        <v>29</v>
      </c>
      <c r="B1" s="25"/>
    </row>
    <row r="2" ht="23.25" customHeight="1">
      <c r="A2" s="26" t="s">
        <v>30</v>
      </c>
      <c r="B2" s="27" t="s">
        <v>31</v>
      </c>
    </row>
    <row r="3" ht="23.25" customHeight="1">
      <c r="A3" s="28" t="s">
        <v>32</v>
      </c>
    </row>
    <row r="4" ht="23.25" customHeight="1">
      <c r="A4" s="29" t="s">
        <v>33</v>
      </c>
    </row>
    <row r="5">
      <c r="A5" s="30" t="s">
        <v>34</v>
      </c>
      <c r="B5" s="30"/>
    </row>
    <row r="6">
      <c r="A6" s="31" t="s">
        <v>35</v>
      </c>
      <c r="B6" s="32"/>
    </row>
  </sheetData>
  <mergeCells count="1">
    <mergeCell ref="B2:B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33" t="s">
        <v>36</v>
      </c>
      <c r="B1" s="34">
        <v>3.0</v>
      </c>
    </row>
    <row r="2">
      <c r="A2" s="33" t="s">
        <v>37</v>
      </c>
      <c r="B2" s="34">
        <v>6.0</v>
      </c>
    </row>
    <row r="3">
      <c r="A3" s="33" t="s">
        <v>38</v>
      </c>
      <c r="B3" s="34" t="s">
        <v>39</v>
      </c>
    </row>
    <row r="4">
      <c r="A4" s="33" t="s">
        <v>40</v>
      </c>
      <c r="B4" s="34" t="s">
        <v>41</v>
      </c>
    </row>
    <row r="5">
      <c r="A5" s="33" t="s">
        <v>42</v>
      </c>
      <c r="B5" s="34" t="s">
        <v>43</v>
      </c>
    </row>
    <row r="6">
      <c r="A6" s="33" t="s">
        <v>44</v>
      </c>
      <c r="B6" s="34"/>
    </row>
    <row r="7">
      <c r="A7" s="33" t="s">
        <v>45</v>
      </c>
      <c r="B7" s="34"/>
    </row>
    <row r="8">
      <c r="A8" s="33" t="s">
        <v>46</v>
      </c>
      <c r="B8" s="35"/>
    </row>
  </sheetData>
  <dataValidations>
    <dataValidation type="custom" allowBlank="1" showDropDown="1" showErrorMessage="1" sqref="B6:B7">
      <formula1>IFERROR(ISEMAIL(B6), true)</formula1>
    </dataValidation>
    <dataValidation type="decimal" operator="greaterThan" allowBlank="1" showDropDown="1" showErrorMessage="1" sqref="B2">
      <formula1>2.0</formula1>
    </dataValidation>
    <dataValidation type="custom" allowBlank="1" showDropDown="1" sqref="B3:B5">
      <formula1>NOT(ISERROR(SEARCH(("{{"),(B3))))</formula1>
    </dataValidation>
    <dataValidation type="custom" allowBlank="1" showDropDown="1" sqref="B8">
      <formula1>IFERROR(ISURL(B8), true)</formula1>
    </dataValidation>
    <dataValidation type="decimal" operator="greaterThan" allowBlank="1" showDropDown="1" showErrorMessage="1" sqref="B1">
      <formula1>1.0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11" max="11" width="15.13"/>
  </cols>
  <sheetData>
    <row r="1">
      <c r="A1" s="33" t="s">
        <v>47</v>
      </c>
      <c r="B1" s="33" t="s">
        <v>48</v>
      </c>
      <c r="C1" s="33" t="s">
        <v>49</v>
      </c>
      <c r="D1" s="36" t="str">
        <f t="array" ref="D1:D2">ifna(if(row(D:D)=1,'Advisor List'!B1,vlookup($A:$A,'Advisor List'!$A:$H,COLUMN()-2,false)),)</f>
        <v>Student Email</v>
      </c>
      <c r="E1" s="36" t="str">
        <f t="array" ref="E1:E2">ifna(if(row(E:E)=1,'Advisor List'!C1,vlookup($A:$A,'Advisor List'!$A:$H,COLUMN()-2,false)),)</f>
        <v>Student First Name</v>
      </c>
      <c r="F1" s="36" t="str">
        <f t="array" ref="F1:F2">ifna(if(row(F:F)=1,'Advisor List'!D1,vlookup($A:$A,'Advisor List'!$A:$H,COLUMN()-2,false)),)</f>
        <v>Student Last Name</v>
      </c>
      <c r="G1" s="36" t="str">
        <f t="array" ref="G1:G2">ifna(if(row(G:G)=1,'Advisor List'!E1,vlookup($A:$A,'Advisor List'!$A:$H,COLUMN()-2,false)),)</f>
        <v>Grad Year</v>
      </c>
      <c r="H1" s="37" t="str">
        <f t="array" ref="H1:H2">ifna(if(row(H:H)=1,'Advisor List'!F1,vlookup($A:$A,'Advisor List'!$A:$H,COLUMN()-2,false)),)</f>
        <v>Advisor Email</v>
      </c>
      <c r="I1" s="36" t="str">
        <f t="array" ref="I1:I2">ifna(if(row(I:I)=1,'Advisor List'!G1,vlookup($A:$A,'Advisor List'!$A:$H,COLUMN()-2,false)),)</f>
        <v>Advisor First Name</v>
      </c>
      <c r="J1" s="36" t="str">
        <f t="array" ref="J1:J2">ifna(if(row(J:J)=1,'Advisor List'!H1,vlookup($A:$A,'Advisor List'!$A:$H,COLUMN()-2,false)),)</f>
        <v>Advisor Last Name</v>
      </c>
      <c r="K1" s="36" t="str">
        <f t="array" ref="K1:K2">ifna(if(row(K:K)=1,'Advisor Folder Inventory'!B:B,vlookup($H:$H,'Advisor Folder Inventory'!$A:$B,2,false)),)</f>
        <v>Advisor Folder ID</v>
      </c>
      <c r="L1" s="36" t="str">
        <f t="array" ref="L1:L2">ifna(if(row(L:L)=1,'Form Folder Inventory'!C:C,vlookup($G:$G,'Form Folder Inventory'!$A:$B,2,false)),)</f>
        <v>Form Folder URL</v>
      </c>
    </row>
    <row r="2">
      <c r="A2" s="38"/>
      <c r="B2" s="38"/>
      <c r="C2" s="39"/>
      <c r="D2" s="40"/>
      <c r="E2" s="40"/>
      <c r="F2" s="40"/>
      <c r="G2" s="40"/>
      <c r="H2" s="41"/>
      <c r="I2" s="40"/>
      <c r="J2" s="40"/>
      <c r="K2" s="40"/>
      <c r="L2" s="4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33" t="s">
        <v>50</v>
      </c>
      <c r="B1" s="33" t="s">
        <v>51</v>
      </c>
      <c r="C1" s="33" t="s">
        <v>52</v>
      </c>
      <c r="D1" s="36" t="str">
        <f t="array" ref="D1:D2">ifna(if(row(D:D)=1,'Advisor List'!G1,vlookup($A:$A,'Advisor List'!$F:$H,COLUMN()-2,false)),)</f>
        <v>Advisor First Name</v>
      </c>
      <c r="E1" s="36" t="str">
        <f t="array" ref="E1:E2">ifna(if(row(E:E)=1,'Advisor List'!H1,vlookup($A:$A,'Advisor List'!$F:$H,COLUMN()-2,false)),)</f>
        <v>Advisor Last Name</v>
      </c>
      <c r="F1" s="33" t="s">
        <v>53</v>
      </c>
    </row>
    <row r="2">
      <c r="A2" s="38" t="s">
        <v>54</v>
      </c>
      <c r="B2" s="38" t="s">
        <v>55</v>
      </c>
      <c r="C2" s="42" t="s">
        <v>56</v>
      </c>
      <c r="D2" s="40"/>
      <c r="E2" s="40"/>
      <c r="F2" s="39" t="b">
        <v>1</v>
      </c>
    </row>
  </sheetData>
  <hyperlinks>
    <hyperlink r:id="rId1" ref="C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3" t="s">
        <v>57</v>
      </c>
      <c r="B1" s="33" t="s">
        <v>58</v>
      </c>
      <c r="C1" s="33" t="s">
        <v>59</v>
      </c>
    </row>
    <row r="2">
      <c r="A2" s="38" t="s">
        <v>54</v>
      </c>
      <c r="B2" s="38" t="s">
        <v>55</v>
      </c>
      <c r="C2" s="42" t="s">
        <v>56</v>
      </c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7.25"/>
    <col customWidth="1" min="24" max="24" width="55.38"/>
  </cols>
  <sheetData>
    <row r="1">
      <c r="A1" s="43" t="s">
        <v>47</v>
      </c>
      <c r="B1" s="43" t="s">
        <v>60</v>
      </c>
      <c r="C1" s="43" t="s">
        <v>61</v>
      </c>
      <c r="D1" s="43" t="s">
        <v>62</v>
      </c>
      <c r="E1" s="43" t="s">
        <v>63</v>
      </c>
      <c r="F1" s="43" t="s">
        <v>64</v>
      </c>
      <c r="G1" s="43" t="s">
        <v>65</v>
      </c>
      <c r="H1" s="43" t="s">
        <v>66</v>
      </c>
      <c r="I1" s="43" t="s">
        <v>67</v>
      </c>
      <c r="J1" s="43" t="s">
        <v>68</v>
      </c>
      <c r="K1" s="43" t="s">
        <v>69</v>
      </c>
      <c r="L1" s="43" t="s">
        <v>70</v>
      </c>
      <c r="M1" s="43" t="s">
        <v>71</v>
      </c>
      <c r="N1" s="43" t="s">
        <v>72</v>
      </c>
      <c r="O1" s="43" t="s">
        <v>73</v>
      </c>
      <c r="P1" s="43" t="s">
        <v>74</v>
      </c>
      <c r="Q1" s="43" t="s">
        <v>75</v>
      </c>
      <c r="R1" s="43" t="s">
        <v>76</v>
      </c>
      <c r="S1" s="43" t="s">
        <v>77</v>
      </c>
      <c r="T1" s="43" t="s">
        <v>78</v>
      </c>
      <c r="U1" s="36" t="s">
        <v>79</v>
      </c>
      <c r="V1" s="36" t="s">
        <v>80</v>
      </c>
      <c r="W1" s="36" t="s">
        <v>81</v>
      </c>
      <c r="X1" s="36" t="s">
        <v>82</v>
      </c>
    </row>
    <row r="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5"/>
      <c r="R2" s="46"/>
      <c r="S2" s="44"/>
      <c r="T2" s="44"/>
      <c r="U2" s="47" t="str">
        <f t="array" ref="U2">iferror(left(Enrollment_TitleWithTerm,find(" (",Enrollment_TitleWithTerm)-1),Enrollment_TitleWithTerm)</f>
        <v/>
      </c>
      <c r="V2" s="47" t="str">
        <f t="array" ref="V2">SWITCH(right(Enrollment_TitleWithTerm,3),"(F)","Fall","(W)","Winter","(S)","Spring",)</f>
        <v/>
      </c>
      <c r="W2" s="48">
        <f t="array" ref="W2">switch(Enrollment_Term,"Fall",1,"Winter",2,"Spring",3,0)-if(Enrollment_Dropped,0.5,0)</f>
        <v>0</v>
      </c>
      <c r="X2" s="48" t="str">
        <f t="array" ref="X2">if(Enrollment_Term&lt;&gt;"",if(countif(Enrollment_Original_Title,Enrollment_BaseTitle&amp;" (Y)"),,Enrollment_BaseTitle&amp;" ("&amp;Enrollment_Term&amp;")"),Enrollment_BaseTitle)&amp;if(Enrollment_Dropped," (Dropped)","")</f>
        <v/>
      </c>
    </row>
  </sheetData>
  <autoFilter ref="$A$1:$X$2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3" t="s">
        <v>47</v>
      </c>
      <c r="B1" s="43" t="s">
        <v>60</v>
      </c>
      <c r="C1" s="43" t="s">
        <v>62</v>
      </c>
      <c r="D1" s="43" t="s">
        <v>63</v>
      </c>
      <c r="E1" s="43" t="s">
        <v>83</v>
      </c>
      <c r="F1" s="43" t="s">
        <v>50</v>
      </c>
      <c r="G1" s="43" t="s">
        <v>84</v>
      </c>
      <c r="H1" s="43" t="s">
        <v>85</v>
      </c>
    </row>
    <row r="2">
      <c r="A2" s="44"/>
      <c r="B2" s="44"/>
      <c r="C2" s="44"/>
      <c r="D2" s="44"/>
      <c r="E2" s="44"/>
      <c r="F2" s="44"/>
      <c r="G2" s="44"/>
      <c r="H2" s="44"/>
    </row>
  </sheetData>
  <autoFilter ref="$A$1:$H$2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9" width="15.13"/>
  </cols>
  <sheetData>
    <row r="1">
      <c r="A1" s="49" t="s">
        <v>70</v>
      </c>
      <c r="B1" s="43" t="s">
        <v>66</v>
      </c>
      <c r="C1" s="43" t="s">
        <v>67</v>
      </c>
      <c r="D1" s="43" t="s">
        <v>74</v>
      </c>
      <c r="E1" s="43" t="s">
        <v>86</v>
      </c>
      <c r="F1" s="36" t="s">
        <v>79</v>
      </c>
      <c r="G1" s="36" t="s">
        <v>87</v>
      </c>
      <c r="H1" s="36" t="s">
        <v>81</v>
      </c>
      <c r="I1" s="36" t="s">
        <v>82</v>
      </c>
    </row>
    <row r="2">
      <c r="A2" s="44"/>
      <c r="B2" s="44"/>
      <c r="C2" s="44"/>
      <c r="D2" s="44"/>
      <c r="E2" s="44"/>
      <c r="F2" s="47" t="str">
        <f t="array" ref="F2">iferror(left(C2,find(" (",C2)-1),C2)</f>
        <v/>
      </c>
      <c r="G2" s="47" t="str">
        <f t="array" ref="G2">SWITCH(right(C2,3),"(F)","Fall","(W)","Winter","(S)","Spring",)</f>
        <v/>
      </c>
      <c r="H2" s="48">
        <f t="array" ref="H2">switch(G2,"Fall",1,"Winter",2,"Spring",3,0)</f>
        <v>0</v>
      </c>
      <c r="I2" s="48" t="str">
        <f t="array" ref="I2">if(G2&lt;&gt;"",if(countif(Course_Titles,F2&amp;" (Y)"),,F2&amp;" ("&amp;G2&amp;")"),F2)</f>
        <v/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36" t="s">
        <v>12</v>
      </c>
      <c r="B1" s="36" t="s">
        <v>13</v>
      </c>
      <c r="C1" s="36" t="s">
        <v>14</v>
      </c>
      <c r="D1" s="36" t="s">
        <v>15</v>
      </c>
      <c r="E1" s="36" t="s">
        <v>16</v>
      </c>
      <c r="F1" s="36" t="s">
        <v>17</v>
      </c>
      <c r="G1" s="36" t="s">
        <v>18</v>
      </c>
      <c r="H1" s="36" t="s">
        <v>19</v>
      </c>
      <c r="I1" s="36" t="s">
        <v>20</v>
      </c>
      <c r="J1" s="36" t="s">
        <v>21</v>
      </c>
      <c r="K1" s="36" t="s">
        <v>22</v>
      </c>
    </row>
    <row r="2">
      <c r="A2" s="48" t="str">
        <f>IFERROR(__xludf.DUMMYFUNCTION("unique(index(sort(filter('Course List'!$F:$I,'Course List'!$D:$D=A1),3,true,1,true),,4))"),"#N/A")</f>
        <v>#N/A</v>
      </c>
      <c r="B2" s="48" t="str">
        <f>IFERROR(__xludf.DUMMYFUNCTION("unique(index(sort(filter('Course List'!$F:$I,'Course List'!$D:$D=B1),3,true,1,true),,4))"),"#N/A")</f>
        <v>#N/A</v>
      </c>
      <c r="C2" s="48" t="str">
        <f>IFERROR(__xludf.DUMMYFUNCTION("unique(index(sort(filter('Course List'!$F:$I,'Course List'!$D:$D=C1),3,true,1,true),,4))"),"#N/A")</f>
        <v>#N/A</v>
      </c>
      <c r="D2" s="48" t="str">
        <f>IFERROR(__xludf.DUMMYFUNCTION("unique(index(sort(filter('Course List'!$F:$I,'Course List'!$D:$D=D1),3,true,1,true),,4))"),"#N/A")</f>
        <v>#N/A</v>
      </c>
      <c r="E2" s="48" t="str">
        <f>IFERROR(__xludf.DUMMYFUNCTION("unique(index(sort(filter('Course List'!$F:$I,'Course List'!$D:$D=E1),3,true,1,true),,4))"),"#N/A")</f>
        <v>#N/A</v>
      </c>
      <c r="F2" s="48" t="str">
        <f>IFERROR(__xludf.DUMMYFUNCTION("unique(index(sort(filter('Course List'!$F:$I,'Course List'!$D:$D=F1),3,true,1,true),,4))"),"#N/A")</f>
        <v>#N/A</v>
      </c>
      <c r="G2" s="48" t="str">
        <f>IFERROR(__xludf.DUMMYFUNCTION("unique(index(sort(filter('Course List'!$F:$I,'Course List'!$D:$D=G1),3,true,1,true),,4))"),"#N/A")</f>
        <v>#N/A</v>
      </c>
      <c r="H2" s="48" t="str">
        <f>IFERROR(__xludf.DUMMYFUNCTION("unique(index(sort(filter('Course List'!$F:$I,'Course List'!$D:$D=H1),3,true,1,true),,4))"),"#N/A")</f>
        <v>#N/A</v>
      </c>
      <c r="I2" s="48" t="str">
        <f>IFERROR(__xludf.DUMMYFUNCTION("unique(index(sort(filter('Course List'!$F:$I,'Course List'!$D:$D=I1),3,true,1,true),,4))"),"#N/A")</f>
        <v>#N/A</v>
      </c>
      <c r="J2" s="48" t="str">
        <f>IFERROR(__xludf.DUMMYFUNCTION("unique(index(sort(filter('Course List'!$F:$I,'Course List'!$D:$D=J1),3,true,1,true),,4))"),"#N/A")</f>
        <v>#N/A</v>
      </c>
      <c r="K2" s="48" t="str">
        <f>IFERROR(__xludf.DUMMYFUNCTION("unique(index(sort(filter('Course List'!$F:$I,'Course List'!$D:$D=K1),3,true,1,true),,4))"),"#N/A")</f>
        <v>#N/A</v>
      </c>
    </row>
    <row r="3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</row>
    <row r="4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</row>
    <row r="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</row>
    <row r="6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</row>
    <row r="7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</row>
    <row r="8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</row>
    <row r="10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</row>
    <row r="1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</row>
    <row r="16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</row>
    <row r="18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</row>
    <row r="19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</row>
    <row r="2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</row>
    <row r="3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</sheetData>
  <drawing r:id="rId1"/>
</worksheet>
</file>