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77F53F49-ED83-4FF4-A50A-ABB5FBD48CD2}" xr6:coauthVersionLast="47" xr6:coauthVersionMax="47" xr10:uidLastSave="{00000000-0000-0000-0000-000000000000}"/>
  <bookViews>
    <workbookView xWindow="-23148" yWindow="3132"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U27" i="9" l="1"/>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J1013" i="15" l="1"/>
  <c r="AZ1013" i="15" s="1"/>
  <c r="AK1013" i="15"/>
  <c r="AL1013" i="15"/>
  <c r="AN1013" i="15"/>
  <c r="AT1013" i="15"/>
  <c r="AU1013" i="15"/>
  <c r="AV1013" i="15"/>
  <c r="AX1013" i="15"/>
  <c r="AJ1014" i="15"/>
  <c r="AP1014" i="15" s="1"/>
  <c r="AK1014" i="15"/>
  <c r="AL1014" i="15"/>
  <c r="AN1014" i="15"/>
  <c r="AT1014" i="15"/>
  <c r="AU1014" i="15"/>
  <c r="AV1014" i="15"/>
  <c r="AX1014" i="15"/>
  <c r="AJ1015" i="15"/>
  <c r="AP1015" i="15" s="1"/>
  <c r="AK1015" i="15"/>
  <c r="AL1015" i="15"/>
  <c r="AN1015" i="15"/>
  <c r="AT1015" i="15"/>
  <c r="AU1015" i="15"/>
  <c r="AV1015" i="15"/>
  <c r="AX1015" i="15"/>
  <c r="AJ1016" i="15"/>
  <c r="AQ1016" i="15" s="1"/>
  <c r="AK1016" i="15"/>
  <c r="AL1016" i="15"/>
  <c r="AN1016" i="15"/>
  <c r="AT1016" i="15"/>
  <c r="AU1016" i="15"/>
  <c r="AV1016" i="15"/>
  <c r="AX1016" i="15"/>
  <c r="AJ1017" i="15"/>
  <c r="AZ1017" i="15" s="1"/>
  <c r="AK1017" i="15"/>
  <c r="AL1017" i="15"/>
  <c r="AN1017" i="15"/>
  <c r="AT1017" i="15"/>
  <c r="AU1017" i="15"/>
  <c r="AV1017" i="15"/>
  <c r="AX1017" i="15"/>
  <c r="AJ1018" i="15"/>
  <c r="AP1018" i="15" s="1"/>
  <c r="AK1018" i="15"/>
  <c r="AL1018" i="15"/>
  <c r="AN1018" i="15"/>
  <c r="AT1018" i="15"/>
  <c r="AU1018" i="15"/>
  <c r="AV1018" i="15"/>
  <c r="AX1018" i="15"/>
  <c r="AJ1019" i="15"/>
  <c r="AP1019" i="15" s="1"/>
  <c r="AK1019" i="15"/>
  <c r="AL1019" i="15"/>
  <c r="AN1019" i="15"/>
  <c r="AT1019" i="15"/>
  <c r="AU1019" i="15"/>
  <c r="AV1019" i="15"/>
  <c r="AX1019" i="15"/>
  <c r="AJ1020" i="15"/>
  <c r="AQ1020" i="15" s="1"/>
  <c r="AK1020" i="15"/>
  <c r="AL1020" i="15"/>
  <c r="AN1020" i="15"/>
  <c r="AT1020" i="15"/>
  <c r="AU1020" i="15"/>
  <c r="AV1020" i="15"/>
  <c r="AX1020" i="15"/>
  <c r="AJ1021" i="15"/>
  <c r="AZ1021" i="15" s="1"/>
  <c r="AK1021" i="15"/>
  <c r="AL1021" i="15"/>
  <c r="AN1021" i="15"/>
  <c r="AT1021" i="15"/>
  <c r="AU1021" i="15"/>
  <c r="AV1021" i="15"/>
  <c r="AX1021" i="15"/>
  <c r="AJ1022" i="15"/>
  <c r="AP1022" i="15" s="1"/>
  <c r="AK1022" i="15"/>
  <c r="AL1022" i="15"/>
  <c r="AN1022" i="15"/>
  <c r="AT1022" i="15"/>
  <c r="AU1022" i="15"/>
  <c r="AV1022" i="15"/>
  <c r="AX1022" i="15"/>
  <c r="AJ1023" i="15"/>
  <c r="AP1023" i="15" s="1"/>
  <c r="AK1023" i="15"/>
  <c r="AL1023" i="15"/>
  <c r="AN1023" i="15"/>
  <c r="AT1023" i="15"/>
  <c r="AU1023" i="15"/>
  <c r="AV1023" i="15"/>
  <c r="AX1023" i="15"/>
  <c r="AJ1024" i="15"/>
  <c r="AQ1024" i="15" s="1"/>
  <c r="AK1024" i="15"/>
  <c r="AL1024" i="15"/>
  <c r="AN1024" i="15"/>
  <c r="AT1024" i="15"/>
  <c r="AU1024" i="15"/>
  <c r="AV1024" i="15"/>
  <c r="AX1024" i="15"/>
  <c r="AJ1025" i="15"/>
  <c r="AO1025" i="15" s="1"/>
  <c r="AK1025" i="15"/>
  <c r="AL1025" i="15"/>
  <c r="AN1025" i="15"/>
  <c r="AT1025" i="15"/>
  <c r="AU1025" i="15"/>
  <c r="AV1025" i="15"/>
  <c r="AX1025" i="15"/>
  <c r="AJ1026" i="15"/>
  <c r="AP1026" i="15" s="1"/>
  <c r="AK1026" i="15"/>
  <c r="AL1026" i="15"/>
  <c r="AN1026" i="15"/>
  <c r="AT1026" i="15"/>
  <c r="AU1026" i="15"/>
  <c r="AV1026" i="15"/>
  <c r="AX1026" i="15"/>
  <c r="AJ1027" i="15"/>
  <c r="AP1027" i="15" s="1"/>
  <c r="AK1027" i="15"/>
  <c r="AL1027" i="15"/>
  <c r="AN1027" i="15"/>
  <c r="AT1027" i="15"/>
  <c r="AU1027" i="15"/>
  <c r="AV1027" i="15"/>
  <c r="AX1027" i="15"/>
  <c r="AJ1028" i="15"/>
  <c r="AQ1028" i="15" s="1"/>
  <c r="AK1028" i="15"/>
  <c r="AL1028" i="15"/>
  <c r="AN1028" i="15"/>
  <c r="AT1028" i="15"/>
  <c r="AU1028" i="15"/>
  <c r="AV1028" i="15"/>
  <c r="AX1028" i="15"/>
  <c r="AJ1029" i="15"/>
  <c r="AZ1029" i="15" s="1"/>
  <c r="AK1029" i="15"/>
  <c r="AL1029" i="15"/>
  <c r="AN1029" i="15"/>
  <c r="AT1029" i="15"/>
  <c r="AU1029" i="15"/>
  <c r="AV1029" i="15"/>
  <c r="AX1029" i="15"/>
  <c r="AJ1030" i="15"/>
  <c r="AP1030" i="15" s="1"/>
  <c r="AK1030" i="15"/>
  <c r="AL1030" i="15"/>
  <c r="AN1030" i="15"/>
  <c r="AT1030" i="15"/>
  <c r="AU1030" i="15"/>
  <c r="AV1030" i="15"/>
  <c r="AX1030" i="15"/>
  <c r="AJ1031" i="15"/>
  <c r="AP1031" i="15" s="1"/>
  <c r="AK1031" i="15"/>
  <c r="AL1031" i="15"/>
  <c r="AN1031" i="15"/>
  <c r="AT1031" i="15"/>
  <c r="AU1031" i="15"/>
  <c r="AV1031" i="15"/>
  <c r="AX1031" i="15"/>
  <c r="AJ1032" i="15"/>
  <c r="AQ1032" i="15" s="1"/>
  <c r="AK1032" i="15"/>
  <c r="AL1032" i="15"/>
  <c r="AN1032" i="15"/>
  <c r="AT1032" i="15"/>
  <c r="AU1032" i="15"/>
  <c r="AV1032" i="15"/>
  <c r="AX1032" i="15"/>
  <c r="AJ1033" i="15"/>
  <c r="AZ1033" i="15" s="1"/>
  <c r="AK1033" i="15"/>
  <c r="AL1033" i="15"/>
  <c r="AN1033" i="15"/>
  <c r="AT1033" i="15"/>
  <c r="AU1033" i="15"/>
  <c r="AV1033" i="15"/>
  <c r="AX1033" i="15"/>
  <c r="AJ1034" i="15"/>
  <c r="AP1034" i="15" s="1"/>
  <c r="AK1034" i="15"/>
  <c r="AL1034" i="15"/>
  <c r="AN1034" i="15"/>
  <c r="AT1034" i="15"/>
  <c r="AU1034" i="15"/>
  <c r="AV1034" i="15"/>
  <c r="AX1034" i="15"/>
  <c r="AJ1035" i="15"/>
  <c r="AP1035" i="15" s="1"/>
  <c r="AK1035" i="15"/>
  <c r="AL1035" i="15"/>
  <c r="AN1035" i="15"/>
  <c r="AT1035" i="15"/>
  <c r="AU1035" i="15"/>
  <c r="AV1035" i="15"/>
  <c r="AX1035" i="15"/>
  <c r="AJ1036" i="15"/>
  <c r="AQ1036" i="15" s="1"/>
  <c r="AK1036" i="15"/>
  <c r="AL1036" i="15"/>
  <c r="AN1036" i="15"/>
  <c r="AT1036" i="15"/>
  <c r="AU1036" i="15"/>
  <c r="AV1036" i="15"/>
  <c r="AX1036" i="15"/>
  <c r="AJ1037" i="15"/>
  <c r="AP1037" i="15" s="1"/>
  <c r="AK1037" i="15"/>
  <c r="AL1037" i="15"/>
  <c r="AN1037" i="15"/>
  <c r="AT1037" i="15"/>
  <c r="AU1037" i="15"/>
  <c r="AV1037" i="15"/>
  <c r="AX1037" i="15"/>
  <c r="AJ1038" i="15"/>
  <c r="AP1038" i="15" s="1"/>
  <c r="AK1038" i="15"/>
  <c r="AL1038" i="15"/>
  <c r="AN1038" i="15"/>
  <c r="AT1038" i="15"/>
  <c r="AU1038" i="15"/>
  <c r="AV1038" i="15"/>
  <c r="AX1038" i="15"/>
  <c r="AJ1039" i="15"/>
  <c r="AP1039" i="15" s="1"/>
  <c r="AK1039" i="15"/>
  <c r="AL1039" i="15"/>
  <c r="AN1039" i="15"/>
  <c r="AT1039" i="15"/>
  <c r="AU1039" i="15"/>
  <c r="AV1039" i="15"/>
  <c r="AX1039" i="15"/>
  <c r="AJ1040" i="15"/>
  <c r="AP1040" i="15" s="1"/>
  <c r="AK1040" i="15"/>
  <c r="AL1040" i="15"/>
  <c r="AN1040" i="15"/>
  <c r="AT1040" i="15"/>
  <c r="AU1040" i="15"/>
  <c r="AV1040" i="15"/>
  <c r="AX1040" i="15"/>
  <c r="AJ1041" i="15"/>
  <c r="AZ1041" i="15" s="1"/>
  <c r="AK1041" i="15"/>
  <c r="AL1041" i="15"/>
  <c r="AN1041" i="15"/>
  <c r="AT1041" i="15"/>
  <c r="AU1041" i="15"/>
  <c r="AV1041" i="15"/>
  <c r="AX1041" i="15"/>
  <c r="AJ1042" i="15"/>
  <c r="AP1042" i="15" s="1"/>
  <c r="AK1042" i="15"/>
  <c r="AL1042" i="15"/>
  <c r="AN1042" i="15"/>
  <c r="AT1042" i="15"/>
  <c r="AU1042" i="15"/>
  <c r="AV1042" i="15"/>
  <c r="AX1042" i="15"/>
  <c r="AJ1043" i="15"/>
  <c r="AP1043" i="15" s="1"/>
  <c r="AK1043" i="15"/>
  <c r="AL1043" i="15"/>
  <c r="AN1043" i="15"/>
  <c r="AT1043" i="15"/>
  <c r="AU1043" i="15"/>
  <c r="AV1043" i="15"/>
  <c r="AX1043" i="15"/>
  <c r="AJ1044" i="15"/>
  <c r="AQ1044" i="15" s="1"/>
  <c r="AK1044" i="15"/>
  <c r="AL1044" i="15"/>
  <c r="AN1044" i="15"/>
  <c r="AT1044" i="15"/>
  <c r="AU1044" i="15"/>
  <c r="AV1044" i="15"/>
  <c r="AX1044" i="15"/>
  <c r="AJ1045" i="15"/>
  <c r="AO1045" i="15" s="1"/>
  <c r="AK1045" i="15"/>
  <c r="AL1045" i="15"/>
  <c r="AN1045" i="15"/>
  <c r="AT1045" i="15"/>
  <c r="AU1045" i="15"/>
  <c r="AV1045" i="15"/>
  <c r="AX1045" i="15"/>
  <c r="AJ1046" i="15"/>
  <c r="AP1046" i="15" s="1"/>
  <c r="AK1046" i="15"/>
  <c r="AL1046" i="15"/>
  <c r="AN1046" i="15"/>
  <c r="AT1046" i="15"/>
  <c r="AU1046" i="15"/>
  <c r="AV1046" i="15"/>
  <c r="AX1046" i="15"/>
  <c r="AJ1047" i="15"/>
  <c r="AP1047" i="15" s="1"/>
  <c r="AK1047" i="15"/>
  <c r="AL1047" i="15"/>
  <c r="AN1047" i="15"/>
  <c r="AT1047" i="15"/>
  <c r="AU1047" i="15"/>
  <c r="AV1047" i="15"/>
  <c r="AX1047" i="15"/>
  <c r="AJ1048" i="15"/>
  <c r="AO1048" i="15" s="1"/>
  <c r="AK1048" i="15"/>
  <c r="AL1048" i="15"/>
  <c r="AN1048" i="15"/>
  <c r="AT1048" i="15"/>
  <c r="AU1048" i="15"/>
  <c r="AV1048" i="15"/>
  <c r="AX1048" i="15"/>
  <c r="AJ1049" i="15"/>
  <c r="AP1049" i="15" s="1"/>
  <c r="AK1049" i="15"/>
  <c r="AL1049" i="15"/>
  <c r="AN1049" i="15"/>
  <c r="AT1049" i="15"/>
  <c r="AU1049" i="15"/>
  <c r="AV1049" i="15"/>
  <c r="AX1049" i="15"/>
  <c r="AJ1050" i="15"/>
  <c r="AP1050" i="15" s="1"/>
  <c r="AK1050" i="15"/>
  <c r="AL1050" i="15"/>
  <c r="AN1050" i="15"/>
  <c r="AT1050" i="15"/>
  <c r="AU1050" i="15"/>
  <c r="AV1050" i="15"/>
  <c r="AX1050" i="15"/>
  <c r="AJ1051" i="15"/>
  <c r="AP1051" i="15" s="1"/>
  <c r="AK1051" i="15"/>
  <c r="AL1051" i="15"/>
  <c r="AN1051" i="15"/>
  <c r="AT1051" i="15"/>
  <c r="AU1051" i="15"/>
  <c r="AV1051" i="15"/>
  <c r="AX1051" i="15"/>
  <c r="AJ1052" i="15"/>
  <c r="AO1052" i="15" s="1"/>
  <c r="AK1052" i="15"/>
  <c r="AL1052" i="15"/>
  <c r="AN1052" i="15"/>
  <c r="AT1052" i="15"/>
  <c r="AU1052" i="15"/>
  <c r="AV1052" i="15"/>
  <c r="AX1052" i="15"/>
  <c r="AJ1053" i="15"/>
  <c r="AZ1053" i="15" s="1"/>
  <c r="AK1053" i="15"/>
  <c r="AL1053" i="15"/>
  <c r="AN1053" i="15"/>
  <c r="AT1053" i="15"/>
  <c r="AU1053" i="15"/>
  <c r="AV1053" i="15"/>
  <c r="AX1053" i="15"/>
  <c r="AJ1054" i="15"/>
  <c r="AP1054" i="15" s="1"/>
  <c r="AK1054" i="15"/>
  <c r="AL1054" i="15"/>
  <c r="AN1054" i="15"/>
  <c r="AT1054" i="15"/>
  <c r="AU1054" i="15"/>
  <c r="AV1054" i="15"/>
  <c r="AX1054" i="15"/>
  <c r="AJ1055" i="15"/>
  <c r="AP1055" i="15" s="1"/>
  <c r="AK1055" i="15"/>
  <c r="AL1055" i="15"/>
  <c r="AN1055" i="15"/>
  <c r="AT1055" i="15"/>
  <c r="AU1055" i="15"/>
  <c r="AV1055" i="15"/>
  <c r="AX1055" i="15"/>
  <c r="AJ1056" i="15"/>
  <c r="AP1056" i="15" s="1"/>
  <c r="AK1056" i="15"/>
  <c r="AL1056" i="15"/>
  <c r="AN1056" i="15"/>
  <c r="AT1056" i="15"/>
  <c r="AU1056" i="15"/>
  <c r="AV1056" i="15"/>
  <c r="AX1056" i="15"/>
  <c r="AJ1057" i="15"/>
  <c r="AZ1057" i="15" s="1"/>
  <c r="AK1057" i="15"/>
  <c r="AL1057" i="15"/>
  <c r="AN1057" i="15"/>
  <c r="AT1057" i="15"/>
  <c r="AU1057" i="15"/>
  <c r="AV1057" i="15"/>
  <c r="AX1057" i="15"/>
  <c r="AJ1058" i="15"/>
  <c r="AP1058" i="15" s="1"/>
  <c r="AK1058" i="15"/>
  <c r="AL1058" i="15"/>
  <c r="AN1058" i="15"/>
  <c r="AT1058" i="15"/>
  <c r="AU1058" i="15"/>
  <c r="AV1058" i="15"/>
  <c r="AX1058" i="15"/>
  <c r="AJ1059" i="15"/>
  <c r="AP1059" i="15" s="1"/>
  <c r="AK1059" i="15"/>
  <c r="AL1059" i="15"/>
  <c r="AN1059" i="15"/>
  <c r="AT1059" i="15"/>
  <c r="AU1059" i="15"/>
  <c r="AV1059" i="15"/>
  <c r="AX1059" i="15"/>
  <c r="AJ1060" i="15"/>
  <c r="AS1060" i="15" s="1"/>
  <c r="AK1060" i="15"/>
  <c r="AL1060" i="15"/>
  <c r="AN1060" i="15"/>
  <c r="AT1060" i="15"/>
  <c r="AU1060" i="15"/>
  <c r="AV1060" i="15"/>
  <c r="AX1060" i="15"/>
  <c r="AJ1061" i="15"/>
  <c r="AP1061" i="15" s="1"/>
  <c r="AK1061" i="15"/>
  <c r="AL1061" i="15"/>
  <c r="AN1061" i="15"/>
  <c r="AT1061" i="15"/>
  <c r="AU1061" i="15"/>
  <c r="AV1061" i="15"/>
  <c r="AX1061" i="15"/>
  <c r="AJ1062" i="15"/>
  <c r="AP1062" i="15" s="1"/>
  <c r="AK1062" i="15"/>
  <c r="AL1062" i="15"/>
  <c r="AN1062" i="15"/>
  <c r="AT1062" i="15"/>
  <c r="AU1062" i="15"/>
  <c r="AV1062" i="15"/>
  <c r="AX1062" i="15"/>
  <c r="AJ1063" i="15"/>
  <c r="AP1063" i="15" s="1"/>
  <c r="AK1063" i="15"/>
  <c r="AL1063" i="15"/>
  <c r="AN1063" i="15"/>
  <c r="AT1063" i="15"/>
  <c r="AU1063" i="15"/>
  <c r="AV1063" i="15"/>
  <c r="AX1063" i="15"/>
  <c r="AJ1064" i="15"/>
  <c r="AP1064" i="15" s="1"/>
  <c r="AK1064" i="15"/>
  <c r="AL1064" i="15"/>
  <c r="AN1064" i="15"/>
  <c r="AT1064" i="15"/>
  <c r="AU1064" i="15"/>
  <c r="AV1064" i="15"/>
  <c r="AX1064" i="15"/>
  <c r="AJ1065" i="15"/>
  <c r="AQ1065" i="15" s="1"/>
  <c r="AK1065" i="15"/>
  <c r="AL1065" i="15"/>
  <c r="AN1065" i="15"/>
  <c r="AT1065" i="15"/>
  <c r="AU1065" i="15"/>
  <c r="AV1065" i="15"/>
  <c r="AX1065" i="15"/>
  <c r="AJ1066" i="15"/>
  <c r="AP1066" i="15" s="1"/>
  <c r="AK1066" i="15"/>
  <c r="AL1066" i="15"/>
  <c r="AN1066" i="15"/>
  <c r="AT1066" i="15"/>
  <c r="AU1066" i="15"/>
  <c r="AV1066" i="15"/>
  <c r="AX1066" i="15"/>
  <c r="AJ1067" i="15"/>
  <c r="AP1067" i="15" s="1"/>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J990" i="15"/>
  <c r="AQ990" i="15" s="1"/>
  <c r="AK990" i="15"/>
  <c r="AL990" i="15"/>
  <c r="AN990" i="15"/>
  <c r="AT990" i="15"/>
  <c r="AU990" i="15"/>
  <c r="AV990" i="15"/>
  <c r="AX990" i="15"/>
  <c r="AJ991" i="15"/>
  <c r="AQ991" i="15" s="1"/>
  <c r="AK991" i="15"/>
  <c r="AL991" i="15"/>
  <c r="AN991" i="15"/>
  <c r="AT991" i="15"/>
  <c r="AU991" i="15"/>
  <c r="AV991" i="15"/>
  <c r="AX991" i="15"/>
  <c r="AJ992" i="15"/>
  <c r="AP992" i="15" s="1"/>
  <c r="AK992" i="15"/>
  <c r="AL992" i="15"/>
  <c r="AN992" i="15"/>
  <c r="AT992" i="15"/>
  <c r="AU992" i="15"/>
  <c r="AV992" i="15"/>
  <c r="AX992" i="15"/>
  <c r="AJ993" i="15"/>
  <c r="AO993" i="15" s="1"/>
  <c r="AK993" i="15"/>
  <c r="AL993" i="15"/>
  <c r="AN993" i="15"/>
  <c r="AT993" i="15"/>
  <c r="AU993" i="15"/>
  <c r="AV993" i="15"/>
  <c r="AX993" i="15"/>
  <c r="AJ994" i="15"/>
  <c r="AO994" i="15" s="1"/>
  <c r="AK994" i="15"/>
  <c r="AL994" i="15"/>
  <c r="AN994" i="15"/>
  <c r="AT994" i="15"/>
  <c r="AU994" i="15"/>
  <c r="AV994" i="15"/>
  <c r="AX994" i="15"/>
  <c r="AJ995" i="15"/>
  <c r="AS995" i="15" s="1"/>
  <c r="AK995" i="15"/>
  <c r="AL995" i="15"/>
  <c r="AN995" i="15"/>
  <c r="AT995" i="15"/>
  <c r="AU995" i="15"/>
  <c r="AV995" i="15"/>
  <c r="AX995" i="15"/>
  <c r="AJ996" i="15"/>
  <c r="AP996" i="15" s="1"/>
  <c r="AK996" i="15"/>
  <c r="AL996" i="15"/>
  <c r="AN996" i="15"/>
  <c r="AT996" i="15"/>
  <c r="AU996" i="15"/>
  <c r="AV996" i="15"/>
  <c r="AX996" i="15"/>
  <c r="AJ997" i="15"/>
  <c r="AO997" i="15" s="1"/>
  <c r="AK997" i="15"/>
  <c r="AL997" i="15"/>
  <c r="AN997" i="15"/>
  <c r="AT997" i="15"/>
  <c r="AU997" i="15"/>
  <c r="AV997" i="15"/>
  <c r="AX997" i="15"/>
  <c r="AJ998" i="15"/>
  <c r="AO998" i="15" s="1"/>
  <c r="AK998" i="15"/>
  <c r="AL998" i="15"/>
  <c r="AN998" i="15"/>
  <c r="AT998" i="15"/>
  <c r="AU998" i="15"/>
  <c r="AV998" i="15"/>
  <c r="AX998" i="15"/>
  <c r="AJ999" i="15"/>
  <c r="AS999" i="15" s="1"/>
  <c r="AK999" i="15"/>
  <c r="AL999" i="15"/>
  <c r="AN999" i="15"/>
  <c r="AT999" i="15"/>
  <c r="AU999" i="15"/>
  <c r="AV999" i="15"/>
  <c r="AX999" i="15"/>
  <c r="AJ1000" i="15"/>
  <c r="AP1000" i="15" s="1"/>
  <c r="AK1000" i="15"/>
  <c r="AL1000" i="15"/>
  <c r="AN1000" i="15"/>
  <c r="AT1000" i="15"/>
  <c r="AU1000" i="15"/>
  <c r="AV1000" i="15"/>
  <c r="AX1000" i="15"/>
  <c r="AJ1001" i="15"/>
  <c r="AO1001" i="15" s="1"/>
  <c r="AK1001" i="15"/>
  <c r="AL1001" i="15"/>
  <c r="AN1001" i="15"/>
  <c r="AT1001" i="15"/>
  <c r="AU1001" i="15"/>
  <c r="AV1001" i="15"/>
  <c r="AX1001" i="15"/>
  <c r="AJ1002" i="15"/>
  <c r="AO1002" i="15" s="1"/>
  <c r="AK1002" i="15"/>
  <c r="AL1002" i="15"/>
  <c r="AN1002" i="15"/>
  <c r="AT1002" i="15"/>
  <c r="AU1002" i="15"/>
  <c r="AV1002" i="15"/>
  <c r="AX1002" i="15"/>
  <c r="AJ1003" i="15"/>
  <c r="AP1003" i="15" s="1"/>
  <c r="AK1003" i="15"/>
  <c r="AL1003" i="15"/>
  <c r="AN1003" i="15"/>
  <c r="AT1003" i="15"/>
  <c r="AU1003" i="15"/>
  <c r="AV1003" i="15"/>
  <c r="AX1003" i="15"/>
  <c r="AJ1004" i="15"/>
  <c r="AP1004" i="15" s="1"/>
  <c r="AK1004" i="15"/>
  <c r="AL1004" i="15"/>
  <c r="AN1004" i="15"/>
  <c r="AT1004" i="15"/>
  <c r="AU1004" i="15"/>
  <c r="AV1004" i="15"/>
  <c r="AX1004" i="15"/>
  <c r="AJ1005" i="15"/>
  <c r="AO1005" i="15" s="1"/>
  <c r="AK1005" i="15"/>
  <c r="AL1005" i="15"/>
  <c r="AN1005" i="15"/>
  <c r="AT1005" i="15"/>
  <c r="AU1005" i="15"/>
  <c r="AV1005" i="15"/>
  <c r="AX1005" i="15"/>
  <c r="AJ1006" i="15"/>
  <c r="AO1006" i="15" s="1"/>
  <c r="AK1006" i="15"/>
  <c r="AL1006" i="15"/>
  <c r="AN1006" i="15"/>
  <c r="AT1006" i="15"/>
  <c r="AU1006" i="15"/>
  <c r="AV1006" i="15"/>
  <c r="AX1006" i="15"/>
  <c r="AJ1007" i="15"/>
  <c r="AO1007" i="15" s="1"/>
  <c r="AK1007" i="15"/>
  <c r="AL1007" i="15"/>
  <c r="AN1007" i="15"/>
  <c r="AT1007" i="15"/>
  <c r="AU1007" i="15"/>
  <c r="AV1007" i="15"/>
  <c r="AX1007" i="15"/>
  <c r="AJ1008" i="15"/>
  <c r="AP1008" i="15" s="1"/>
  <c r="AK1008" i="15"/>
  <c r="AL1008" i="15"/>
  <c r="AN1008" i="15"/>
  <c r="AT1008" i="15"/>
  <c r="AU1008" i="15"/>
  <c r="AV1008" i="15"/>
  <c r="AX1008" i="15"/>
  <c r="AJ1009" i="15"/>
  <c r="AO1009" i="15" s="1"/>
  <c r="AK1009" i="15"/>
  <c r="AL1009" i="15"/>
  <c r="AN1009" i="15"/>
  <c r="AT1009" i="15"/>
  <c r="AU1009" i="15"/>
  <c r="AV1009" i="15"/>
  <c r="AX1009" i="15"/>
  <c r="AJ1010" i="15"/>
  <c r="AP1010" i="15" s="1"/>
  <c r="AK1010" i="15"/>
  <c r="AL1010" i="15"/>
  <c r="AN1010" i="15"/>
  <c r="AT1010" i="15"/>
  <c r="AU1010" i="15"/>
  <c r="AV1010" i="15"/>
  <c r="AX1010" i="15"/>
  <c r="AJ1011" i="15"/>
  <c r="AO1011" i="15" s="1"/>
  <c r="AK1011" i="15"/>
  <c r="AL1011" i="15"/>
  <c r="AN1011" i="15"/>
  <c r="AT1011" i="15"/>
  <c r="AU1011" i="15"/>
  <c r="AV1011" i="15"/>
  <c r="AX1011" i="15"/>
  <c r="AJ1012" i="15"/>
  <c r="AP1012" i="15" s="1"/>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J795" i="15"/>
  <c r="AO795" i="15" s="1"/>
  <c r="AK795" i="15"/>
  <c r="AL795" i="15"/>
  <c r="AN795" i="15"/>
  <c r="AT795" i="15"/>
  <c r="AU795" i="15"/>
  <c r="AV795" i="15"/>
  <c r="AX795" i="15"/>
  <c r="AJ796" i="15"/>
  <c r="AZ796" i="15" s="1"/>
  <c r="AK796" i="15"/>
  <c r="AL796" i="15"/>
  <c r="AN796" i="15"/>
  <c r="AT796" i="15"/>
  <c r="AU796" i="15"/>
  <c r="AV796" i="15"/>
  <c r="AX796" i="15"/>
  <c r="AJ797" i="15"/>
  <c r="AS797" i="15" s="1"/>
  <c r="AK797" i="15"/>
  <c r="AL797" i="15"/>
  <c r="AN797" i="15"/>
  <c r="AT797" i="15"/>
  <c r="AU797" i="15"/>
  <c r="AV797" i="15"/>
  <c r="AX797" i="15"/>
  <c r="AJ798" i="15"/>
  <c r="AP798" i="15" s="1"/>
  <c r="AK798" i="15"/>
  <c r="AL798" i="15"/>
  <c r="AN798" i="15"/>
  <c r="AT798" i="15"/>
  <c r="AU798" i="15"/>
  <c r="AV798" i="15"/>
  <c r="AX798" i="15"/>
  <c r="AJ799" i="15"/>
  <c r="AZ799" i="15" s="1"/>
  <c r="AK799" i="15"/>
  <c r="AL799" i="15"/>
  <c r="AN799" i="15"/>
  <c r="AT799" i="15"/>
  <c r="AU799" i="15"/>
  <c r="AV799" i="15"/>
  <c r="AX799" i="15"/>
  <c r="AJ800" i="15"/>
  <c r="AK800" i="15"/>
  <c r="AL800" i="15"/>
  <c r="AN800" i="15"/>
  <c r="AT800" i="15"/>
  <c r="AU800" i="15"/>
  <c r="AV800" i="15"/>
  <c r="AX800" i="15"/>
  <c r="AJ801" i="15"/>
  <c r="AZ801" i="15" s="1"/>
  <c r="AK801" i="15"/>
  <c r="AL801" i="15"/>
  <c r="AN801" i="15"/>
  <c r="AT801" i="15"/>
  <c r="AU801" i="15"/>
  <c r="AV801" i="15"/>
  <c r="AX801" i="15"/>
  <c r="AJ802" i="15"/>
  <c r="AZ802" i="15" s="1"/>
  <c r="AK802" i="15"/>
  <c r="AL802" i="15"/>
  <c r="AN802" i="15"/>
  <c r="AT802" i="15"/>
  <c r="AU802" i="15"/>
  <c r="AV802" i="15"/>
  <c r="AX802" i="15"/>
  <c r="AJ803" i="15"/>
  <c r="AZ803" i="15" s="1"/>
  <c r="AK803" i="15"/>
  <c r="AL803" i="15"/>
  <c r="AN803" i="15"/>
  <c r="AT803" i="15"/>
  <c r="AU803" i="15"/>
  <c r="AV803" i="15"/>
  <c r="AX803" i="15"/>
  <c r="AJ804" i="15"/>
  <c r="AO804" i="15" s="1"/>
  <c r="AK804" i="15"/>
  <c r="AL804" i="15"/>
  <c r="AN804" i="15"/>
  <c r="AT804" i="15"/>
  <c r="AU804" i="15"/>
  <c r="AV804" i="15"/>
  <c r="AX804" i="15"/>
  <c r="AJ805" i="15"/>
  <c r="AO805" i="15" s="1"/>
  <c r="AK805" i="15"/>
  <c r="AL805" i="15"/>
  <c r="AN805" i="15"/>
  <c r="AT805" i="15"/>
  <c r="AU805" i="15"/>
  <c r="AV805" i="15"/>
  <c r="AX805" i="15"/>
  <c r="AJ806" i="15"/>
  <c r="AO806" i="15" s="1"/>
  <c r="AK806" i="15"/>
  <c r="AL806" i="15"/>
  <c r="AN806" i="15"/>
  <c r="AT806" i="15"/>
  <c r="AU806" i="15"/>
  <c r="AV806" i="15"/>
  <c r="AX806" i="15"/>
  <c r="AJ807" i="15"/>
  <c r="AK807" i="15"/>
  <c r="AL807" i="15"/>
  <c r="AN807" i="15"/>
  <c r="AT807" i="15"/>
  <c r="AU807" i="15"/>
  <c r="AV807" i="15"/>
  <c r="AX807" i="15"/>
  <c r="AJ808" i="15"/>
  <c r="AS808" i="15" s="1"/>
  <c r="AK808" i="15"/>
  <c r="AL808" i="15"/>
  <c r="AN808" i="15"/>
  <c r="AT808" i="15"/>
  <c r="AU808" i="15"/>
  <c r="AV808" i="15"/>
  <c r="AX808" i="15"/>
  <c r="AJ809" i="15"/>
  <c r="AZ809" i="15" s="1"/>
  <c r="AK809" i="15"/>
  <c r="AL809" i="15"/>
  <c r="AN809" i="15"/>
  <c r="AT809" i="15"/>
  <c r="AU809" i="15"/>
  <c r="AV809" i="15"/>
  <c r="AX809" i="15"/>
  <c r="AJ810" i="15"/>
  <c r="AO810" i="15" s="1"/>
  <c r="AK810" i="15"/>
  <c r="AL810" i="15"/>
  <c r="AN810" i="15"/>
  <c r="AT810" i="15"/>
  <c r="AU810" i="15"/>
  <c r="AV810" i="15"/>
  <c r="AX810" i="15"/>
  <c r="AJ811" i="15"/>
  <c r="AS811" i="15" s="1"/>
  <c r="AK811" i="15"/>
  <c r="AL811" i="15"/>
  <c r="AN811" i="15"/>
  <c r="AT811" i="15"/>
  <c r="AU811" i="15"/>
  <c r="AV811" i="15"/>
  <c r="AX811" i="15"/>
  <c r="AJ812" i="15"/>
  <c r="AZ812" i="15" s="1"/>
  <c r="AK812" i="15"/>
  <c r="AL812" i="15"/>
  <c r="AN812" i="15"/>
  <c r="AT812" i="15"/>
  <c r="AU812" i="15"/>
  <c r="AV812" i="15"/>
  <c r="AX812" i="15"/>
  <c r="AJ813" i="15"/>
  <c r="AO813" i="15" s="1"/>
  <c r="AK813" i="15"/>
  <c r="AL813" i="15"/>
  <c r="AN813" i="15"/>
  <c r="AT813" i="15"/>
  <c r="AU813" i="15"/>
  <c r="AV813" i="15"/>
  <c r="AX813" i="15"/>
  <c r="AJ814" i="15"/>
  <c r="AK814" i="15"/>
  <c r="AL814" i="15"/>
  <c r="AN814" i="15"/>
  <c r="AT814" i="15"/>
  <c r="AU814" i="15"/>
  <c r="AV814" i="15"/>
  <c r="AX814" i="15"/>
  <c r="AJ815" i="15"/>
  <c r="AP815" i="15" s="1"/>
  <c r="AK815" i="15"/>
  <c r="AL815" i="15"/>
  <c r="AN815" i="15"/>
  <c r="AT815" i="15"/>
  <c r="AU815" i="15"/>
  <c r="AV815" i="15"/>
  <c r="AX815" i="15"/>
  <c r="AJ816" i="15"/>
  <c r="AO816" i="15" s="1"/>
  <c r="AK816" i="15"/>
  <c r="AL816" i="15"/>
  <c r="AN816" i="15"/>
  <c r="AT816" i="15"/>
  <c r="AU816" i="15"/>
  <c r="AV816" i="15"/>
  <c r="AX816" i="15"/>
  <c r="AJ817" i="15"/>
  <c r="AZ817" i="15" s="1"/>
  <c r="AK817" i="15"/>
  <c r="AL817" i="15"/>
  <c r="AN817" i="15"/>
  <c r="AT817" i="15"/>
  <c r="AU817" i="15"/>
  <c r="AV817" i="15"/>
  <c r="AX817" i="15"/>
  <c r="AJ818" i="15"/>
  <c r="AK818" i="15"/>
  <c r="AL818" i="15"/>
  <c r="AN818" i="15"/>
  <c r="AT818" i="15"/>
  <c r="AU818" i="15"/>
  <c r="AV818" i="15"/>
  <c r="AX818" i="15"/>
  <c r="AJ819" i="15"/>
  <c r="AK819" i="15"/>
  <c r="AL819" i="15"/>
  <c r="AN819" i="15"/>
  <c r="AT819" i="15"/>
  <c r="AU819" i="15"/>
  <c r="AV819" i="15"/>
  <c r="AX819" i="15"/>
  <c r="AJ820" i="15"/>
  <c r="AK820" i="15"/>
  <c r="AL820" i="15"/>
  <c r="AN820" i="15"/>
  <c r="AT820" i="15"/>
  <c r="AU820" i="15"/>
  <c r="AV820" i="15"/>
  <c r="AX820" i="15"/>
  <c r="AJ821" i="15"/>
  <c r="AK821" i="15"/>
  <c r="AL821" i="15"/>
  <c r="AN821" i="15"/>
  <c r="AT821" i="15"/>
  <c r="AU821" i="15"/>
  <c r="AV821" i="15"/>
  <c r="AX821" i="15"/>
  <c r="AJ822" i="15"/>
  <c r="AO822" i="15" s="1"/>
  <c r="AK822" i="15"/>
  <c r="AL822" i="15"/>
  <c r="AN822" i="15"/>
  <c r="AT822" i="15"/>
  <c r="AU822" i="15"/>
  <c r="AV822" i="15"/>
  <c r="AX822" i="15"/>
  <c r="AJ823" i="15"/>
  <c r="AQ823" i="15" s="1"/>
  <c r="AK823" i="15"/>
  <c r="AL823" i="15"/>
  <c r="AN823" i="15"/>
  <c r="AT823" i="15"/>
  <c r="AU823" i="15"/>
  <c r="AV823" i="15"/>
  <c r="AX823" i="15"/>
  <c r="AJ824" i="15"/>
  <c r="AZ824" i="15" s="1"/>
  <c r="AK824" i="15"/>
  <c r="AL824" i="15"/>
  <c r="AN824" i="15"/>
  <c r="AT824" i="15"/>
  <c r="AU824" i="15"/>
  <c r="AV824" i="15"/>
  <c r="AX824" i="15"/>
  <c r="AJ825" i="15"/>
  <c r="AZ825" i="15" s="1"/>
  <c r="AK825" i="15"/>
  <c r="AL825" i="15"/>
  <c r="AN825" i="15"/>
  <c r="AT825" i="15"/>
  <c r="AU825" i="15"/>
  <c r="AV825" i="15"/>
  <c r="AX825" i="15"/>
  <c r="AJ826" i="15"/>
  <c r="AK826" i="15"/>
  <c r="AL826" i="15"/>
  <c r="AN826" i="15"/>
  <c r="AT826" i="15"/>
  <c r="AU826" i="15"/>
  <c r="AV826" i="15"/>
  <c r="AX826" i="15"/>
  <c r="AJ827" i="15"/>
  <c r="AP827" i="15" s="1"/>
  <c r="AK827" i="15"/>
  <c r="AL827" i="15"/>
  <c r="AN827" i="15"/>
  <c r="AT827" i="15"/>
  <c r="AU827" i="15"/>
  <c r="AV827" i="15"/>
  <c r="AX827" i="15"/>
  <c r="AJ828" i="15"/>
  <c r="AS828" i="15" s="1"/>
  <c r="AK828" i="15"/>
  <c r="AL828" i="15"/>
  <c r="AN828" i="15"/>
  <c r="AT828" i="15"/>
  <c r="AU828" i="15"/>
  <c r="AV828" i="15"/>
  <c r="AX828" i="15"/>
  <c r="AJ829" i="15"/>
  <c r="AZ829" i="15" s="1"/>
  <c r="AK829" i="15"/>
  <c r="AL829" i="15"/>
  <c r="AN829" i="15"/>
  <c r="AT829" i="15"/>
  <c r="AU829" i="15"/>
  <c r="AV829" i="15"/>
  <c r="AX829" i="15"/>
  <c r="AJ830" i="15"/>
  <c r="AK830" i="15"/>
  <c r="AL830" i="15"/>
  <c r="AN830" i="15"/>
  <c r="AT830" i="15"/>
  <c r="AU830" i="15"/>
  <c r="AV830" i="15"/>
  <c r="AX830" i="15"/>
  <c r="AJ831" i="15"/>
  <c r="AS831" i="15" s="1"/>
  <c r="AK831" i="15"/>
  <c r="AL831" i="15"/>
  <c r="AN831" i="15"/>
  <c r="AT831" i="15"/>
  <c r="AU831" i="15"/>
  <c r="AV831" i="15"/>
  <c r="AX831" i="15"/>
  <c r="AJ832" i="15"/>
  <c r="AO832" i="15" s="1"/>
  <c r="AK832" i="15"/>
  <c r="AL832" i="15"/>
  <c r="AN832" i="15"/>
  <c r="AT832" i="15"/>
  <c r="AU832" i="15"/>
  <c r="AV832" i="15"/>
  <c r="AX832" i="15"/>
  <c r="AJ833" i="15"/>
  <c r="AS833" i="15" s="1"/>
  <c r="AK833" i="15"/>
  <c r="AL833" i="15"/>
  <c r="AN833" i="15"/>
  <c r="AT833" i="15"/>
  <c r="AU833" i="15"/>
  <c r="AV833" i="15"/>
  <c r="AX833" i="15"/>
  <c r="AJ834" i="15"/>
  <c r="AO834" i="15" s="1"/>
  <c r="AK834" i="15"/>
  <c r="AL834" i="15"/>
  <c r="AN834" i="15"/>
  <c r="AT834" i="15"/>
  <c r="AU834" i="15"/>
  <c r="AV834" i="15"/>
  <c r="AX834" i="15"/>
  <c r="AJ835" i="15"/>
  <c r="AZ835" i="15" s="1"/>
  <c r="AK835" i="15"/>
  <c r="AL835" i="15"/>
  <c r="AN835" i="15"/>
  <c r="AT835" i="15"/>
  <c r="AU835" i="15"/>
  <c r="AV835" i="15"/>
  <c r="AX835" i="15"/>
  <c r="AJ836" i="15"/>
  <c r="AO836" i="15" s="1"/>
  <c r="AK836" i="15"/>
  <c r="AL836" i="15"/>
  <c r="AN836" i="15"/>
  <c r="AT836" i="15"/>
  <c r="AU836" i="15"/>
  <c r="AV836" i="15"/>
  <c r="AX836" i="15"/>
  <c r="AJ837" i="15"/>
  <c r="AK837" i="15"/>
  <c r="AL837" i="15"/>
  <c r="AN837" i="15"/>
  <c r="AT837" i="15"/>
  <c r="AU837" i="15"/>
  <c r="AV837" i="15"/>
  <c r="AX837" i="15"/>
  <c r="AJ838" i="15"/>
  <c r="AO838" i="15" s="1"/>
  <c r="AK838" i="15"/>
  <c r="AL838" i="15"/>
  <c r="AN838" i="15"/>
  <c r="AT838" i="15"/>
  <c r="AU838" i="15"/>
  <c r="AV838" i="15"/>
  <c r="AX838" i="15"/>
  <c r="AJ839" i="15"/>
  <c r="AZ839" i="15" s="1"/>
  <c r="AK839" i="15"/>
  <c r="AL839" i="15"/>
  <c r="AN839" i="15"/>
  <c r="AT839" i="15"/>
  <c r="AU839" i="15"/>
  <c r="AV839" i="15"/>
  <c r="AX839" i="15"/>
  <c r="AJ840" i="15"/>
  <c r="AQ840" i="15" s="1"/>
  <c r="AK840" i="15"/>
  <c r="AL840" i="15"/>
  <c r="AN840" i="15"/>
  <c r="AT840" i="15"/>
  <c r="AU840" i="15"/>
  <c r="AV840" i="15"/>
  <c r="AX840" i="15"/>
  <c r="AJ841" i="15"/>
  <c r="AS841" i="15" s="1"/>
  <c r="AK841" i="15"/>
  <c r="AL841" i="15"/>
  <c r="AN841" i="15"/>
  <c r="AT841" i="15"/>
  <c r="AU841" i="15"/>
  <c r="AV841" i="15"/>
  <c r="AX841" i="15"/>
  <c r="AJ842" i="15"/>
  <c r="AZ842" i="15" s="1"/>
  <c r="AK842" i="15"/>
  <c r="AL842" i="15"/>
  <c r="AN842" i="15"/>
  <c r="AT842" i="15"/>
  <c r="AU842" i="15"/>
  <c r="AV842" i="15"/>
  <c r="AX842" i="15"/>
  <c r="AJ843" i="15"/>
  <c r="AS843" i="15" s="1"/>
  <c r="AK843" i="15"/>
  <c r="AL843" i="15"/>
  <c r="AN843" i="15"/>
  <c r="AT843" i="15"/>
  <c r="AU843" i="15"/>
  <c r="AV843" i="15"/>
  <c r="AX843" i="15"/>
  <c r="AJ844" i="15"/>
  <c r="AK844" i="15"/>
  <c r="AL844" i="15"/>
  <c r="AN844" i="15"/>
  <c r="AT844" i="15"/>
  <c r="AU844" i="15"/>
  <c r="AV844" i="15"/>
  <c r="AX844" i="15"/>
  <c r="AJ845" i="15"/>
  <c r="AS845" i="15" s="1"/>
  <c r="AK845" i="15"/>
  <c r="AL845" i="15"/>
  <c r="AN845" i="15"/>
  <c r="AT845" i="15"/>
  <c r="AU845" i="15"/>
  <c r="AV845" i="15"/>
  <c r="AX845" i="15"/>
  <c r="AJ846" i="15"/>
  <c r="AK846" i="15"/>
  <c r="AL846" i="15"/>
  <c r="AN846" i="15"/>
  <c r="AT846" i="15"/>
  <c r="AU846" i="15"/>
  <c r="AV846" i="15"/>
  <c r="AX846" i="15"/>
  <c r="AJ847" i="15"/>
  <c r="AS847" i="15" s="1"/>
  <c r="AK847" i="15"/>
  <c r="AL847" i="15"/>
  <c r="AN847" i="15"/>
  <c r="AT847" i="15"/>
  <c r="AU847" i="15"/>
  <c r="AV847" i="15"/>
  <c r="AX847" i="15"/>
  <c r="AJ848" i="15"/>
  <c r="AO848" i="15" s="1"/>
  <c r="AK848" i="15"/>
  <c r="AL848" i="15"/>
  <c r="AN848" i="15"/>
  <c r="AT848" i="15"/>
  <c r="AU848" i="15"/>
  <c r="AV848" i="15"/>
  <c r="AX848" i="15"/>
  <c r="AJ849" i="15"/>
  <c r="AO849" i="15" s="1"/>
  <c r="AK849" i="15"/>
  <c r="AL849" i="15"/>
  <c r="AN849" i="15"/>
  <c r="AT849" i="15"/>
  <c r="AU849" i="15"/>
  <c r="AV849" i="15"/>
  <c r="AX849" i="15"/>
  <c r="AJ850" i="15"/>
  <c r="AS850" i="15" s="1"/>
  <c r="AK850" i="15"/>
  <c r="AL850" i="15"/>
  <c r="AN850" i="15"/>
  <c r="AT850" i="15"/>
  <c r="AU850" i="15"/>
  <c r="AV850" i="15"/>
  <c r="AX850" i="15"/>
  <c r="AJ851" i="15"/>
  <c r="AK851" i="15"/>
  <c r="AL851" i="15"/>
  <c r="AN851" i="15"/>
  <c r="AT851" i="15"/>
  <c r="AU851" i="15"/>
  <c r="AV851" i="15"/>
  <c r="AX851" i="15"/>
  <c r="AJ852" i="15"/>
  <c r="AP852" i="15" s="1"/>
  <c r="AK852" i="15"/>
  <c r="AL852" i="15"/>
  <c r="AN852" i="15"/>
  <c r="AT852" i="15"/>
  <c r="AU852" i="15"/>
  <c r="AV852" i="15"/>
  <c r="AX852" i="15"/>
  <c r="AJ853" i="15"/>
  <c r="AP853" i="15" s="1"/>
  <c r="AK853" i="15"/>
  <c r="AL853" i="15"/>
  <c r="AN853" i="15"/>
  <c r="AT853" i="15"/>
  <c r="AU853" i="15"/>
  <c r="AV853" i="15"/>
  <c r="AX853" i="15"/>
  <c r="AJ854" i="15"/>
  <c r="AS854" i="15" s="1"/>
  <c r="AK854" i="15"/>
  <c r="AL854" i="15"/>
  <c r="AN854" i="15"/>
  <c r="AT854" i="15"/>
  <c r="AU854" i="15"/>
  <c r="AV854" i="15"/>
  <c r="AX854" i="15"/>
  <c r="AJ855" i="15"/>
  <c r="AQ855" i="15" s="1"/>
  <c r="AK855" i="15"/>
  <c r="AL855" i="15"/>
  <c r="AN855" i="15"/>
  <c r="AT855" i="15"/>
  <c r="AU855" i="15"/>
  <c r="AV855" i="15"/>
  <c r="AX855" i="15"/>
  <c r="AJ856" i="15"/>
  <c r="AP856" i="15" s="1"/>
  <c r="AK856" i="15"/>
  <c r="AL856" i="15"/>
  <c r="AN856" i="15"/>
  <c r="AT856" i="15"/>
  <c r="AU856" i="15"/>
  <c r="AV856" i="15"/>
  <c r="AX856" i="15"/>
  <c r="AJ857" i="15"/>
  <c r="AP857" i="15" s="1"/>
  <c r="AK857" i="15"/>
  <c r="AL857" i="15"/>
  <c r="AN857" i="15"/>
  <c r="AT857" i="15"/>
  <c r="AU857" i="15"/>
  <c r="AV857" i="15"/>
  <c r="AX857" i="15"/>
  <c r="AJ858" i="15"/>
  <c r="AS858" i="15" s="1"/>
  <c r="AK858" i="15"/>
  <c r="AL858" i="15"/>
  <c r="AN858" i="15"/>
  <c r="AT858" i="15"/>
  <c r="AU858" i="15"/>
  <c r="AV858" i="15"/>
  <c r="AX858" i="15"/>
  <c r="AJ859" i="15"/>
  <c r="AK859" i="15"/>
  <c r="AL859" i="15"/>
  <c r="AN859" i="15"/>
  <c r="AT859" i="15"/>
  <c r="AU859" i="15"/>
  <c r="AV859" i="15"/>
  <c r="AX859" i="15"/>
  <c r="AJ860" i="15"/>
  <c r="AK860" i="15"/>
  <c r="AL860" i="15"/>
  <c r="AN860" i="15"/>
  <c r="AT860" i="15"/>
  <c r="AU860" i="15"/>
  <c r="AV860" i="15"/>
  <c r="AX860" i="15"/>
  <c r="AJ861" i="15"/>
  <c r="AO861" i="15" s="1"/>
  <c r="AK861" i="15"/>
  <c r="AL861" i="15"/>
  <c r="AN861" i="15"/>
  <c r="AT861" i="15"/>
  <c r="AU861" i="15"/>
  <c r="AV861" i="15"/>
  <c r="AX861" i="15"/>
  <c r="AJ862" i="15"/>
  <c r="AO862" i="15" s="1"/>
  <c r="AK862" i="15"/>
  <c r="AL862" i="15"/>
  <c r="AN862" i="15"/>
  <c r="AT862" i="15"/>
  <c r="AU862" i="15"/>
  <c r="AV862" i="15"/>
  <c r="AX862" i="15"/>
  <c r="AJ863" i="15"/>
  <c r="AP863" i="15" s="1"/>
  <c r="AK863" i="15"/>
  <c r="AL863" i="15"/>
  <c r="AN863" i="15"/>
  <c r="AT863" i="15"/>
  <c r="AU863" i="15"/>
  <c r="AV863" i="15"/>
  <c r="AX863" i="15"/>
  <c r="AJ864" i="15"/>
  <c r="AS864" i="15" s="1"/>
  <c r="AK864" i="15"/>
  <c r="AL864" i="15"/>
  <c r="AN864" i="15"/>
  <c r="AT864" i="15"/>
  <c r="AU864" i="15"/>
  <c r="AV864" i="15"/>
  <c r="AX864" i="15"/>
  <c r="AJ865" i="15"/>
  <c r="AK865" i="15"/>
  <c r="AL865" i="15"/>
  <c r="AN865" i="15"/>
  <c r="AT865" i="15"/>
  <c r="AU865" i="15"/>
  <c r="AV865" i="15"/>
  <c r="AX865" i="15"/>
  <c r="AJ866" i="15"/>
  <c r="AK866" i="15"/>
  <c r="AL866" i="15"/>
  <c r="AN866" i="15"/>
  <c r="AT866" i="15"/>
  <c r="AU866" i="15"/>
  <c r="AV866" i="15"/>
  <c r="AX866" i="15"/>
  <c r="AJ867" i="15"/>
  <c r="AP867" i="15" s="1"/>
  <c r="AK867" i="15"/>
  <c r="AL867" i="15"/>
  <c r="AN867" i="15"/>
  <c r="AT867" i="15"/>
  <c r="AU867" i="15"/>
  <c r="AV867" i="15"/>
  <c r="AX867" i="15"/>
  <c r="AJ868" i="15"/>
  <c r="AZ868" i="15" s="1"/>
  <c r="AK868" i="15"/>
  <c r="AL868" i="15"/>
  <c r="AN868" i="15"/>
  <c r="AT868" i="15"/>
  <c r="AU868" i="15"/>
  <c r="AV868" i="15"/>
  <c r="AX868" i="15"/>
  <c r="AJ869" i="15"/>
  <c r="AO869" i="15" s="1"/>
  <c r="AK869" i="15"/>
  <c r="AL869" i="15"/>
  <c r="AN869" i="15"/>
  <c r="AT869" i="15"/>
  <c r="AU869" i="15"/>
  <c r="AV869" i="15"/>
  <c r="AX869" i="15"/>
  <c r="AJ870" i="15"/>
  <c r="AK870" i="15"/>
  <c r="AL870" i="15"/>
  <c r="AN870" i="15"/>
  <c r="AT870" i="15"/>
  <c r="AU870" i="15"/>
  <c r="AV870" i="15"/>
  <c r="AX870" i="15"/>
  <c r="AJ871" i="15"/>
  <c r="AZ871" i="15" s="1"/>
  <c r="AK871" i="15"/>
  <c r="AL871" i="15"/>
  <c r="AN871" i="15"/>
  <c r="AT871" i="15"/>
  <c r="AU871" i="15"/>
  <c r="AV871" i="15"/>
  <c r="AX871" i="15"/>
  <c r="AJ872" i="15"/>
  <c r="AZ872" i="15" s="1"/>
  <c r="AK872" i="15"/>
  <c r="AL872" i="15"/>
  <c r="AN872" i="15"/>
  <c r="AT872" i="15"/>
  <c r="AU872" i="15"/>
  <c r="AV872" i="15"/>
  <c r="AX872" i="15"/>
  <c r="AJ873" i="15"/>
  <c r="AK873" i="15"/>
  <c r="AL873" i="15"/>
  <c r="AN873" i="15"/>
  <c r="AT873" i="15"/>
  <c r="AU873" i="15"/>
  <c r="AV873" i="15"/>
  <c r="AX873" i="15"/>
  <c r="AJ874" i="15"/>
  <c r="AS874" i="15" s="1"/>
  <c r="AK874" i="15"/>
  <c r="AL874" i="15"/>
  <c r="AN874" i="15"/>
  <c r="AT874" i="15"/>
  <c r="AU874" i="15"/>
  <c r="AV874" i="15"/>
  <c r="AX874" i="15"/>
  <c r="AJ875" i="15"/>
  <c r="AK875" i="15"/>
  <c r="AL875" i="15"/>
  <c r="AN875" i="15"/>
  <c r="AT875" i="15"/>
  <c r="AU875" i="15"/>
  <c r="AV875" i="15"/>
  <c r="AX875" i="15"/>
  <c r="AJ876" i="15"/>
  <c r="AK876" i="15"/>
  <c r="AL876" i="15"/>
  <c r="AN876" i="15"/>
  <c r="AT876" i="15"/>
  <c r="AU876" i="15"/>
  <c r="AV876" i="15"/>
  <c r="AX876" i="15"/>
  <c r="AJ877" i="15"/>
  <c r="AP877" i="15" s="1"/>
  <c r="AK877" i="15"/>
  <c r="AL877" i="15"/>
  <c r="AN877" i="15"/>
  <c r="AT877" i="15"/>
  <c r="AU877" i="15"/>
  <c r="AV877" i="15"/>
  <c r="AX877" i="15"/>
  <c r="AJ878" i="15"/>
  <c r="AS878" i="15" s="1"/>
  <c r="AK878" i="15"/>
  <c r="AL878" i="15"/>
  <c r="AN878" i="15"/>
  <c r="AT878" i="15"/>
  <c r="AU878" i="15"/>
  <c r="AV878" i="15"/>
  <c r="AX878" i="15"/>
  <c r="AJ879" i="15"/>
  <c r="AS879" i="15" s="1"/>
  <c r="AK879" i="15"/>
  <c r="AL879" i="15"/>
  <c r="AN879" i="15"/>
  <c r="AT879" i="15"/>
  <c r="AU879" i="15"/>
  <c r="AV879" i="15"/>
  <c r="AX879" i="15"/>
  <c r="AJ880" i="15"/>
  <c r="AK880" i="15"/>
  <c r="AL880" i="15"/>
  <c r="AN880" i="15"/>
  <c r="AT880" i="15"/>
  <c r="AU880" i="15"/>
  <c r="AV880" i="15"/>
  <c r="AX880" i="15"/>
  <c r="AJ881" i="15"/>
  <c r="AO881" i="15" s="1"/>
  <c r="AK881" i="15"/>
  <c r="AL881" i="15"/>
  <c r="AN881" i="15"/>
  <c r="AT881" i="15"/>
  <c r="AU881" i="15"/>
  <c r="AV881" i="15"/>
  <c r="AX881" i="15"/>
  <c r="AJ882" i="15"/>
  <c r="AO882" i="15" s="1"/>
  <c r="AK882" i="15"/>
  <c r="AL882" i="15"/>
  <c r="AN882" i="15"/>
  <c r="AT882" i="15"/>
  <c r="AU882" i="15"/>
  <c r="AV882" i="15"/>
  <c r="AX882" i="15"/>
  <c r="AJ883" i="15"/>
  <c r="AO883" i="15" s="1"/>
  <c r="AK883" i="15"/>
  <c r="AL883" i="15"/>
  <c r="AN883" i="15"/>
  <c r="AT883" i="15"/>
  <c r="AU883" i="15"/>
  <c r="AV883" i="15"/>
  <c r="AX883" i="15"/>
  <c r="AJ884" i="15"/>
  <c r="AO884" i="15" s="1"/>
  <c r="AK884" i="15"/>
  <c r="AL884" i="15"/>
  <c r="AN884" i="15"/>
  <c r="AT884" i="15"/>
  <c r="AU884" i="15"/>
  <c r="AV884" i="15"/>
  <c r="AX884" i="15"/>
  <c r="AJ885" i="15"/>
  <c r="AP885" i="15" s="1"/>
  <c r="AK885" i="15"/>
  <c r="AL885" i="15"/>
  <c r="AN885" i="15"/>
  <c r="AT885" i="15"/>
  <c r="AU885" i="15"/>
  <c r="AV885" i="15"/>
  <c r="AX885" i="15"/>
  <c r="AJ886" i="15"/>
  <c r="AK886" i="15"/>
  <c r="AL886" i="15"/>
  <c r="AN886" i="15"/>
  <c r="AT886" i="15"/>
  <c r="AU886" i="15"/>
  <c r="AV886" i="15"/>
  <c r="AX886" i="15"/>
  <c r="AJ887" i="15"/>
  <c r="AK887" i="15"/>
  <c r="AL887" i="15"/>
  <c r="AN887" i="15"/>
  <c r="AT887" i="15"/>
  <c r="AU887" i="15"/>
  <c r="AV887" i="15"/>
  <c r="AX887" i="15"/>
  <c r="AJ888" i="15"/>
  <c r="AK888" i="15"/>
  <c r="AL888" i="15"/>
  <c r="AN888" i="15"/>
  <c r="AT888" i="15"/>
  <c r="AU888" i="15"/>
  <c r="AV888" i="15"/>
  <c r="AX888" i="15"/>
  <c r="AJ889" i="15"/>
  <c r="AK889" i="15"/>
  <c r="AL889" i="15"/>
  <c r="AN889" i="15"/>
  <c r="AT889" i="15"/>
  <c r="AU889" i="15"/>
  <c r="AV889" i="15"/>
  <c r="AX889" i="15"/>
  <c r="AJ890" i="15"/>
  <c r="AS890" i="15" s="1"/>
  <c r="AK890" i="15"/>
  <c r="AL890" i="15"/>
  <c r="AN890" i="15"/>
  <c r="AT890" i="15"/>
  <c r="AU890" i="15"/>
  <c r="AV890" i="15"/>
  <c r="AX890" i="15"/>
  <c r="AJ891" i="15"/>
  <c r="AK891" i="15"/>
  <c r="AL891" i="15"/>
  <c r="AN891" i="15"/>
  <c r="AT891" i="15"/>
  <c r="AU891" i="15"/>
  <c r="AV891" i="15"/>
  <c r="AX891" i="15"/>
  <c r="AJ892" i="15"/>
  <c r="AO892" i="15" s="1"/>
  <c r="AK892" i="15"/>
  <c r="AL892" i="15"/>
  <c r="AN892" i="15"/>
  <c r="AT892" i="15"/>
  <c r="AU892" i="15"/>
  <c r="AV892" i="15"/>
  <c r="AX892" i="15"/>
  <c r="AJ893" i="15"/>
  <c r="AO893" i="15" s="1"/>
  <c r="AK893" i="15"/>
  <c r="AL893" i="15"/>
  <c r="AN893" i="15"/>
  <c r="AT893" i="15"/>
  <c r="AU893" i="15"/>
  <c r="AV893" i="15"/>
  <c r="AX893" i="15"/>
  <c r="AJ894" i="15"/>
  <c r="AK894" i="15"/>
  <c r="AL894" i="15"/>
  <c r="AN894" i="15"/>
  <c r="AT894" i="15"/>
  <c r="AU894" i="15"/>
  <c r="AV894" i="15"/>
  <c r="AX894" i="15"/>
  <c r="AJ895" i="15"/>
  <c r="AP895" i="15" s="1"/>
  <c r="AK895" i="15"/>
  <c r="AL895" i="15"/>
  <c r="AN895" i="15"/>
  <c r="AT895" i="15"/>
  <c r="AU895" i="15"/>
  <c r="AV895" i="15"/>
  <c r="AX895" i="15"/>
  <c r="AJ896" i="15"/>
  <c r="AZ896" i="15" s="1"/>
  <c r="AK896" i="15"/>
  <c r="AL896" i="15"/>
  <c r="AN896" i="15"/>
  <c r="AT896" i="15"/>
  <c r="AU896" i="15"/>
  <c r="AV896" i="15"/>
  <c r="AX896" i="15"/>
  <c r="AJ897" i="15"/>
  <c r="AP897" i="15" s="1"/>
  <c r="AK897" i="15"/>
  <c r="AL897" i="15"/>
  <c r="AN897" i="15"/>
  <c r="AT897" i="15"/>
  <c r="AU897" i="15"/>
  <c r="AV897" i="15"/>
  <c r="AX897" i="15"/>
  <c r="AJ898" i="15"/>
  <c r="AK898" i="15"/>
  <c r="AL898" i="15"/>
  <c r="AN898" i="15"/>
  <c r="AT898" i="15"/>
  <c r="AU898" i="15"/>
  <c r="AV898" i="15"/>
  <c r="AX898" i="15"/>
  <c r="AJ899" i="15"/>
  <c r="AZ899" i="15" s="1"/>
  <c r="AK899" i="15"/>
  <c r="AL899" i="15"/>
  <c r="AN899" i="15"/>
  <c r="AT899" i="15"/>
  <c r="AU899" i="15"/>
  <c r="AV899" i="15"/>
  <c r="AX899" i="15"/>
  <c r="AJ900" i="15"/>
  <c r="AO900" i="15" s="1"/>
  <c r="AK900" i="15"/>
  <c r="AL900" i="15"/>
  <c r="AN900" i="15"/>
  <c r="AT900" i="15"/>
  <c r="AU900" i="15"/>
  <c r="AV900" i="15"/>
  <c r="AX900" i="15"/>
  <c r="AJ901" i="15"/>
  <c r="AP901" i="15" s="1"/>
  <c r="AK901" i="15"/>
  <c r="AL901" i="15"/>
  <c r="AN901" i="15"/>
  <c r="AT901" i="15"/>
  <c r="AU901" i="15"/>
  <c r="AV901" i="15"/>
  <c r="AX901" i="15"/>
  <c r="AJ902" i="15"/>
  <c r="AK902" i="15"/>
  <c r="AL902" i="15"/>
  <c r="AN902" i="15"/>
  <c r="AT902" i="15"/>
  <c r="AU902" i="15"/>
  <c r="AV902" i="15"/>
  <c r="AX902" i="15"/>
  <c r="AJ903" i="15"/>
  <c r="AK903" i="15"/>
  <c r="AL903" i="15"/>
  <c r="AN903" i="15"/>
  <c r="AT903" i="15"/>
  <c r="AU903" i="15"/>
  <c r="AV903" i="15"/>
  <c r="AX903" i="15"/>
  <c r="AJ904" i="15"/>
  <c r="AQ904" i="15" s="1"/>
  <c r="AK904" i="15"/>
  <c r="AL904" i="15"/>
  <c r="AN904" i="15"/>
  <c r="AT904" i="15"/>
  <c r="AU904" i="15"/>
  <c r="AV904" i="15"/>
  <c r="AX904" i="15"/>
  <c r="AJ905" i="15"/>
  <c r="AK905" i="15"/>
  <c r="AL905" i="15"/>
  <c r="AN905" i="15"/>
  <c r="AT905" i="15"/>
  <c r="AU905" i="15"/>
  <c r="AV905" i="15"/>
  <c r="AX905" i="15"/>
  <c r="AJ906" i="15"/>
  <c r="AO906" i="15" s="1"/>
  <c r="AK906" i="15"/>
  <c r="AL906" i="15"/>
  <c r="AN906" i="15"/>
  <c r="AT906" i="15"/>
  <c r="AU906" i="15"/>
  <c r="AV906" i="15"/>
  <c r="AX906" i="15"/>
  <c r="AJ907" i="15"/>
  <c r="AZ907" i="15" s="1"/>
  <c r="AK907" i="15"/>
  <c r="AL907" i="15"/>
  <c r="AN907" i="15"/>
  <c r="AT907" i="15"/>
  <c r="AU907" i="15"/>
  <c r="AV907" i="15"/>
  <c r="AX907" i="15"/>
  <c r="AJ908" i="15"/>
  <c r="AK908" i="15"/>
  <c r="AL908" i="15"/>
  <c r="AN908" i="15"/>
  <c r="AT908" i="15"/>
  <c r="AU908" i="15"/>
  <c r="AV908" i="15"/>
  <c r="AX908" i="15"/>
  <c r="AJ909" i="15"/>
  <c r="AK909" i="15"/>
  <c r="AL909" i="15"/>
  <c r="AN909" i="15"/>
  <c r="AT909" i="15"/>
  <c r="AU909" i="15"/>
  <c r="AV909" i="15"/>
  <c r="AX909" i="15"/>
  <c r="AJ910" i="15"/>
  <c r="AQ910" i="15" s="1"/>
  <c r="AK910" i="15"/>
  <c r="AL910" i="15"/>
  <c r="AN910" i="15"/>
  <c r="AT910" i="15"/>
  <c r="AU910" i="15"/>
  <c r="AV910" i="15"/>
  <c r="AX910" i="15"/>
  <c r="AJ911" i="15"/>
  <c r="AZ911" i="15" s="1"/>
  <c r="AK911" i="15"/>
  <c r="AL911" i="15"/>
  <c r="AN911" i="15"/>
  <c r="AT911" i="15"/>
  <c r="AU911" i="15"/>
  <c r="AV911" i="15"/>
  <c r="AX911" i="15"/>
  <c r="AJ912" i="15"/>
  <c r="AS912" i="15" s="1"/>
  <c r="AK912" i="15"/>
  <c r="AL912" i="15"/>
  <c r="AN912" i="15"/>
  <c r="AT912" i="15"/>
  <c r="AU912" i="15"/>
  <c r="AV912" i="15"/>
  <c r="AX912" i="15"/>
  <c r="AJ913" i="15"/>
  <c r="AS913" i="15" s="1"/>
  <c r="AK913" i="15"/>
  <c r="AL913" i="15"/>
  <c r="AN913" i="15"/>
  <c r="AT913" i="15"/>
  <c r="AU913" i="15"/>
  <c r="AV913" i="15"/>
  <c r="AX913" i="15"/>
  <c r="AJ914" i="15"/>
  <c r="AK914" i="15"/>
  <c r="AL914" i="15"/>
  <c r="AN914" i="15"/>
  <c r="AT914" i="15"/>
  <c r="AU914" i="15"/>
  <c r="AV914" i="15"/>
  <c r="AX914" i="15"/>
  <c r="AJ915" i="15"/>
  <c r="AZ915" i="15" s="1"/>
  <c r="AK915" i="15"/>
  <c r="AL915" i="15"/>
  <c r="AN915" i="15"/>
  <c r="AT915" i="15"/>
  <c r="AU915" i="15"/>
  <c r="AV915" i="15"/>
  <c r="AX915" i="15"/>
  <c r="AJ916" i="15"/>
  <c r="AO916" i="15" s="1"/>
  <c r="AK916" i="15"/>
  <c r="AL916" i="15"/>
  <c r="AN916" i="15"/>
  <c r="AT916" i="15"/>
  <c r="AU916" i="15"/>
  <c r="AV916" i="15"/>
  <c r="AX916" i="15"/>
  <c r="AJ917" i="15"/>
  <c r="AK917" i="15"/>
  <c r="AL917" i="15"/>
  <c r="AN917" i="15"/>
  <c r="AT917" i="15"/>
  <c r="AU917" i="15"/>
  <c r="AV917" i="15"/>
  <c r="AX917" i="15"/>
  <c r="AJ918" i="15"/>
  <c r="AQ918" i="15" s="1"/>
  <c r="AK918" i="15"/>
  <c r="AL918" i="15"/>
  <c r="AN918" i="15"/>
  <c r="AT918" i="15"/>
  <c r="AU918" i="15"/>
  <c r="AV918" i="15"/>
  <c r="AX918" i="15"/>
  <c r="AJ919" i="15"/>
  <c r="AZ919" i="15" s="1"/>
  <c r="AK919" i="15"/>
  <c r="AL919" i="15"/>
  <c r="AN919" i="15"/>
  <c r="AT919" i="15"/>
  <c r="AU919" i="15"/>
  <c r="AV919" i="15"/>
  <c r="AX919" i="15"/>
  <c r="AJ920" i="15"/>
  <c r="AO920" i="15" s="1"/>
  <c r="AK920" i="15"/>
  <c r="AL920" i="15"/>
  <c r="AN920" i="15"/>
  <c r="AT920" i="15"/>
  <c r="AU920" i="15"/>
  <c r="AV920" i="15"/>
  <c r="AX920" i="15"/>
  <c r="AJ921" i="15"/>
  <c r="AS921" i="15" s="1"/>
  <c r="AK921" i="15"/>
  <c r="AL921" i="15"/>
  <c r="AN921" i="15"/>
  <c r="AT921" i="15"/>
  <c r="AU921" i="15"/>
  <c r="AV921" i="15"/>
  <c r="AX921" i="15"/>
  <c r="AJ922" i="15"/>
  <c r="AK922" i="15"/>
  <c r="AL922" i="15"/>
  <c r="AN922" i="15"/>
  <c r="AT922" i="15"/>
  <c r="AU922" i="15"/>
  <c r="AV922" i="15"/>
  <c r="AX922" i="15"/>
  <c r="AJ923" i="15"/>
  <c r="AK923" i="15"/>
  <c r="AL923" i="15"/>
  <c r="AN923" i="15"/>
  <c r="AT923" i="15"/>
  <c r="AU923" i="15"/>
  <c r="AV923" i="15"/>
  <c r="AX923" i="15"/>
  <c r="AJ924" i="15"/>
  <c r="AK924" i="15"/>
  <c r="AL924" i="15"/>
  <c r="AN924" i="15"/>
  <c r="AT924" i="15"/>
  <c r="AU924" i="15"/>
  <c r="AV924" i="15"/>
  <c r="AX924" i="15"/>
  <c r="AJ925" i="15"/>
  <c r="AS925" i="15" s="1"/>
  <c r="AK925" i="15"/>
  <c r="AL925" i="15"/>
  <c r="AN925" i="15"/>
  <c r="AT925" i="15"/>
  <c r="AU925" i="15"/>
  <c r="AV925" i="15"/>
  <c r="AX925" i="15"/>
  <c r="AJ926" i="15"/>
  <c r="AK926" i="15"/>
  <c r="AL926" i="15"/>
  <c r="AN926" i="15"/>
  <c r="AT926" i="15"/>
  <c r="AU926" i="15"/>
  <c r="AV926" i="15"/>
  <c r="AX926" i="15"/>
  <c r="AJ927" i="15"/>
  <c r="AZ927" i="15" s="1"/>
  <c r="AK927" i="15"/>
  <c r="AL927" i="15"/>
  <c r="AN927" i="15"/>
  <c r="AT927" i="15"/>
  <c r="AU927" i="15"/>
  <c r="AV927" i="15"/>
  <c r="AX927" i="15"/>
  <c r="AJ928" i="15"/>
  <c r="AK928" i="15"/>
  <c r="AL928" i="15"/>
  <c r="AN928" i="15"/>
  <c r="AT928" i="15"/>
  <c r="AU928" i="15"/>
  <c r="AV928" i="15"/>
  <c r="AX928" i="15"/>
  <c r="AJ929" i="15"/>
  <c r="AS929" i="15" s="1"/>
  <c r="AK929" i="15"/>
  <c r="AL929" i="15"/>
  <c r="AN929" i="15"/>
  <c r="AT929" i="15"/>
  <c r="AU929" i="15"/>
  <c r="AV929" i="15"/>
  <c r="AX929" i="15"/>
  <c r="AJ930" i="15"/>
  <c r="AK930" i="15"/>
  <c r="AL930" i="15"/>
  <c r="AN930" i="15"/>
  <c r="AT930" i="15"/>
  <c r="AU930" i="15"/>
  <c r="AV930" i="15"/>
  <c r="AX930" i="15"/>
  <c r="AJ931" i="15"/>
  <c r="AS931" i="15" s="1"/>
  <c r="AK931" i="15"/>
  <c r="AL931" i="15"/>
  <c r="AN931" i="15"/>
  <c r="AT931" i="15"/>
  <c r="AU931" i="15"/>
  <c r="AV931" i="15"/>
  <c r="AX931" i="15"/>
  <c r="AJ932" i="15"/>
  <c r="AQ932" i="15" s="1"/>
  <c r="AK932" i="15"/>
  <c r="AL932" i="15"/>
  <c r="AN932" i="15"/>
  <c r="AT932" i="15"/>
  <c r="AU932" i="15"/>
  <c r="AV932" i="15"/>
  <c r="AX932" i="15"/>
  <c r="AJ933" i="15"/>
  <c r="AK933" i="15"/>
  <c r="AL933" i="15"/>
  <c r="AN933" i="15"/>
  <c r="AT933" i="15"/>
  <c r="AU933" i="15"/>
  <c r="AV933" i="15"/>
  <c r="AX933" i="15"/>
  <c r="AJ934" i="15"/>
  <c r="AZ934" i="15" s="1"/>
  <c r="AK934" i="15"/>
  <c r="AL934" i="15"/>
  <c r="AN934" i="15"/>
  <c r="AT934" i="15"/>
  <c r="AU934" i="15"/>
  <c r="AV934" i="15"/>
  <c r="AX934" i="15"/>
  <c r="AJ935" i="15"/>
  <c r="AZ935" i="15" s="1"/>
  <c r="AK935" i="15"/>
  <c r="AL935" i="15"/>
  <c r="AN935" i="15"/>
  <c r="AT935" i="15"/>
  <c r="AU935" i="15"/>
  <c r="AV935" i="15"/>
  <c r="AX935" i="15"/>
  <c r="AJ936" i="15"/>
  <c r="AK936" i="15"/>
  <c r="AL936" i="15"/>
  <c r="AN936" i="15"/>
  <c r="AT936" i="15"/>
  <c r="AU936" i="15"/>
  <c r="AV936" i="15"/>
  <c r="AX936" i="15"/>
  <c r="AJ937" i="15"/>
  <c r="AS937" i="15" s="1"/>
  <c r="AK937" i="15"/>
  <c r="AL937" i="15"/>
  <c r="AN937" i="15"/>
  <c r="AT937" i="15"/>
  <c r="AU937" i="15"/>
  <c r="AV937" i="15"/>
  <c r="AX937" i="15"/>
  <c r="AJ938" i="15"/>
  <c r="AK938" i="15"/>
  <c r="AL938" i="15"/>
  <c r="AN938" i="15"/>
  <c r="AT938" i="15"/>
  <c r="AU938" i="15"/>
  <c r="AV938" i="15"/>
  <c r="AX938" i="15"/>
  <c r="AJ939" i="15"/>
  <c r="AK939" i="15"/>
  <c r="AL939" i="15"/>
  <c r="AN939" i="15"/>
  <c r="AT939" i="15"/>
  <c r="AU939" i="15"/>
  <c r="AV939" i="15"/>
  <c r="AX939" i="15"/>
  <c r="AJ940" i="15"/>
  <c r="AO940" i="15" s="1"/>
  <c r="AK940" i="15"/>
  <c r="AL940" i="15"/>
  <c r="AN940" i="15"/>
  <c r="AT940" i="15"/>
  <c r="AU940" i="15"/>
  <c r="AV940" i="15"/>
  <c r="AX940" i="15"/>
  <c r="AJ941" i="15"/>
  <c r="AS941" i="15" s="1"/>
  <c r="AK941" i="15"/>
  <c r="AL941" i="15"/>
  <c r="AN941" i="15"/>
  <c r="AT941" i="15"/>
  <c r="AU941" i="15"/>
  <c r="AV941" i="15"/>
  <c r="AX941" i="15"/>
  <c r="AJ942" i="15"/>
  <c r="AZ942" i="15" s="1"/>
  <c r="AK942" i="15"/>
  <c r="AL942" i="15"/>
  <c r="AN942" i="15"/>
  <c r="AT942" i="15"/>
  <c r="AU942" i="15"/>
  <c r="AV942" i="15"/>
  <c r="AX942" i="15"/>
  <c r="AJ943" i="15"/>
  <c r="AZ943" i="15" s="1"/>
  <c r="AK943" i="15"/>
  <c r="AL943" i="15"/>
  <c r="AN943" i="15"/>
  <c r="AT943" i="15"/>
  <c r="AU943" i="15"/>
  <c r="AV943" i="15"/>
  <c r="AX943" i="15"/>
  <c r="AJ944" i="15"/>
  <c r="AQ944" i="15" s="1"/>
  <c r="AK944" i="15"/>
  <c r="AL944" i="15"/>
  <c r="AN944" i="15"/>
  <c r="AT944" i="15"/>
  <c r="AU944" i="15"/>
  <c r="AV944" i="15"/>
  <c r="AX944" i="15"/>
  <c r="AJ945" i="15"/>
  <c r="AS945" i="15" s="1"/>
  <c r="AK945" i="15"/>
  <c r="AL945" i="15"/>
  <c r="AN945" i="15"/>
  <c r="AT945" i="15"/>
  <c r="AU945" i="15"/>
  <c r="AV945" i="15"/>
  <c r="AX945" i="15"/>
  <c r="AJ946" i="15"/>
  <c r="AQ946" i="15" s="1"/>
  <c r="AK946" i="15"/>
  <c r="AL946" i="15"/>
  <c r="AN946" i="15"/>
  <c r="AT946" i="15"/>
  <c r="AU946" i="15"/>
  <c r="AV946" i="15"/>
  <c r="AX946" i="15"/>
  <c r="AJ947" i="15"/>
  <c r="AS947" i="15" s="1"/>
  <c r="AK947" i="15"/>
  <c r="AL947" i="15"/>
  <c r="AN947" i="15"/>
  <c r="AT947" i="15"/>
  <c r="AU947" i="15"/>
  <c r="AV947" i="15"/>
  <c r="AX947" i="15"/>
  <c r="AJ948" i="15"/>
  <c r="AQ948" i="15" s="1"/>
  <c r="AK948" i="15"/>
  <c r="AL948" i="15"/>
  <c r="AN948" i="15"/>
  <c r="AT948" i="15"/>
  <c r="AU948" i="15"/>
  <c r="AV948" i="15"/>
  <c r="AX948" i="15"/>
  <c r="AJ949" i="15"/>
  <c r="AK949" i="15"/>
  <c r="AL949" i="15"/>
  <c r="AN949" i="15"/>
  <c r="AT949" i="15"/>
  <c r="AU949" i="15"/>
  <c r="AV949" i="15"/>
  <c r="AX949" i="15"/>
  <c r="AJ950" i="15"/>
  <c r="AZ950" i="15" s="1"/>
  <c r="AK950" i="15"/>
  <c r="AL950" i="15"/>
  <c r="AN950" i="15"/>
  <c r="AT950" i="15"/>
  <c r="AU950" i="15"/>
  <c r="AV950" i="15"/>
  <c r="AX950" i="15"/>
  <c r="AJ951" i="15"/>
  <c r="AZ951" i="15" s="1"/>
  <c r="AK951" i="15"/>
  <c r="AL951" i="15"/>
  <c r="AN951" i="15"/>
  <c r="AT951" i="15"/>
  <c r="AU951" i="15"/>
  <c r="AV951" i="15"/>
  <c r="AX951" i="15"/>
  <c r="AJ952" i="15"/>
  <c r="AK952" i="15"/>
  <c r="AL952" i="15"/>
  <c r="AN952" i="15"/>
  <c r="AT952" i="15"/>
  <c r="AU952" i="15"/>
  <c r="AV952" i="15"/>
  <c r="AX952" i="15"/>
  <c r="AJ953" i="15"/>
  <c r="AS953" i="15" s="1"/>
  <c r="AK953" i="15"/>
  <c r="AL953" i="15"/>
  <c r="AN953" i="15"/>
  <c r="AT953" i="15"/>
  <c r="AU953" i="15"/>
  <c r="AV953" i="15"/>
  <c r="AX953" i="15"/>
  <c r="AJ954" i="15"/>
  <c r="AK954" i="15"/>
  <c r="AL954" i="15"/>
  <c r="AN954" i="15"/>
  <c r="AT954" i="15"/>
  <c r="AU954" i="15"/>
  <c r="AV954" i="15"/>
  <c r="AX954" i="15"/>
  <c r="AJ955" i="15"/>
  <c r="AK955" i="15"/>
  <c r="AL955" i="15"/>
  <c r="AN955" i="15"/>
  <c r="AT955" i="15"/>
  <c r="AU955" i="15"/>
  <c r="AV955" i="15"/>
  <c r="AX955" i="15"/>
  <c r="AJ956" i="15"/>
  <c r="AQ956" i="15" s="1"/>
  <c r="AK956" i="15"/>
  <c r="AL956" i="15"/>
  <c r="AN956" i="15"/>
  <c r="AT956" i="15"/>
  <c r="AU956" i="15"/>
  <c r="AV956" i="15"/>
  <c r="AX956" i="15"/>
  <c r="AJ957" i="15"/>
  <c r="AK957" i="15"/>
  <c r="AL957" i="15"/>
  <c r="AN957" i="15"/>
  <c r="AT957" i="15"/>
  <c r="AU957" i="15"/>
  <c r="AV957" i="15"/>
  <c r="AX957" i="15"/>
  <c r="AJ958" i="15"/>
  <c r="AQ958" i="15" s="1"/>
  <c r="AK958" i="15"/>
  <c r="AL958" i="15"/>
  <c r="AN958" i="15"/>
  <c r="AT958" i="15"/>
  <c r="AU958" i="15"/>
  <c r="AV958" i="15"/>
  <c r="AX958" i="15"/>
  <c r="AJ959" i="15"/>
  <c r="AZ959" i="15" s="1"/>
  <c r="AK959" i="15"/>
  <c r="AL959" i="15"/>
  <c r="AN959" i="15"/>
  <c r="AT959" i="15"/>
  <c r="AU959" i="15"/>
  <c r="AV959" i="15"/>
  <c r="AX959" i="15"/>
  <c r="AJ960" i="15"/>
  <c r="AO960" i="15" s="1"/>
  <c r="AK960" i="15"/>
  <c r="AL960" i="15"/>
  <c r="AN960" i="15"/>
  <c r="AT960" i="15"/>
  <c r="AU960" i="15"/>
  <c r="AV960" i="15"/>
  <c r="AX960" i="15"/>
  <c r="AJ961" i="15"/>
  <c r="AS961" i="15" s="1"/>
  <c r="AK961" i="15"/>
  <c r="AL961" i="15"/>
  <c r="AN961" i="15"/>
  <c r="AT961" i="15"/>
  <c r="AU961" i="15"/>
  <c r="AV961" i="15"/>
  <c r="AX961" i="15"/>
  <c r="AJ962" i="15"/>
  <c r="AQ962" i="15" s="1"/>
  <c r="AK962" i="15"/>
  <c r="AL962" i="15"/>
  <c r="AN962" i="15"/>
  <c r="AT962" i="15"/>
  <c r="AU962" i="15"/>
  <c r="AV962" i="15"/>
  <c r="AX962" i="15"/>
  <c r="AJ963" i="15"/>
  <c r="AO963" i="15" s="1"/>
  <c r="AK963" i="15"/>
  <c r="AL963" i="15"/>
  <c r="AN963" i="15"/>
  <c r="AT963" i="15"/>
  <c r="AU963" i="15"/>
  <c r="AV963" i="15"/>
  <c r="AX963" i="15"/>
  <c r="AJ964" i="15"/>
  <c r="AO964" i="15" s="1"/>
  <c r="AK964" i="15"/>
  <c r="AL964" i="15"/>
  <c r="AN964" i="15"/>
  <c r="AT964" i="15"/>
  <c r="AU964" i="15"/>
  <c r="AV964" i="15"/>
  <c r="AX964" i="15"/>
  <c r="AJ965" i="15"/>
  <c r="AS965" i="15" s="1"/>
  <c r="AK965" i="15"/>
  <c r="AL965" i="15"/>
  <c r="AN965" i="15"/>
  <c r="AT965" i="15"/>
  <c r="AU965" i="15"/>
  <c r="AV965" i="15"/>
  <c r="AX965" i="15"/>
  <c r="AJ966" i="15"/>
  <c r="AK966" i="15"/>
  <c r="AL966" i="15"/>
  <c r="AN966" i="15"/>
  <c r="AT966" i="15"/>
  <c r="AU966" i="15"/>
  <c r="AV966" i="15"/>
  <c r="AX966" i="15"/>
  <c r="AJ967" i="15"/>
  <c r="AZ967" i="15" s="1"/>
  <c r="AK967" i="15"/>
  <c r="AL967" i="15"/>
  <c r="AN967" i="15"/>
  <c r="AT967" i="15"/>
  <c r="AU967" i="15"/>
  <c r="AV967" i="15"/>
  <c r="AX967" i="15"/>
  <c r="AJ968" i="15"/>
  <c r="AZ968" i="15" s="1"/>
  <c r="AK968" i="15"/>
  <c r="AL968" i="15"/>
  <c r="AN968" i="15"/>
  <c r="AT968" i="15"/>
  <c r="AU968" i="15"/>
  <c r="AV968" i="15"/>
  <c r="AX968" i="15"/>
  <c r="AJ969" i="15"/>
  <c r="AS969" i="15" s="1"/>
  <c r="AK969" i="15"/>
  <c r="AL969" i="15"/>
  <c r="AN969" i="15"/>
  <c r="AT969" i="15"/>
  <c r="AU969" i="15"/>
  <c r="AV969" i="15"/>
  <c r="AX969" i="15"/>
  <c r="AJ970" i="15"/>
  <c r="AQ970" i="15" s="1"/>
  <c r="AK970" i="15"/>
  <c r="AL970" i="15"/>
  <c r="AN970" i="15"/>
  <c r="AT970" i="15"/>
  <c r="AU970" i="15"/>
  <c r="AV970" i="15"/>
  <c r="AX970" i="15"/>
  <c r="AJ971" i="15"/>
  <c r="AO971" i="15" s="1"/>
  <c r="AK971" i="15"/>
  <c r="AL971" i="15"/>
  <c r="AN971" i="15"/>
  <c r="AT971" i="15"/>
  <c r="AU971" i="15"/>
  <c r="AV971" i="15"/>
  <c r="AX971" i="15"/>
  <c r="AJ972" i="15"/>
  <c r="AK972" i="15"/>
  <c r="AL972" i="15"/>
  <c r="AN972" i="15"/>
  <c r="AT972" i="15"/>
  <c r="AU972" i="15"/>
  <c r="AV972" i="15"/>
  <c r="AX972" i="15"/>
  <c r="AJ973" i="15"/>
  <c r="AK973" i="15"/>
  <c r="AL973" i="15"/>
  <c r="AN973" i="15"/>
  <c r="AT973" i="15"/>
  <c r="AU973" i="15"/>
  <c r="AV973" i="15"/>
  <c r="AX973" i="15"/>
  <c r="AJ974" i="15"/>
  <c r="AK974" i="15"/>
  <c r="AL974" i="15"/>
  <c r="AN974" i="15"/>
  <c r="AT974" i="15"/>
  <c r="AU974" i="15"/>
  <c r="AV974" i="15"/>
  <c r="AX974" i="15"/>
  <c r="AJ975" i="15"/>
  <c r="AZ975" i="15" s="1"/>
  <c r="AK975" i="15"/>
  <c r="AL975" i="15"/>
  <c r="AN975" i="15"/>
  <c r="AT975" i="15"/>
  <c r="AU975" i="15"/>
  <c r="AV975" i="15"/>
  <c r="AX975" i="15"/>
  <c r="AJ976" i="15"/>
  <c r="AZ976" i="15" s="1"/>
  <c r="AK976" i="15"/>
  <c r="AL976" i="15"/>
  <c r="AN976" i="15"/>
  <c r="AT976" i="15"/>
  <c r="AU976" i="15"/>
  <c r="AV976" i="15"/>
  <c r="AX976" i="15"/>
  <c r="AJ977" i="15"/>
  <c r="AS977" i="15" s="1"/>
  <c r="AK977" i="15"/>
  <c r="AL977" i="15"/>
  <c r="AN977" i="15"/>
  <c r="AT977" i="15"/>
  <c r="AU977" i="15"/>
  <c r="AV977" i="15"/>
  <c r="AX977" i="15"/>
  <c r="AJ978" i="15"/>
  <c r="AK978" i="15"/>
  <c r="AL978" i="15"/>
  <c r="AN978" i="15"/>
  <c r="AT978" i="15"/>
  <c r="AU978" i="15"/>
  <c r="AV978" i="15"/>
  <c r="AX978" i="15"/>
  <c r="AJ979" i="15"/>
  <c r="AS979" i="15" s="1"/>
  <c r="AK979" i="15"/>
  <c r="AL979" i="15"/>
  <c r="AN979" i="15"/>
  <c r="AT979" i="15"/>
  <c r="AU979" i="15"/>
  <c r="AV979" i="15"/>
  <c r="AX979" i="15"/>
  <c r="AJ980" i="15"/>
  <c r="AK980" i="15"/>
  <c r="AL980" i="15"/>
  <c r="AN980" i="15"/>
  <c r="AT980" i="15"/>
  <c r="AU980" i="15"/>
  <c r="AV980" i="15"/>
  <c r="AX980" i="15"/>
  <c r="AJ981" i="15"/>
  <c r="AK981" i="15"/>
  <c r="AL981" i="15"/>
  <c r="AN981" i="15"/>
  <c r="AT981" i="15"/>
  <c r="AU981" i="15"/>
  <c r="AV981" i="15"/>
  <c r="AX981" i="15"/>
  <c r="AJ982" i="15"/>
  <c r="AS982" i="15" s="1"/>
  <c r="AK982" i="15"/>
  <c r="AL982" i="15"/>
  <c r="AN982" i="15"/>
  <c r="AT982" i="15"/>
  <c r="AU982" i="15"/>
  <c r="AV982" i="15"/>
  <c r="AX982" i="15"/>
  <c r="AJ983" i="15"/>
  <c r="AZ983" i="15" s="1"/>
  <c r="AK983" i="15"/>
  <c r="AL983" i="15"/>
  <c r="AN983" i="15"/>
  <c r="AT983" i="15"/>
  <c r="AU983" i="15"/>
  <c r="AV983" i="15"/>
  <c r="AX983" i="15"/>
  <c r="AJ984" i="15"/>
  <c r="AQ984" i="15" s="1"/>
  <c r="AK984" i="15"/>
  <c r="AL984" i="15"/>
  <c r="AN984" i="15"/>
  <c r="AT984" i="15"/>
  <c r="AU984" i="15"/>
  <c r="AV984" i="15"/>
  <c r="AX984" i="15"/>
  <c r="AJ985" i="15"/>
  <c r="AS985" i="15" s="1"/>
  <c r="AK985" i="15"/>
  <c r="AL985" i="15"/>
  <c r="AN985" i="15"/>
  <c r="AT985" i="15"/>
  <c r="AU985" i="15"/>
  <c r="AV985" i="15"/>
  <c r="AX985" i="15"/>
  <c r="AJ986" i="15"/>
  <c r="AK986" i="15"/>
  <c r="AL986" i="15"/>
  <c r="AN986" i="15"/>
  <c r="AT986" i="15"/>
  <c r="AU986" i="15"/>
  <c r="AV986" i="15"/>
  <c r="AX986" i="15"/>
  <c r="AJ987" i="15"/>
  <c r="AP987" i="15" s="1"/>
  <c r="AK987" i="15"/>
  <c r="AL987" i="15"/>
  <c r="AN987" i="15"/>
  <c r="AT987" i="15"/>
  <c r="AU987" i="15"/>
  <c r="AV987" i="15"/>
  <c r="AX987" i="15"/>
  <c r="AJ988" i="15"/>
  <c r="AO988" i="15" s="1"/>
  <c r="AK988" i="15"/>
  <c r="AL988" i="15"/>
  <c r="AN988" i="15"/>
  <c r="AT988" i="15"/>
  <c r="AU988" i="15"/>
  <c r="AV988" i="15"/>
  <c r="AX988" i="15"/>
  <c r="AJ989" i="15"/>
  <c r="AS989" i="15" s="1"/>
  <c r="AK989" i="15"/>
  <c r="AL989" i="15"/>
  <c r="AN989" i="15"/>
  <c r="AT989" i="15"/>
  <c r="AU989" i="15"/>
  <c r="AV989" i="15"/>
  <c r="AX989" i="15"/>
  <c r="AJ3" i="15"/>
  <c r="AQ3" i="15" s="1"/>
  <c r="AK3" i="15"/>
  <c r="AL3" i="15"/>
  <c r="AN3" i="15"/>
  <c r="AT3" i="15"/>
  <c r="AU3" i="15"/>
  <c r="AV3" i="15"/>
  <c r="AX3" i="15"/>
  <c r="AJ4" i="15"/>
  <c r="AQ4" i="15" s="1"/>
  <c r="AK4" i="15"/>
  <c r="AL4" i="15"/>
  <c r="AN4" i="15"/>
  <c r="AT4" i="15"/>
  <c r="AU4" i="15"/>
  <c r="AV4" i="15"/>
  <c r="AX4" i="15"/>
  <c r="AJ5" i="15"/>
  <c r="AK5" i="15"/>
  <c r="AL5" i="15"/>
  <c r="AN5" i="15"/>
  <c r="AT5" i="15"/>
  <c r="AU5" i="15"/>
  <c r="AV5" i="15"/>
  <c r="AX5" i="15"/>
  <c r="AJ6" i="15"/>
  <c r="AK6" i="15"/>
  <c r="AL6" i="15"/>
  <c r="AN6" i="15"/>
  <c r="AT6" i="15"/>
  <c r="AU6" i="15"/>
  <c r="AV6" i="15"/>
  <c r="AX6" i="15"/>
  <c r="AJ7" i="15"/>
  <c r="AK7" i="15"/>
  <c r="AL7" i="15"/>
  <c r="AN7" i="15"/>
  <c r="AT7" i="15"/>
  <c r="AU7" i="15"/>
  <c r="AV7" i="15"/>
  <c r="AX7" i="15"/>
  <c r="AJ8" i="15"/>
  <c r="AK8" i="15"/>
  <c r="AL8" i="15"/>
  <c r="AN8" i="15"/>
  <c r="AT8" i="15"/>
  <c r="AU8" i="15"/>
  <c r="AV8" i="15"/>
  <c r="AX8" i="15"/>
  <c r="AJ9" i="15"/>
  <c r="AO9" i="15" s="1"/>
  <c r="AK9" i="15"/>
  <c r="AL9" i="15"/>
  <c r="AN9" i="15"/>
  <c r="AT9" i="15"/>
  <c r="AU9" i="15"/>
  <c r="AV9" i="15"/>
  <c r="AX9" i="15"/>
  <c r="AJ10" i="15"/>
  <c r="AO10" i="15" s="1"/>
  <c r="AK10" i="15"/>
  <c r="AL10" i="15"/>
  <c r="AN10" i="15"/>
  <c r="AT10" i="15"/>
  <c r="AU10" i="15"/>
  <c r="AV10" i="15"/>
  <c r="AX10" i="15"/>
  <c r="AJ11" i="15"/>
  <c r="AO11" i="15" s="1"/>
  <c r="AK11" i="15"/>
  <c r="AL11" i="15"/>
  <c r="AN11" i="15"/>
  <c r="AT11" i="15"/>
  <c r="AU11" i="15"/>
  <c r="AV11" i="15"/>
  <c r="AX11" i="15"/>
  <c r="AJ12" i="15"/>
  <c r="AK12" i="15"/>
  <c r="AL12" i="15"/>
  <c r="AN12" i="15"/>
  <c r="AT12" i="15"/>
  <c r="AU12" i="15"/>
  <c r="AV12" i="15"/>
  <c r="AX12" i="15"/>
  <c r="AJ13" i="15"/>
  <c r="AZ13" i="15" s="1"/>
  <c r="AK13" i="15"/>
  <c r="AL13" i="15"/>
  <c r="AN13" i="15"/>
  <c r="AT13" i="15"/>
  <c r="AU13" i="15"/>
  <c r="AV13" i="15"/>
  <c r="AX13" i="15"/>
  <c r="AJ14" i="15"/>
  <c r="AO14" i="15" s="1"/>
  <c r="AK14" i="15"/>
  <c r="AL14" i="15"/>
  <c r="AN14" i="15"/>
  <c r="AT14" i="15"/>
  <c r="AU14" i="15"/>
  <c r="AV14" i="15"/>
  <c r="AX14" i="15"/>
  <c r="AJ15" i="15"/>
  <c r="AK15" i="15"/>
  <c r="AL15" i="15"/>
  <c r="AN15" i="15"/>
  <c r="AT15" i="15"/>
  <c r="AU15" i="15"/>
  <c r="AV15" i="15"/>
  <c r="AX15" i="15"/>
  <c r="AJ16" i="15"/>
  <c r="AK16" i="15"/>
  <c r="AL16" i="15"/>
  <c r="AN16" i="15"/>
  <c r="AT16" i="15"/>
  <c r="AU16" i="15"/>
  <c r="AV16" i="15"/>
  <c r="AX16" i="15"/>
  <c r="AJ17" i="15"/>
  <c r="AO17" i="15" s="1"/>
  <c r="AK17" i="15"/>
  <c r="AL17" i="15"/>
  <c r="AN17" i="15"/>
  <c r="AT17" i="15"/>
  <c r="AU17" i="15"/>
  <c r="AV17" i="15"/>
  <c r="AX17" i="15"/>
  <c r="AJ18" i="15"/>
  <c r="AO18" i="15" s="1"/>
  <c r="AK18" i="15"/>
  <c r="AL18" i="15"/>
  <c r="AN18" i="15"/>
  <c r="AT18" i="15"/>
  <c r="AU18" i="15"/>
  <c r="AV18" i="15"/>
  <c r="AX18" i="15"/>
  <c r="AJ19" i="15"/>
  <c r="AP19" i="15" s="1"/>
  <c r="AK19" i="15"/>
  <c r="AL19" i="15"/>
  <c r="AN19" i="15"/>
  <c r="AT19" i="15"/>
  <c r="AU19" i="15"/>
  <c r="AV19" i="15"/>
  <c r="AX19" i="15"/>
  <c r="AJ20" i="15"/>
  <c r="AK20" i="15"/>
  <c r="AL20" i="15"/>
  <c r="AN20" i="15"/>
  <c r="AT20" i="15"/>
  <c r="AU20" i="15"/>
  <c r="AV20" i="15"/>
  <c r="AX20" i="15"/>
  <c r="AJ21" i="15"/>
  <c r="AO21" i="15" s="1"/>
  <c r="AK21" i="15"/>
  <c r="AL21" i="15"/>
  <c r="AN21" i="15"/>
  <c r="AT21" i="15"/>
  <c r="AU21" i="15"/>
  <c r="AV21" i="15"/>
  <c r="AX21" i="15"/>
  <c r="AJ22" i="15"/>
  <c r="AK22" i="15"/>
  <c r="AL22" i="15"/>
  <c r="AN22" i="15"/>
  <c r="AT22" i="15"/>
  <c r="AU22" i="15"/>
  <c r="AV22" i="15"/>
  <c r="AX22" i="15"/>
  <c r="AJ23" i="15"/>
  <c r="AK23" i="15"/>
  <c r="AL23" i="15"/>
  <c r="AN23" i="15"/>
  <c r="AT23" i="15"/>
  <c r="AU23" i="15"/>
  <c r="AV23" i="15"/>
  <c r="AX23" i="15"/>
  <c r="AJ24" i="15"/>
  <c r="AK24" i="15"/>
  <c r="AL24" i="15"/>
  <c r="AN24" i="15"/>
  <c r="AT24" i="15"/>
  <c r="AU24" i="15"/>
  <c r="AV24" i="15"/>
  <c r="AX24" i="15"/>
  <c r="AJ25" i="15"/>
  <c r="AK25" i="15"/>
  <c r="AL25" i="15"/>
  <c r="AN25" i="15"/>
  <c r="AT25" i="15"/>
  <c r="AU25" i="15"/>
  <c r="AV25" i="15"/>
  <c r="AX25" i="15"/>
  <c r="AJ26" i="15"/>
  <c r="AZ26" i="15" s="1"/>
  <c r="AK26" i="15"/>
  <c r="AL26" i="15"/>
  <c r="AN26" i="15"/>
  <c r="AT26" i="15"/>
  <c r="AU26" i="15"/>
  <c r="AV26" i="15"/>
  <c r="AX26" i="15"/>
  <c r="AJ27" i="15"/>
  <c r="AQ27" i="15" s="1"/>
  <c r="AK27" i="15"/>
  <c r="AL27" i="15"/>
  <c r="AN27" i="15"/>
  <c r="AT27" i="15"/>
  <c r="AU27" i="15"/>
  <c r="AV27" i="15"/>
  <c r="AX27" i="15"/>
  <c r="AJ28" i="15"/>
  <c r="AS28" i="15" s="1"/>
  <c r="AK28" i="15"/>
  <c r="AL28" i="15"/>
  <c r="AN28" i="15"/>
  <c r="AT28" i="15"/>
  <c r="AU28" i="15"/>
  <c r="AV28" i="15"/>
  <c r="AX28" i="15"/>
  <c r="AJ29" i="15"/>
  <c r="AK29" i="15"/>
  <c r="AL29" i="15"/>
  <c r="AN29" i="15"/>
  <c r="AT29" i="15"/>
  <c r="AU29" i="15"/>
  <c r="AV29" i="15"/>
  <c r="AX29" i="15"/>
  <c r="AJ30" i="15"/>
  <c r="AK30" i="15"/>
  <c r="AL30" i="15"/>
  <c r="AN30" i="15"/>
  <c r="AT30" i="15"/>
  <c r="AU30" i="15"/>
  <c r="AV30" i="15"/>
  <c r="AX30" i="15"/>
  <c r="AJ31" i="15"/>
  <c r="AZ31" i="15" s="1"/>
  <c r="AK31" i="15"/>
  <c r="AL31" i="15"/>
  <c r="AN31" i="15"/>
  <c r="AT31" i="15"/>
  <c r="AU31" i="15"/>
  <c r="AV31" i="15"/>
  <c r="AX31" i="15"/>
  <c r="AJ32" i="15"/>
  <c r="AK32" i="15"/>
  <c r="AL32" i="15"/>
  <c r="AN32" i="15"/>
  <c r="AT32" i="15"/>
  <c r="AU32" i="15"/>
  <c r="AV32" i="15"/>
  <c r="AX32" i="15"/>
  <c r="AJ33" i="15"/>
  <c r="AO33" i="15" s="1"/>
  <c r="AK33" i="15"/>
  <c r="AL33" i="15"/>
  <c r="AN33" i="15"/>
  <c r="AT33" i="15"/>
  <c r="AU33" i="15"/>
  <c r="AV33" i="15"/>
  <c r="AX33" i="15"/>
  <c r="AJ34" i="15"/>
  <c r="AK34" i="15"/>
  <c r="AL34" i="15"/>
  <c r="AN34" i="15"/>
  <c r="AT34" i="15"/>
  <c r="AU34" i="15"/>
  <c r="AV34" i="15"/>
  <c r="AX34" i="15"/>
  <c r="AJ35" i="15"/>
  <c r="AO35" i="15" s="1"/>
  <c r="AK35" i="15"/>
  <c r="AL35" i="15"/>
  <c r="AN35" i="15"/>
  <c r="AT35" i="15"/>
  <c r="AU35" i="15"/>
  <c r="AV35" i="15"/>
  <c r="AX35" i="15"/>
  <c r="AJ36" i="15"/>
  <c r="AZ36" i="15" s="1"/>
  <c r="AK36" i="15"/>
  <c r="AL36" i="15"/>
  <c r="AN36" i="15"/>
  <c r="AT36" i="15"/>
  <c r="AU36" i="15"/>
  <c r="AV36" i="15"/>
  <c r="AX36" i="15"/>
  <c r="AJ37" i="15"/>
  <c r="AK37" i="15"/>
  <c r="AL37" i="15"/>
  <c r="AN37" i="15"/>
  <c r="AT37" i="15"/>
  <c r="AU37" i="15"/>
  <c r="AV37" i="15"/>
  <c r="AX37" i="15"/>
  <c r="AJ38" i="15"/>
  <c r="AK38" i="15"/>
  <c r="AL38" i="15"/>
  <c r="AN38" i="15"/>
  <c r="AT38" i="15"/>
  <c r="AU38" i="15"/>
  <c r="AV38" i="15"/>
  <c r="AX38" i="15"/>
  <c r="AJ39" i="15"/>
  <c r="AO39" i="15" s="1"/>
  <c r="AK39" i="15"/>
  <c r="AL39" i="15"/>
  <c r="AN39" i="15"/>
  <c r="AT39" i="15"/>
  <c r="AU39" i="15"/>
  <c r="AV39" i="15"/>
  <c r="AX39" i="15"/>
  <c r="AJ40" i="15"/>
  <c r="AK40" i="15"/>
  <c r="AL40" i="15"/>
  <c r="AN40" i="15"/>
  <c r="AT40" i="15"/>
  <c r="AU40" i="15"/>
  <c r="AV40" i="15"/>
  <c r="AX40" i="15"/>
  <c r="AJ41" i="15"/>
  <c r="AP41" i="15" s="1"/>
  <c r="AK41" i="15"/>
  <c r="AL41" i="15"/>
  <c r="AN41" i="15"/>
  <c r="AT41" i="15"/>
  <c r="AU41" i="15"/>
  <c r="AV41" i="15"/>
  <c r="AX41" i="15"/>
  <c r="AJ42" i="15"/>
  <c r="AP42" i="15" s="1"/>
  <c r="AK42" i="15"/>
  <c r="AL42" i="15"/>
  <c r="AN42" i="15"/>
  <c r="AT42" i="15"/>
  <c r="AU42" i="15"/>
  <c r="AV42" i="15"/>
  <c r="AX42" i="15"/>
  <c r="AJ43" i="15"/>
  <c r="AK43" i="15"/>
  <c r="AL43" i="15"/>
  <c r="AN43" i="15"/>
  <c r="AT43" i="15"/>
  <c r="AU43" i="15"/>
  <c r="AV43" i="15"/>
  <c r="AX43" i="15"/>
  <c r="AJ44" i="15"/>
  <c r="AK44" i="15"/>
  <c r="AL44" i="15"/>
  <c r="AN44" i="15"/>
  <c r="AT44" i="15"/>
  <c r="AU44" i="15"/>
  <c r="AV44" i="15"/>
  <c r="AX44" i="15"/>
  <c r="AJ45" i="15"/>
  <c r="AK45" i="15"/>
  <c r="AL45" i="15"/>
  <c r="AN45" i="15"/>
  <c r="AT45" i="15"/>
  <c r="AU45" i="15"/>
  <c r="AV45" i="15"/>
  <c r="AX45" i="15"/>
  <c r="AJ46" i="15"/>
  <c r="AP46" i="15" s="1"/>
  <c r="AK46" i="15"/>
  <c r="AL46" i="15"/>
  <c r="AN46" i="15"/>
  <c r="AT46" i="15"/>
  <c r="AU46" i="15"/>
  <c r="AV46" i="15"/>
  <c r="AX46" i="15"/>
  <c r="AJ47" i="15"/>
  <c r="AZ47" i="15" s="1"/>
  <c r="AK47" i="15"/>
  <c r="AL47" i="15"/>
  <c r="AN47" i="15"/>
  <c r="AT47" i="15"/>
  <c r="AU47" i="15"/>
  <c r="AV47" i="15"/>
  <c r="AX47" i="15"/>
  <c r="AJ48" i="15"/>
  <c r="AZ48" i="15" s="1"/>
  <c r="AK48" i="15"/>
  <c r="AL48" i="15"/>
  <c r="AN48" i="15"/>
  <c r="AT48" i="15"/>
  <c r="AU48" i="15"/>
  <c r="AV48" i="15"/>
  <c r="AX48" i="15"/>
  <c r="AJ49" i="15"/>
  <c r="AK49" i="15"/>
  <c r="AL49" i="15"/>
  <c r="AN49" i="15"/>
  <c r="AT49" i="15"/>
  <c r="AU49" i="15"/>
  <c r="AV49" i="15"/>
  <c r="AX49" i="15"/>
  <c r="AJ50" i="15"/>
  <c r="AK50" i="15"/>
  <c r="AL50" i="15"/>
  <c r="AN50" i="15"/>
  <c r="AT50" i="15"/>
  <c r="AU50" i="15"/>
  <c r="AV50" i="15"/>
  <c r="AX50" i="15"/>
  <c r="AJ51" i="15"/>
  <c r="AZ51" i="15" s="1"/>
  <c r="AK51" i="15"/>
  <c r="AL51" i="15"/>
  <c r="AN51" i="15"/>
  <c r="AT51" i="15"/>
  <c r="AU51" i="15"/>
  <c r="AV51" i="15"/>
  <c r="AX51" i="15"/>
  <c r="AJ52" i="15"/>
  <c r="AZ52" i="15" s="1"/>
  <c r="AK52" i="15"/>
  <c r="AL52" i="15"/>
  <c r="AN52" i="15"/>
  <c r="AT52" i="15"/>
  <c r="AU52" i="15"/>
  <c r="AV52" i="15"/>
  <c r="AX52" i="15"/>
  <c r="AJ53" i="15"/>
  <c r="AK53" i="15"/>
  <c r="AL53" i="15"/>
  <c r="AN53" i="15"/>
  <c r="AT53" i="15"/>
  <c r="AU53" i="15"/>
  <c r="AV53" i="15"/>
  <c r="AX53" i="15"/>
  <c r="AJ54" i="15"/>
  <c r="AS54" i="15" s="1"/>
  <c r="AK54" i="15"/>
  <c r="AL54" i="15"/>
  <c r="AN54" i="15"/>
  <c r="AT54" i="15"/>
  <c r="AU54" i="15"/>
  <c r="AV54" i="15"/>
  <c r="AX54" i="15"/>
  <c r="AJ55" i="15"/>
  <c r="AO55" i="15" s="1"/>
  <c r="AK55" i="15"/>
  <c r="AL55" i="15"/>
  <c r="AN55" i="15"/>
  <c r="AT55" i="15"/>
  <c r="AU55" i="15"/>
  <c r="AV55" i="15"/>
  <c r="AX55" i="15"/>
  <c r="AJ56" i="15"/>
  <c r="AK56" i="15"/>
  <c r="AL56" i="15"/>
  <c r="AN56" i="15"/>
  <c r="AT56" i="15"/>
  <c r="AU56" i="15"/>
  <c r="AV56" i="15"/>
  <c r="AX56" i="15"/>
  <c r="AJ57" i="15"/>
  <c r="AP57" i="15" s="1"/>
  <c r="AK57" i="15"/>
  <c r="AL57" i="15"/>
  <c r="AN57" i="15"/>
  <c r="AT57" i="15"/>
  <c r="AU57" i="15"/>
  <c r="AV57" i="15"/>
  <c r="AX57" i="15"/>
  <c r="AJ58" i="15"/>
  <c r="AK58" i="15"/>
  <c r="AL58" i="15"/>
  <c r="AN58" i="15"/>
  <c r="AT58" i="15"/>
  <c r="AU58" i="15"/>
  <c r="AV58" i="15"/>
  <c r="AX58" i="15"/>
  <c r="AJ59" i="15"/>
  <c r="AZ59" i="15" s="1"/>
  <c r="AK59" i="15"/>
  <c r="AL59" i="15"/>
  <c r="AN59" i="15"/>
  <c r="AT59" i="15"/>
  <c r="AU59" i="15"/>
  <c r="AV59" i="15"/>
  <c r="AX59" i="15"/>
  <c r="AJ60" i="15"/>
  <c r="AO60" i="15" s="1"/>
  <c r="AK60" i="15"/>
  <c r="AL60" i="15"/>
  <c r="AN60" i="15"/>
  <c r="AT60" i="15"/>
  <c r="AU60" i="15"/>
  <c r="AV60" i="15"/>
  <c r="AX60" i="15"/>
  <c r="AJ61" i="15"/>
  <c r="AK61" i="15"/>
  <c r="AL61" i="15"/>
  <c r="AN61" i="15"/>
  <c r="AT61" i="15"/>
  <c r="AU61" i="15"/>
  <c r="AV61" i="15"/>
  <c r="AX61" i="15"/>
  <c r="AJ62" i="15"/>
  <c r="AS62" i="15" s="1"/>
  <c r="AK62" i="15"/>
  <c r="AL62" i="15"/>
  <c r="AN62" i="15"/>
  <c r="AT62" i="15"/>
  <c r="AU62" i="15"/>
  <c r="AV62" i="15"/>
  <c r="AX62" i="15"/>
  <c r="AJ63" i="15"/>
  <c r="AS63" i="15" s="1"/>
  <c r="AK63" i="15"/>
  <c r="AL63" i="15"/>
  <c r="AN63" i="15"/>
  <c r="AT63" i="15"/>
  <c r="AU63" i="15"/>
  <c r="AV63" i="15"/>
  <c r="AX63" i="15"/>
  <c r="AJ64" i="15"/>
  <c r="AK64" i="15"/>
  <c r="AL64" i="15"/>
  <c r="AN64" i="15"/>
  <c r="AT64" i="15"/>
  <c r="AU64" i="15"/>
  <c r="AV64" i="15"/>
  <c r="AX64" i="15"/>
  <c r="AJ65" i="15"/>
  <c r="AK65" i="15"/>
  <c r="AL65" i="15"/>
  <c r="AN65" i="15"/>
  <c r="AT65" i="15"/>
  <c r="AU65" i="15"/>
  <c r="AV65" i="15"/>
  <c r="AX65" i="15"/>
  <c r="AJ66" i="15"/>
  <c r="AP66" i="15" s="1"/>
  <c r="AK66" i="15"/>
  <c r="AL66" i="15"/>
  <c r="AN66" i="15"/>
  <c r="AT66" i="15"/>
  <c r="AU66" i="15"/>
  <c r="AV66" i="15"/>
  <c r="AX66" i="15"/>
  <c r="AJ67" i="15"/>
  <c r="AZ67" i="15" s="1"/>
  <c r="AK67" i="15"/>
  <c r="AL67" i="15"/>
  <c r="AN67" i="15"/>
  <c r="AT67" i="15"/>
  <c r="AU67" i="15"/>
  <c r="AV67" i="15"/>
  <c r="AX67" i="15"/>
  <c r="AJ68" i="15"/>
  <c r="AK68" i="15"/>
  <c r="AL68" i="15"/>
  <c r="AN68" i="15"/>
  <c r="AT68" i="15"/>
  <c r="AU68" i="15"/>
  <c r="AV68" i="15"/>
  <c r="AX68" i="15"/>
  <c r="AJ69" i="15"/>
  <c r="AK69" i="15"/>
  <c r="AL69" i="15"/>
  <c r="AN69" i="15"/>
  <c r="AT69" i="15"/>
  <c r="AU69" i="15"/>
  <c r="AV69" i="15"/>
  <c r="AX69" i="15"/>
  <c r="AJ70" i="15"/>
  <c r="AZ70" i="15" s="1"/>
  <c r="AK70" i="15"/>
  <c r="AL70" i="15"/>
  <c r="AN70" i="15"/>
  <c r="AT70" i="15"/>
  <c r="AU70" i="15"/>
  <c r="AV70" i="15"/>
  <c r="AX70" i="15"/>
  <c r="AJ71" i="15"/>
  <c r="AQ71" i="15" s="1"/>
  <c r="AK71" i="15"/>
  <c r="AL71" i="15"/>
  <c r="AN71" i="15"/>
  <c r="AT71" i="15"/>
  <c r="AU71" i="15"/>
  <c r="AV71" i="15"/>
  <c r="AX71" i="15"/>
  <c r="AJ72" i="15"/>
  <c r="AK72" i="15"/>
  <c r="AL72" i="15"/>
  <c r="AN72" i="15"/>
  <c r="AT72" i="15"/>
  <c r="AU72" i="15"/>
  <c r="AV72" i="15"/>
  <c r="AX72" i="15"/>
  <c r="AJ73" i="15"/>
  <c r="AP73" i="15" s="1"/>
  <c r="AK73" i="15"/>
  <c r="AL73" i="15"/>
  <c r="AN73" i="15"/>
  <c r="AT73" i="15"/>
  <c r="AU73" i="15"/>
  <c r="AV73" i="15"/>
  <c r="AX73" i="15"/>
  <c r="AJ74" i="15"/>
  <c r="AK74" i="15"/>
  <c r="AL74" i="15"/>
  <c r="AN74" i="15"/>
  <c r="AT74" i="15"/>
  <c r="AU74" i="15"/>
  <c r="AV74" i="15"/>
  <c r="AX74" i="15"/>
  <c r="AJ75" i="15"/>
  <c r="AK75" i="15"/>
  <c r="AL75" i="15"/>
  <c r="AN75" i="15"/>
  <c r="AT75" i="15"/>
  <c r="AU75" i="15"/>
  <c r="AV75" i="15"/>
  <c r="AX75" i="15"/>
  <c r="AJ76" i="15"/>
  <c r="AO76" i="15" s="1"/>
  <c r="AK76" i="15"/>
  <c r="AL76" i="15"/>
  <c r="AN76" i="15"/>
  <c r="AT76" i="15"/>
  <c r="AU76" i="15"/>
  <c r="AV76" i="15"/>
  <c r="AX76" i="15"/>
  <c r="AJ77" i="15"/>
  <c r="AK77" i="15"/>
  <c r="AL77" i="15"/>
  <c r="AN77" i="15"/>
  <c r="AT77" i="15"/>
  <c r="AU77" i="15"/>
  <c r="AV77" i="15"/>
  <c r="AX77" i="15"/>
  <c r="AJ78" i="15"/>
  <c r="AK78" i="15"/>
  <c r="AL78" i="15"/>
  <c r="AN78" i="15"/>
  <c r="AT78" i="15"/>
  <c r="AU78" i="15"/>
  <c r="AV78" i="15"/>
  <c r="AX78" i="15"/>
  <c r="AJ79" i="15"/>
  <c r="AK79" i="15"/>
  <c r="AL79" i="15"/>
  <c r="AN79" i="15"/>
  <c r="AT79" i="15"/>
  <c r="AU79" i="15"/>
  <c r="AV79" i="15"/>
  <c r="AX79" i="15"/>
  <c r="AJ80" i="15"/>
  <c r="AQ80" i="15" s="1"/>
  <c r="AK80" i="15"/>
  <c r="AL80" i="15"/>
  <c r="AN80" i="15"/>
  <c r="AT80" i="15"/>
  <c r="AU80" i="15"/>
  <c r="AV80" i="15"/>
  <c r="AX80" i="15"/>
  <c r="AJ81" i="15"/>
  <c r="AS81" i="15" s="1"/>
  <c r="AK81" i="15"/>
  <c r="AL81" i="15"/>
  <c r="AN81" i="15"/>
  <c r="AT81" i="15"/>
  <c r="AU81" i="15"/>
  <c r="AV81" i="15"/>
  <c r="AX81" i="15"/>
  <c r="AJ82" i="15"/>
  <c r="AK82" i="15"/>
  <c r="AL82" i="15"/>
  <c r="AN82" i="15"/>
  <c r="AT82" i="15"/>
  <c r="AU82" i="15"/>
  <c r="AV82" i="15"/>
  <c r="AX82" i="15"/>
  <c r="AJ83" i="15"/>
  <c r="AK83" i="15"/>
  <c r="AL83" i="15"/>
  <c r="AN83" i="15"/>
  <c r="AT83" i="15"/>
  <c r="AU83" i="15"/>
  <c r="AV83" i="15"/>
  <c r="AX83" i="15"/>
  <c r="AJ84" i="15"/>
  <c r="AS84" i="15" s="1"/>
  <c r="AK84" i="15"/>
  <c r="AL84" i="15"/>
  <c r="AN84" i="15"/>
  <c r="AT84" i="15"/>
  <c r="AU84" i="15"/>
  <c r="AV84" i="15"/>
  <c r="AX84" i="15"/>
  <c r="AJ85" i="15"/>
  <c r="AZ85" i="15" s="1"/>
  <c r="AK85" i="15"/>
  <c r="AL85" i="15"/>
  <c r="AN85" i="15"/>
  <c r="AT85" i="15"/>
  <c r="AU85" i="15"/>
  <c r="AV85" i="15"/>
  <c r="AX85" i="15"/>
  <c r="AJ86" i="15"/>
  <c r="AZ86" i="15" s="1"/>
  <c r="AK86" i="15"/>
  <c r="AL86" i="15"/>
  <c r="AN86" i="15"/>
  <c r="AT86" i="15"/>
  <c r="AU86" i="15"/>
  <c r="AV86" i="15"/>
  <c r="AX86" i="15"/>
  <c r="AJ87" i="15"/>
  <c r="AK87" i="15"/>
  <c r="AL87" i="15"/>
  <c r="AN87" i="15"/>
  <c r="AT87" i="15"/>
  <c r="AU87" i="15"/>
  <c r="AV87" i="15"/>
  <c r="AX87" i="15"/>
  <c r="AJ88" i="15"/>
  <c r="AK88" i="15"/>
  <c r="AL88" i="15"/>
  <c r="AN88" i="15"/>
  <c r="AT88" i="15"/>
  <c r="AU88" i="15"/>
  <c r="AV88" i="15"/>
  <c r="AX88" i="15"/>
  <c r="AJ89" i="15"/>
  <c r="AK89" i="15"/>
  <c r="AL89" i="15"/>
  <c r="AN89" i="15"/>
  <c r="AT89" i="15"/>
  <c r="AU89" i="15"/>
  <c r="AV89" i="15"/>
  <c r="AX89" i="15"/>
  <c r="AJ90" i="15"/>
  <c r="AK90" i="15"/>
  <c r="AL90" i="15"/>
  <c r="AN90" i="15"/>
  <c r="AT90" i="15"/>
  <c r="AU90" i="15"/>
  <c r="AV90" i="15"/>
  <c r="AX90" i="15"/>
  <c r="AJ91" i="15"/>
  <c r="AP91" i="15" s="1"/>
  <c r="AK91" i="15"/>
  <c r="AL91" i="15"/>
  <c r="AN91" i="15"/>
  <c r="AT91" i="15"/>
  <c r="AU91" i="15"/>
  <c r="AV91" i="15"/>
  <c r="AX91" i="15"/>
  <c r="AJ92" i="15"/>
  <c r="AK92" i="15"/>
  <c r="AL92" i="15"/>
  <c r="AN92" i="15"/>
  <c r="AT92" i="15"/>
  <c r="AU92" i="15"/>
  <c r="AV92" i="15"/>
  <c r="AX92" i="15"/>
  <c r="AJ93" i="15"/>
  <c r="AO93" i="15" s="1"/>
  <c r="AK93" i="15"/>
  <c r="AL93" i="15"/>
  <c r="AN93" i="15"/>
  <c r="AT93" i="15"/>
  <c r="AU93" i="15"/>
  <c r="AV93" i="15"/>
  <c r="AX93" i="15"/>
  <c r="AJ94" i="15"/>
  <c r="AS94" i="15" s="1"/>
  <c r="AK94" i="15"/>
  <c r="AL94" i="15"/>
  <c r="AN94" i="15"/>
  <c r="AT94" i="15"/>
  <c r="AU94" i="15"/>
  <c r="AV94" i="15"/>
  <c r="AX94" i="15"/>
  <c r="AJ95" i="15"/>
  <c r="AK95" i="15"/>
  <c r="AL95" i="15"/>
  <c r="AN95" i="15"/>
  <c r="AT95" i="15"/>
  <c r="AU95" i="15"/>
  <c r="AV95" i="15"/>
  <c r="AX95" i="15"/>
  <c r="AJ96" i="15"/>
  <c r="AO96" i="15" s="1"/>
  <c r="AK96" i="15"/>
  <c r="AL96" i="15"/>
  <c r="AN96" i="15"/>
  <c r="AT96" i="15"/>
  <c r="AU96" i="15"/>
  <c r="AV96" i="15"/>
  <c r="AX96" i="15"/>
  <c r="AJ97" i="15"/>
  <c r="AO97" i="15" s="1"/>
  <c r="AK97" i="15"/>
  <c r="AL97" i="15"/>
  <c r="AN97" i="15"/>
  <c r="AT97" i="15"/>
  <c r="AU97" i="15"/>
  <c r="AV97" i="15"/>
  <c r="AX97" i="15"/>
  <c r="AJ98" i="15"/>
  <c r="AK98" i="15"/>
  <c r="AL98" i="15"/>
  <c r="AN98" i="15"/>
  <c r="AT98" i="15"/>
  <c r="AU98" i="15"/>
  <c r="AV98" i="15"/>
  <c r="AX98" i="15"/>
  <c r="AJ99" i="15"/>
  <c r="AO99" i="15" s="1"/>
  <c r="AK99" i="15"/>
  <c r="AL99" i="15"/>
  <c r="AN99" i="15"/>
  <c r="AT99" i="15"/>
  <c r="AU99" i="15"/>
  <c r="AV99" i="15"/>
  <c r="AX99" i="15"/>
  <c r="AJ100" i="15"/>
  <c r="AO100" i="15" s="1"/>
  <c r="AK100" i="15"/>
  <c r="AL100" i="15"/>
  <c r="AN100" i="15"/>
  <c r="AT100" i="15"/>
  <c r="AU100" i="15"/>
  <c r="AV100" i="15"/>
  <c r="AX100" i="15"/>
  <c r="AJ101" i="15"/>
  <c r="AZ101" i="15" s="1"/>
  <c r="AK101" i="15"/>
  <c r="AL101" i="15"/>
  <c r="AN101" i="15"/>
  <c r="AT101" i="15"/>
  <c r="AU101" i="15"/>
  <c r="AV101" i="15"/>
  <c r="AX101" i="15"/>
  <c r="AJ102" i="15"/>
  <c r="AZ102" i="15" s="1"/>
  <c r="AK102" i="15"/>
  <c r="AL102" i="15"/>
  <c r="AN102" i="15"/>
  <c r="AT102" i="15"/>
  <c r="AU102" i="15"/>
  <c r="AV102" i="15"/>
  <c r="AX102" i="15"/>
  <c r="AJ103" i="15"/>
  <c r="AZ103" i="15" s="1"/>
  <c r="AK103" i="15"/>
  <c r="AL103" i="15"/>
  <c r="AN103" i="15"/>
  <c r="AT103" i="15"/>
  <c r="AU103" i="15"/>
  <c r="AV103" i="15"/>
  <c r="AX103" i="15"/>
  <c r="AJ104" i="15"/>
  <c r="AZ104" i="15" s="1"/>
  <c r="AK104" i="15"/>
  <c r="AL104" i="15"/>
  <c r="AN104" i="15"/>
  <c r="AT104" i="15"/>
  <c r="AU104" i="15"/>
  <c r="AV104" i="15"/>
  <c r="AX104" i="15"/>
  <c r="AJ105" i="15"/>
  <c r="AS105" i="15" s="1"/>
  <c r="AK105" i="15"/>
  <c r="AL105" i="15"/>
  <c r="AN105" i="15"/>
  <c r="AT105" i="15"/>
  <c r="AU105" i="15"/>
  <c r="AV105" i="15"/>
  <c r="AX105" i="15"/>
  <c r="AJ106" i="15"/>
  <c r="AZ106" i="15" s="1"/>
  <c r="AK106" i="15"/>
  <c r="AL106" i="15"/>
  <c r="AN106" i="15"/>
  <c r="AT106" i="15"/>
  <c r="AU106" i="15"/>
  <c r="AV106" i="15"/>
  <c r="AX106" i="15"/>
  <c r="AJ107" i="15"/>
  <c r="AS107" i="15" s="1"/>
  <c r="AK107" i="15"/>
  <c r="AL107" i="15"/>
  <c r="AN107" i="15"/>
  <c r="AT107" i="15"/>
  <c r="AU107" i="15"/>
  <c r="AV107" i="15"/>
  <c r="AX107" i="15"/>
  <c r="AJ108" i="15"/>
  <c r="AK108" i="15"/>
  <c r="AL108" i="15"/>
  <c r="AN108" i="15"/>
  <c r="AT108" i="15"/>
  <c r="AU108" i="15"/>
  <c r="AV108" i="15"/>
  <c r="AX108" i="15"/>
  <c r="AJ109" i="15"/>
  <c r="AZ109" i="15" s="1"/>
  <c r="AK109" i="15"/>
  <c r="AL109" i="15"/>
  <c r="AN109" i="15"/>
  <c r="AT109" i="15"/>
  <c r="AU109" i="15"/>
  <c r="AV109" i="15"/>
  <c r="AX109" i="15"/>
  <c r="AJ110" i="15"/>
  <c r="AZ110" i="15" s="1"/>
  <c r="AK110" i="15"/>
  <c r="AL110" i="15"/>
  <c r="AN110" i="15"/>
  <c r="AT110" i="15"/>
  <c r="AU110" i="15"/>
  <c r="AV110" i="15"/>
  <c r="AX110" i="15"/>
  <c r="AJ111" i="15"/>
  <c r="AO111" i="15" s="1"/>
  <c r="AK111" i="15"/>
  <c r="AL111" i="15"/>
  <c r="AN111" i="15"/>
  <c r="AT111" i="15"/>
  <c r="AU111" i="15"/>
  <c r="AV111" i="15"/>
  <c r="AX111" i="15"/>
  <c r="AJ112" i="15"/>
  <c r="AZ112" i="15" s="1"/>
  <c r="AK112" i="15"/>
  <c r="AL112" i="15"/>
  <c r="AN112" i="15"/>
  <c r="AT112" i="15"/>
  <c r="AU112" i="15"/>
  <c r="AV112" i="15"/>
  <c r="AX112" i="15"/>
  <c r="AJ113" i="15"/>
  <c r="AK113" i="15"/>
  <c r="AL113" i="15"/>
  <c r="AN113" i="15"/>
  <c r="AT113" i="15"/>
  <c r="AU113" i="15"/>
  <c r="AV113" i="15"/>
  <c r="AX113" i="15"/>
  <c r="AJ114" i="15"/>
  <c r="AK114" i="15"/>
  <c r="AL114" i="15"/>
  <c r="AN114" i="15"/>
  <c r="AT114" i="15"/>
  <c r="AU114" i="15"/>
  <c r="AV114" i="15"/>
  <c r="AX114" i="15"/>
  <c r="AJ115" i="15"/>
  <c r="AQ115" i="15" s="1"/>
  <c r="AK115" i="15"/>
  <c r="AL115" i="15"/>
  <c r="AN115" i="15"/>
  <c r="AT115" i="15"/>
  <c r="AU115" i="15"/>
  <c r="AV115" i="15"/>
  <c r="AX115" i="15"/>
  <c r="AJ116" i="15"/>
  <c r="AZ116" i="15" s="1"/>
  <c r="AK116" i="15"/>
  <c r="AL116" i="15"/>
  <c r="AN116" i="15"/>
  <c r="AT116" i="15"/>
  <c r="AU116" i="15"/>
  <c r="AV116" i="15"/>
  <c r="AX116" i="15"/>
  <c r="AJ117" i="15"/>
  <c r="AQ117" i="15" s="1"/>
  <c r="AK117" i="15"/>
  <c r="AL117" i="15"/>
  <c r="AN117" i="15"/>
  <c r="AT117" i="15"/>
  <c r="AU117" i="15"/>
  <c r="AV117" i="15"/>
  <c r="AX117" i="15"/>
  <c r="AJ118" i="15"/>
  <c r="AP118" i="15" s="1"/>
  <c r="AK118" i="15"/>
  <c r="AL118" i="15"/>
  <c r="AN118" i="15"/>
  <c r="AT118" i="15"/>
  <c r="AU118" i="15"/>
  <c r="AV118" i="15"/>
  <c r="AX118" i="15"/>
  <c r="AJ119" i="15"/>
  <c r="AK119" i="15"/>
  <c r="AL119" i="15"/>
  <c r="AN119" i="15"/>
  <c r="AT119" i="15"/>
  <c r="AU119" i="15"/>
  <c r="AV119" i="15"/>
  <c r="AX119" i="15"/>
  <c r="AJ120" i="15"/>
  <c r="AK120" i="15"/>
  <c r="AL120" i="15"/>
  <c r="AN120" i="15"/>
  <c r="AT120" i="15"/>
  <c r="AU120" i="15"/>
  <c r="AV120" i="15"/>
  <c r="AX120" i="15"/>
  <c r="AJ121" i="15"/>
  <c r="AK121" i="15"/>
  <c r="AL121" i="15"/>
  <c r="AN121" i="15"/>
  <c r="AT121" i="15"/>
  <c r="AU121" i="15"/>
  <c r="AV121" i="15"/>
  <c r="AX121" i="15"/>
  <c r="AJ122" i="15"/>
  <c r="AK122" i="15"/>
  <c r="AL122" i="15"/>
  <c r="AN122" i="15"/>
  <c r="AT122" i="15"/>
  <c r="AU122" i="15"/>
  <c r="AV122" i="15"/>
  <c r="AX122" i="15"/>
  <c r="AJ123" i="15"/>
  <c r="AO123" i="15" s="1"/>
  <c r="AK123" i="15"/>
  <c r="AL123" i="15"/>
  <c r="AN123" i="15"/>
  <c r="AT123" i="15"/>
  <c r="AU123" i="15"/>
  <c r="AV123" i="15"/>
  <c r="AX123" i="15"/>
  <c r="AJ124" i="15"/>
  <c r="AO124" i="15" s="1"/>
  <c r="AK124" i="15"/>
  <c r="AL124" i="15"/>
  <c r="AN124" i="15"/>
  <c r="AT124" i="15"/>
  <c r="AU124" i="15"/>
  <c r="AV124" i="15"/>
  <c r="AX124" i="15"/>
  <c r="AJ125" i="15"/>
  <c r="AK125" i="15"/>
  <c r="AL125" i="15"/>
  <c r="AN125" i="15"/>
  <c r="AT125" i="15"/>
  <c r="AU125" i="15"/>
  <c r="AV125" i="15"/>
  <c r="AX125" i="15"/>
  <c r="AJ126" i="15"/>
  <c r="AK126" i="15"/>
  <c r="AL126" i="15"/>
  <c r="AN126" i="15"/>
  <c r="AT126" i="15"/>
  <c r="AU126" i="15"/>
  <c r="AV126" i="15"/>
  <c r="AX126" i="15"/>
  <c r="AJ127" i="15"/>
  <c r="AZ127" i="15" s="1"/>
  <c r="AK127" i="15"/>
  <c r="AL127" i="15"/>
  <c r="AN127" i="15"/>
  <c r="AT127" i="15"/>
  <c r="AU127" i="15"/>
  <c r="AV127" i="15"/>
  <c r="AX127" i="15"/>
  <c r="AJ128" i="15"/>
  <c r="AQ128" i="15" s="1"/>
  <c r="AK128" i="15"/>
  <c r="AL128" i="15"/>
  <c r="AN128" i="15"/>
  <c r="AT128" i="15"/>
  <c r="AU128" i="15"/>
  <c r="AV128" i="15"/>
  <c r="AX128" i="15"/>
  <c r="AJ129" i="15"/>
  <c r="AP129" i="15" s="1"/>
  <c r="AK129" i="15"/>
  <c r="AL129" i="15"/>
  <c r="AN129" i="15"/>
  <c r="AT129" i="15"/>
  <c r="AU129" i="15"/>
  <c r="AV129" i="15"/>
  <c r="AX129" i="15"/>
  <c r="AJ130" i="15"/>
  <c r="AK130" i="15"/>
  <c r="AL130" i="15"/>
  <c r="AN130" i="15"/>
  <c r="AT130" i="15"/>
  <c r="AU130" i="15"/>
  <c r="AV130" i="15"/>
  <c r="AX130" i="15"/>
  <c r="AJ131" i="15"/>
  <c r="AS131" i="15" s="1"/>
  <c r="AK131" i="15"/>
  <c r="AL131" i="15"/>
  <c r="AN131" i="15"/>
  <c r="AT131" i="15"/>
  <c r="AU131" i="15"/>
  <c r="AV131" i="15"/>
  <c r="AX131" i="15"/>
  <c r="AJ132" i="15"/>
  <c r="AO132" i="15" s="1"/>
  <c r="AK132" i="15"/>
  <c r="AL132" i="15"/>
  <c r="AN132" i="15"/>
  <c r="AT132" i="15"/>
  <c r="AU132" i="15"/>
  <c r="AV132" i="15"/>
  <c r="AX132" i="15"/>
  <c r="AJ133" i="15"/>
  <c r="AK133" i="15"/>
  <c r="AL133" i="15"/>
  <c r="AN133" i="15"/>
  <c r="AT133" i="15"/>
  <c r="AU133" i="15"/>
  <c r="AV133" i="15"/>
  <c r="AX133" i="15"/>
  <c r="AJ134" i="15"/>
  <c r="AZ134" i="15" s="1"/>
  <c r="AK134" i="15"/>
  <c r="AL134" i="15"/>
  <c r="AN134" i="15"/>
  <c r="AT134" i="15"/>
  <c r="AU134" i="15"/>
  <c r="AV134" i="15"/>
  <c r="AX134" i="15"/>
  <c r="AJ135" i="15"/>
  <c r="AK135" i="15"/>
  <c r="AL135" i="15"/>
  <c r="AN135" i="15"/>
  <c r="AT135" i="15"/>
  <c r="AU135" i="15"/>
  <c r="AV135" i="15"/>
  <c r="AX135" i="15"/>
  <c r="AJ136" i="15"/>
  <c r="AK136" i="15"/>
  <c r="AL136" i="15"/>
  <c r="AN136" i="15"/>
  <c r="AT136" i="15"/>
  <c r="AU136" i="15"/>
  <c r="AV136" i="15"/>
  <c r="AX136" i="15"/>
  <c r="AJ137" i="15"/>
  <c r="AS137" i="15" s="1"/>
  <c r="AK137" i="15"/>
  <c r="AL137" i="15"/>
  <c r="AN137" i="15"/>
  <c r="AT137" i="15"/>
  <c r="AU137" i="15"/>
  <c r="AV137" i="15"/>
  <c r="AX137" i="15"/>
  <c r="AJ138" i="15"/>
  <c r="AK138" i="15"/>
  <c r="AL138" i="15"/>
  <c r="AN138" i="15"/>
  <c r="AT138" i="15"/>
  <c r="AU138" i="15"/>
  <c r="AV138" i="15"/>
  <c r="AX138" i="15"/>
  <c r="AJ139" i="15"/>
  <c r="AO139" i="15" s="1"/>
  <c r="AK139" i="15"/>
  <c r="AL139" i="15"/>
  <c r="AN139" i="15"/>
  <c r="AT139" i="15"/>
  <c r="AU139" i="15"/>
  <c r="AV139" i="15"/>
  <c r="AX139" i="15"/>
  <c r="AJ140" i="15"/>
  <c r="AO140" i="15" s="1"/>
  <c r="AK140" i="15"/>
  <c r="AL140" i="15"/>
  <c r="AN140" i="15"/>
  <c r="AT140" i="15"/>
  <c r="AU140" i="15"/>
  <c r="AV140" i="15"/>
  <c r="AX140" i="15"/>
  <c r="AJ141" i="15"/>
  <c r="AK141" i="15"/>
  <c r="AL141" i="15"/>
  <c r="AN141" i="15"/>
  <c r="AT141" i="15"/>
  <c r="AU141" i="15"/>
  <c r="AV141" i="15"/>
  <c r="AX141" i="15"/>
  <c r="AJ142" i="15"/>
  <c r="AK142" i="15"/>
  <c r="AL142" i="15"/>
  <c r="AN142" i="15"/>
  <c r="AT142" i="15"/>
  <c r="AU142" i="15"/>
  <c r="AV142" i="15"/>
  <c r="AX142" i="15"/>
  <c r="AJ143" i="15"/>
  <c r="AZ143" i="15" s="1"/>
  <c r="AK143" i="15"/>
  <c r="AL143" i="15"/>
  <c r="AN143" i="15"/>
  <c r="AT143" i="15"/>
  <c r="AU143" i="15"/>
  <c r="AV143" i="15"/>
  <c r="AX143" i="15"/>
  <c r="AJ144" i="15"/>
  <c r="AK144" i="15"/>
  <c r="AL144" i="15"/>
  <c r="AN144" i="15"/>
  <c r="AT144" i="15"/>
  <c r="AU144" i="15"/>
  <c r="AV144" i="15"/>
  <c r="AX144" i="15"/>
  <c r="AJ145" i="15"/>
  <c r="AK145" i="15"/>
  <c r="AL145" i="15"/>
  <c r="AN145" i="15"/>
  <c r="AT145" i="15"/>
  <c r="AU145" i="15"/>
  <c r="AV145" i="15"/>
  <c r="AX145" i="15"/>
  <c r="AJ146" i="15"/>
  <c r="AO146" i="15" s="1"/>
  <c r="AK146" i="15"/>
  <c r="AL146" i="15"/>
  <c r="AN146" i="15"/>
  <c r="AT146" i="15"/>
  <c r="AU146" i="15"/>
  <c r="AV146" i="15"/>
  <c r="AX146" i="15"/>
  <c r="AJ147" i="15"/>
  <c r="AP147" i="15" s="1"/>
  <c r="AK147" i="15"/>
  <c r="AL147" i="15"/>
  <c r="AN147" i="15"/>
  <c r="AT147" i="15"/>
  <c r="AU147" i="15"/>
  <c r="AV147" i="15"/>
  <c r="AX147" i="15"/>
  <c r="AJ148" i="15"/>
  <c r="AZ148" i="15" s="1"/>
  <c r="AK148" i="15"/>
  <c r="AL148" i="15"/>
  <c r="AN148" i="15"/>
  <c r="AT148" i="15"/>
  <c r="AU148" i="15"/>
  <c r="AV148" i="15"/>
  <c r="AX148" i="15"/>
  <c r="AJ149" i="15"/>
  <c r="AK149" i="15"/>
  <c r="AL149" i="15"/>
  <c r="AN149" i="15"/>
  <c r="AT149" i="15"/>
  <c r="AU149" i="15"/>
  <c r="AV149" i="15"/>
  <c r="AX149" i="15"/>
  <c r="AJ150" i="15"/>
  <c r="AK150" i="15"/>
  <c r="AL150" i="15"/>
  <c r="AN150" i="15"/>
  <c r="AT150" i="15"/>
  <c r="AU150" i="15"/>
  <c r="AV150" i="15"/>
  <c r="AX150" i="15"/>
  <c r="AJ151" i="15"/>
  <c r="AZ151" i="15" s="1"/>
  <c r="AK151" i="15"/>
  <c r="AL151" i="15"/>
  <c r="AN151" i="15"/>
  <c r="AT151" i="15"/>
  <c r="AU151" i="15"/>
  <c r="AV151" i="15"/>
  <c r="AX151" i="15"/>
  <c r="AJ152" i="15"/>
  <c r="AK152" i="15"/>
  <c r="AL152" i="15"/>
  <c r="AN152" i="15"/>
  <c r="AT152" i="15"/>
  <c r="AU152" i="15"/>
  <c r="AV152" i="15"/>
  <c r="AX152" i="15"/>
  <c r="AJ153" i="15"/>
  <c r="AO153" i="15" s="1"/>
  <c r="AK153" i="15"/>
  <c r="AL153" i="15"/>
  <c r="AN153" i="15"/>
  <c r="AT153" i="15"/>
  <c r="AU153" i="15"/>
  <c r="AV153" i="15"/>
  <c r="AX153" i="15"/>
  <c r="AJ154" i="15"/>
  <c r="AK154" i="15"/>
  <c r="AL154" i="15"/>
  <c r="AN154" i="15"/>
  <c r="AT154" i="15"/>
  <c r="AU154" i="15"/>
  <c r="AV154" i="15"/>
  <c r="AX154" i="15"/>
  <c r="AJ155" i="15"/>
  <c r="AK155" i="15"/>
  <c r="AL155" i="15"/>
  <c r="AN155" i="15"/>
  <c r="AT155" i="15"/>
  <c r="AU155" i="15"/>
  <c r="AV155" i="15"/>
  <c r="AX155" i="15"/>
  <c r="AJ156" i="15"/>
  <c r="AK156" i="15"/>
  <c r="AL156" i="15"/>
  <c r="AN156" i="15"/>
  <c r="AT156" i="15"/>
  <c r="AU156" i="15"/>
  <c r="AV156" i="15"/>
  <c r="AX156" i="15"/>
  <c r="AJ157" i="15"/>
  <c r="AK157" i="15"/>
  <c r="AL157" i="15"/>
  <c r="AN157" i="15"/>
  <c r="AT157" i="15"/>
  <c r="AU157" i="15"/>
  <c r="AV157" i="15"/>
  <c r="AX157" i="15"/>
  <c r="AJ158" i="15"/>
  <c r="AS158" i="15" s="1"/>
  <c r="AK158" i="15"/>
  <c r="AL158" i="15"/>
  <c r="AN158" i="15"/>
  <c r="AT158" i="15"/>
  <c r="AU158" i="15"/>
  <c r="AV158" i="15"/>
  <c r="AX158" i="15"/>
  <c r="AJ159" i="15"/>
  <c r="AK159" i="15"/>
  <c r="AL159" i="15"/>
  <c r="AN159" i="15"/>
  <c r="AT159" i="15"/>
  <c r="AU159" i="15"/>
  <c r="AV159" i="15"/>
  <c r="AX159" i="15"/>
  <c r="AJ160" i="15"/>
  <c r="AQ160" i="15" s="1"/>
  <c r="AK160" i="15"/>
  <c r="AL160" i="15"/>
  <c r="AN160" i="15"/>
  <c r="AT160" i="15"/>
  <c r="AU160" i="15"/>
  <c r="AV160" i="15"/>
  <c r="AX160" i="15"/>
  <c r="AJ161" i="15"/>
  <c r="AK161" i="15"/>
  <c r="AL161" i="15"/>
  <c r="AN161" i="15"/>
  <c r="AT161" i="15"/>
  <c r="AU161" i="15"/>
  <c r="AV161" i="15"/>
  <c r="AX161" i="15"/>
  <c r="AJ162" i="15"/>
  <c r="AK162" i="15"/>
  <c r="AL162" i="15"/>
  <c r="AN162" i="15"/>
  <c r="AT162" i="15"/>
  <c r="AU162" i="15"/>
  <c r="AV162" i="15"/>
  <c r="AX162" i="15"/>
  <c r="AJ163" i="15"/>
  <c r="AS163" i="15" s="1"/>
  <c r="AK163" i="15"/>
  <c r="AL163" i="15"/>
  <c r="AN163" i="15"/>
  <c r="AT163" i="15"/>
  <c r="AU163" i="15"/>
  <c r="AV163" i="15"/>
  <c r="AX163" i="15"/>
  <c r="AJ164" i="15"/>
  <c r="AK164" i="15"/>
  <c r="AL164" i="15"/>
  <c r="AN164" i="15"/>
  <c r="AT164" i="15"/>
  <c r="AU164" i="15"/>
  <c r="AV164" i="15"/>
  <c r="AX164" i="15"/>
  <c r="AJ165" i="15"/>
  <c r="AK165" i="15"/>
  <c r="AL165" i="15"/>
  <c r="AN165" i="15"/>
  <c r="AT165" i="15"/>
  <c r="AU165" i="15"/>
  <c r="AV165" i="15"/>
  <c r="AX165" i="15"/>
  <c r="AJ166" i="15"/>
  <c r="AK166" i="15"/>
  <c r="AL166" i="15"/>
  <c r="AN166" i="15"/>
  <c r="AT166" i="15"/>
  <c r="AU166" i="15"/>
  <c r="AV166" i="15"/>
  <c r="AX166" i="15"/>
  <c r="AJ167" i="15"/>
  <c r="AZ167" i="15" s="1"/>
  <c r="AK167" i="15"/>
  <c r="AL167" i="15"/>
  <c r="AN167" i="15"/>
  <c r="AT167" i="15"/>
  <c r="AU167" i="15"/>
  <c r="AV167" i="15"/>
  <c r="AX167" i="15"/>
  <c r="AJ168" i="15"/>
  <c r="AK168" i="15"/>
  <c r="AL168" i="15"/>
  <c r="AN168" i="15"/>
  <c r="AT168" i="15"/>
  <c r="AU168" i="15"/>
  <c r="AV168" i="15"/>
  <c r="AX168" i="15"/>
  <c r="AJ169" i="15"/>
  <c r="AZ169" i="15" s="1"/>
  <c r="AK169" i="15"/>
  <c r="AL169" i="15"/>
  <c r="AN169" i="15"/>
  <c r="AT169" i="15"/>
  <c r="AU169" i="15"/>
  <c r="AV169" i="15"/>
  <c r="AX169" i="15"/>
  <c r="AJ170" i="15"/>
  <c r="AK170" i="15"/>
  <c r="AL170" i="15"/>
  <c r="AN170" i="15"/>
  <c r="AT170" i="15"/>
  <c r="AU170" i="15"/>
  <c r="AV170" i="15"/>
  <c r="AX170" i="15"/>
  <c r="AJ171" i="15"/>
  <c r="AQ171" i="15" s="1"/>
  <c r="AK171" i="15"/>
  <c r="AL171" i="15"/>
  <c r="AN171" i="15"/>
  <c r="AT171" i="15"/>
  <c r="AU171" i="15"/>
  <c r="AV171" i="15"/>
  <c r="AX171" i="15"/>
  <c r="AJ172" i="15"/>
  <c r="AP172" i="15" s="1"/>
  <c r="AK172" i="15"/>
  <c r="AL172" i="15"/>
  <c r="AN172" i="15"/>
  <c r="AT172" i="15"/>
  <c r="AU172" i="15"/>
  <c r="AV172" i="15"/>
  <c r="AX172" i="15"/>
  <c r="AJ173" i="15"/>
  <c r="AZ173" i="15" s="1"/>
  <c r="AK173" i="15"/>
  <c r="AL173" i="15"/>
  <c r="AN173" i="15"/>
  <c r="AT173" i="15"/>
  <c r="AU173" i="15"/>
  <c r="AV173" i="15"/>
  <c r="AX173" i="15"/>
  <c r="AJ174" i="15"/>
  <c r="AK174" i="15"/>
  <c r="AL174" i="15"/>
  <c r="AN174" i="15"/>
  <c r="AT174" i="15"/>
  <c r="AU174" i="15"/>
  <c r="AV174" i="15"/>
  <c r="AX174" i="15"/>
  <c r="AJ175" i="15"/>
  <c r="AK175" i="15"/>
  <c r="AL175" i="15"/>
  <c r="AN175" i="15"/>
  <c r="AT175" i="15"/>
  <c r="AU175" i="15"/>
  <c r="AV175" i="15"/>
  <c r="AX175" i="15"/>
  <c r="AJ176" i="15"/>
  <c r="AO176" i="15" s="1"/>
  <c r="AK176" i="15"/>
  <c r="AL176" i="15"/>
  <c r="AN176" i="15"/>
  <c r="AT176" i="15"/>
  <c r="AU176" i="15"/>
  <c r="AV176" i="15"/>
  <c r="AX176" i="15"/>
  <c r="AJ177" i="15"/>
  <c r="AZ177" i="15" s="1"/>
  <c r="AK177" i="15"/>
  <c r="AL177" i="15"/>
  <c r="AN177" i="15"/>
  <c r="AT177" i="15"/>
  <c r="AU177" i="15"/>
  <c r="AV177" i="15"/>
  <c r="AX177" i="15"/>
  <c r="AJ178" i="15"/>
  <c r="AK178" i="15"/>
  <c r="AL178" i="15"/>
  <c r="AN178" i="15"/>
  <c r="AT178" i="15"/>
  <c r="AU178" i="15"/>
  <c r="AV178" i="15"/>
  <c r="AX178" i="15"/>
  <c r="AJ179" i="15"/>
  <c r="AK179" i="15"/>
  <c r="AL179" i="15"/>
  <c r="AN179" i="15"/>
  <c r="AT179" i="15"/>
  <c r="AU179" i="15"/>
  <c r="AV179" i="15"/>
  <c r="AX179" i="15"/>
  <c r="AJ180" i="15"/>
  <c r="AZ180" i="15" s="1"/>
  <c r="AK180" i="15"/>
  <c r="AL180" i="15"/>
  <c r="AN180" i="15"/>
  <c r="AT180" i="15"/>
  <c r="AU180" i="15"/>
  <c r="AV180" i="15"/>
  <c r="AX180" i="15"/>
  <c r="AJ181" i="15"/>
  <c r="AS181" i="15" s="1"/>
  <c r="AK181" i="15"/>
  <c r="AL181" i="15"/>
  <c r="AN181" i="15"/>
  <c r="AT181" i="15"/>
  <c r="AU181" i="15"/>
  <c r="AV181" i="15"/>
  <c r="AX181" i="15"/>
  <c r="AJ182" i="15"/>
  <c r="AO182" i="15" s="1"/>
  <c r="AK182" i="15"/>
  <c r="AL182" i="15"/>
  <c r="AN182" i="15"/>
  <c r="AT182" i="15"/>
  <c r="AU182" i="15"/>
  <c r="AV182" i="15"/>
  <c r="AX182" i="15"/>
  <c r="AJ183" i="15"/>
  <c r="AZ183" i="15" s="1"/>
  <c r="AK183" i="15"/>
  <c r="AL183" i="15"/>
  <c r="AN183" i="15"/>
  <c r="AT183" i="15"/>
  <c r="AU183" i="15"/>
  <c r="AV183" i="15"/>
  <c r="AX183" i="15"/>
  <c r="AJ184" i="15"/>
  <c r="AS184" i="15" s="1"/>
  <c r="AK184" i="15"/>
  <c r="AL184" i="15"/>
  <c r="AN184" i="15"/>
  <c r="AT184" i="15"/>
  <c r="AU184" i="15"/>
  <c r="AV184" i="15"/>
  <c r="AX184" i="15"/>
  <c r="AJ185" i="15"/>
  <c r="AO185" i="15" s="1"/>
  <c r="AK185" i="15"/>
  <c r="AL185" i="15"/>
  <c r="AN185" i="15"/>
  <c r="AT185" i="15"/>
  <c r="AU185" i="15"/>
  <c r="AV185" i="15"/>
  <c r="AX185" i="15"/>
  <c r="AJ186" i="15"/>
  <c r="AO186" i="15" s="1"/>
  <c r="AK186" i="15"/>
  <c r="AL186" i="15"/>
  <c r="AN186" i="15"/>
  <c r="AT186" i="15"/>
  <c r="AU186" i="15"/>
  <c r="AV186" i="15"/>
  <c r="AX186" i="15"/>
  <c r="AJ187" i="15"/>
  <c r="AO187" i="15" s="1"/>
  <c r="AK187" i="15"/>
  <c r="AL187" i="15"/>
  <c r="AN187" i="15"/>
  <c r="AT187" i="15"/>
  <c r="AU187" i="15"/>
  <c r="AV187" i="15"/>
  <c r="AX187" i="15"/>
  <c r="AJ188" i="15"/>
  <c r="AS188" i="15" s="1"/>
  <c r="AK188" i="15"/>
  <c r="AL188" i="15"/>
  <c r="AN188" i="15"/>
  <c r="AT188" i="15"/>
  <c r="AU188" i="15"/>
  <c r="AV188" i="15"/>
  <c r="AX188" i="15"/>
  <c r="AJ189" i="15"/>
  <c r="AZ189" i="15" s="1"/>
  <c r="AK189" i="15"/>
  <c r="AL189" i="15"/>
  <c r="AN189" i="15"/>
  <c r="AT189" i="15"/>
  <c r="AU189" i="15"/>
  <c r="AV189" i="15"/>
  <c r="AX189" i="15"/>
  <c r="AJ190" i="15"/>
  <c r="AK190" i="15"/>
  <c r="AL190" i="15"/>
  <c r="AN190" i="15"/>
  <c r="AT190" i="15"/>
  <c r="AU190" i="15"/>
  <c r="AV190" i="15"/>
  <c r="AX190" i="15"/>
  <c r="AJ191" i="15"/>
  <c r="AZ191" i="15" s="1"/>
  <c r="AK191" i="15"/>
  <c r="AL191" i="15"/>
  <c r="AN191" i="15"/>
  <c r="AT191" i="15"/>
  <c r="AU191" i="15"/>
  <c r="AV191" i="15"/>
  <c r="AX191" i="15"/>
  <c r="AJ192" i="15"/>
  <c r="AQ192" i="15" s="1"/>
  <c r="AK192" i="15"/>
  <c r="AL192" i="15"/>
  <c r="AN192" i="15"/>
  <c r="AT192" i="15"/>
  <c r="AU192" i="15"/>
  <c r="AV192" i="15"/>
  <c r="AX192" i="15"/>
  <c r="AJ193" i="15"/>
  <c r="AZ193" i="15" s="1"/>
  <c r="AK193" i="15"/>
  <c r="AL193" i="15"/>
  <c r="AN193" i="15"/>
  <c r="AT193" i="15"/>
  <c r="AU193" i="15"/>
  <c r="AV193" i="15"/>
  <c r="AX193" i="15"/>
  <c r="AJ194" i="15"/>
  <c r="AK194" i="15"/>
  <c r="AL194" i="15"/>
  <c r="AN194" i="15"/>
  <c r="AT194" i="15"/>
  <c r="AU194" i="15"/>
  <c r="AV194" i="15"/>
  <c r="AX194" i="15"/>
  <c r="AJ195" i="15"/>
  <c r="AQ195" i="15" s="1"/>
  <c r="AK195" i="15"/>
  <c r="AL195" i="15"/>
  <c r="AN195" i="15"/>
  <c r="AT195" i="15"/>
  <c r="AU195" i="15"/>
  <c r="AV195" i="15"/>
  <c r="AX195" i="15"/>
  <c r="AJ196" i="15"/>
  <c r="AP196" i="15" s="1"/>
  <c r="AK196" i="15"/>
  <c r="AL196" i="15"/>
  <c r="AN196" i="15"/>
  <c r="AT196" i="15"/>
  <c r="AU196" i="15"/>
  <c r="AV196" i="15"/>
  <c r="AX196" i="15"/>
  <c r="AJ197" i="15"/>
  <c r="AO197" i="15" s="1"/>
  <c r="AK197" i="15"/>
  <c r="AL197" i="15"/>
  <c r="AN197" i="15"/>
  <c r="AT197" i="15"/>
  <c r="AU197" i="15"/>
  <c r="AV197" i="15"/>
  <c r="AX197" i="15"/>
  <c r="AJ198" i="15"/>
  <c r="AP198" i="15" s="1"/>
  <c r="AK198" i="15"/>
  <c r="AL198" i="15"/>
  <c r="AN198" i="15"/>
  <c r="AT198" i="15"/>
  <c r="AU198" i="15"/>
  <c r="AV198" i="15"/>
  <c r="AX198" i="15"/>
  <c r="AJ199" i="15"/>
  <c r="AK199" i="15"/>
  <c r="AL199" i="15"/>
  <c r="AN199" i="15"/>
  <c r="AT199" i="15"/>
  <c r="AU199" i="15"/>
  <c r="AV199" i="15"/>
  <c r="AX199" i="15"/>
  <c r="AJ200" i="15"/>
  <c r="AQ200" i="15" s="1"/>
  <c r="AK200" i="15"/>
  <c r="AL200" i="15"/>
  <c r="AN200" i="15"/>
  <c r="AT200" i="15"/>
  <c r="AU200" i="15"/>
  <c r="AV200" i="15"/>
  <c r="AX200" i="15"/>
  <c r="AJ201" i="15"/>
  <c r="AP201" i="15" s="1"/>
  <c r="AK201" i="15"/>
  <c r="AL201" i="15"/>
  <c r="AN201" i="15"/>
  <c r="AT201" i="15"/>
  <c r="AU201" i="15"/>
  <c r="AV201" i="15"/>
  <c r="AX201" i="15"/>
  <c r="AJ202" i="15"/>
  <c r="AK202" i="15"/>
  <c r="AL202" i="15"/>
  <c r="AN202" i="15"/>
  <c r="AT202" i="15"/>
  <c r="AU202" i="15"/>
  <c r="AV202" i="15"/>
  <c r="AX202" i="15"/>
  <c r="AJ203" i="15"/>
  <c r="AQ203" i="15" s="1"/>
  <c r="AK203" i="15"/>
  <c r="AL203" i="15"/>
  <c r="AN203" i="15"/>
  <c r="AT203" i="15"/>
  <c r="AU203" i="15"/>
  <c r="AV203" i="15"/>
  <c r="AX203" i="15"/>
  <c r="AJ204" i="15"/>
  <c r="AK204" i="15"/>
  <c r="AL204" i="15"/>
  <c r="AN204" i="15"/>
  <c r="AT204" i="15"/>
  <c r="AU204" i="15"/>
  <c r="AV204" i="15"/>
  <c r="AX204" i="15"/>
  <c r="AJ205" i="15"/>
  <c r="AQ205" i="15" s="1"/>
  <c r="AK205" i="15"/>
  <c r="AL205" i="15"/>
  <c r="AN205" i="15"/>
  <c r="AT205" i="15"/>
  <c r="AU205" i="15"/>
  <c r="AV205" i="15"/>
  <c r="AX205" i="15"/>
  <c r="AJ206" i="15"/>
  <c r="AP206" i="15" s="1"/>
  <c r="AK206" i="15"/>
  <c r="AL206" i="15"/>
  <c r="AN206" i="15"/>
  <c r="AT206" i="15"/>
  <c r="AU206" i="15"/>
  <c r="AV206" i="15"/>
  <c r="AX206" i="15"/>
  <c r="AJ207" i="15"/>
  <c r="AK207" i="15"/>
  <c r="AL207" i="15"/>
  <c r="AN207" i="15"/>
  <c r="AT207" i="15"/>
  <c r="AU207" i="15"/>
  <c r="AV207" i="15"/>
  <c r="AX207" i="15"/>
  <c r="AJ208" i="15"/>
  <c r="AZ208" i="15" s="1"/>
  <c r="AK208" i="15"/>
  <c r="AL208" i="15"/>
  <c r="AN208" i="15"/>
  <c r="AT208" i="15"/>
  <c r="AU208" i="15"/>
  <c r="AV208" i="15"/>
  <c r="AX208" i="15"/>
  <c r="AJ209" i="15"/>
  <c r="AP209" i="15" s="1"/>
  <c r="AK209" i="15"/>
  <c r="AL209" i="15"/>
  <c r="AN209" i="15"/>
  <c r="AT209" i="15"/>
  <c r="AU209" i="15"/>
  <c r="AV209" i="15"/>
  <c r="AX209" i="15"/>
  <c r="AJ210" i="15"/>
  <c r="AP210" i="15" s="1"/>
  <c r="AK210" i="15"/>
  <c r="AL210" i="15"/>
  <c r="AN210" i="15"/>
  <c r="AT210" i="15"/>
  <c r="AU210" i="15"/>
  <c r="AV210" i="15"/>
  <c r="AX210" i="15"/>
  <c r="AJ211" i="15"/>
  <c r="AS211" i="15" s="1"/>
  <c r="AK211" i="15"/>
  <c r="AL211" i="15"/>
  <c r="AN211" i="15"/>
  <c r="AT211" i="15"/>
  <c r="AU211" i="15"/>
  <c r="AV211" i="15"/>
  <c r="AX211" i="15"/>
  <c r="AJ212" i="15"/>
  <c r="AO212" i="15" s="1"/>
  <c r="AK212" i="15"/>
  <c r="AL212" i="15"/>
  <c r="AN212" i="15"/>
  <c r="AT212" i="15"/>
  <c r="AU212" i="15"/>
  <c r="AV212" i="15"/>
  <c r="AX212" i="15"/>
  <c r="AJ213" i="15"/>
  <c r="AO213" i="15" s="1"/>
  <c r="AK213" i="15"/>
  <c r="AL213" i="15"/>
  <c r="AN213" i="15"/>
  <c r="AT213" i="15"/>
  <c r="AU213" i="15"/>
  <c r="AV213" i="15"/>
  <c r="AX213" i="15"/>
  <c r="AJ214" i="15"/>
  <c r="AK214" i="15"/>
  <c r="AL214" i="15"/>
  <c r="AN214" i="15"/>
  <c r="AT214" i="15"/>
  <c r="AU214" i="15"/>
  <c r="AV214" i="15"/>
  <c r="AX214" i="15"/>
  <c r="AJ215" i="15"/>
  <c r="AK215" i="15"/>
  <c r="AL215" i="15"/>
  <c r="AN215" i="15"/>
  <c r="AT215" i="15"/>
  <c r="AU215" i="15"/>
  <c r="AV215" i="15"/>
  <c r="AX215" i="15"/>
  <c r="AJ216" i="15"/>
  <c r="AK216" i="15"/>
  <c r="AL216" i="15"/>
  <c r="AN216" i="15"/>
  <c r="AT216" i="15"/>
  <c r="AU216" i="15"/>
  <c r="AV216" i="15"/>
  <c r="AX216" i="15"/>
  <c r="AJ217" i="15"/>
  <c r="AP217" i="15" s="1"/>
  <c r="AK217" i="15"/>
  <c r="AL217" i="15"/>
  <c r="AN217" i="15"/>
  <c r="AT217" i="15"/>
  <c r="AU217" i="15"/>
  <c r="AV217" i="15"/>
  <c r="AX217" i="15"/>
  <c r="AJ218" i="15"/>
  <c r="AO218" i="15" s="1"/>
  <c r="AK218" i="15"/>
  <c r="AL218" i="15"/>
  <c r="AN218" i="15"/>
  <c r="AT218" i="15"/>
  <c r="AU218" i="15"/>
  <c r="AV218" i="15"/>
  <c r="AX218" i="15"/>
  <c r="AJ219" i="15"/>
  <c r="AS219" i="15" s="1"/>
  <c r="AK219" i="15"/>
  <c r="AL219" i="15"/>
  <c r="AN219" i="15"/>
  <c r="AT219" i="15"/>
  <c r="AU219" i="15"/>
  <c r="AV219" i="15"/>
  <c r="AX219" i="15"/>
  <c r="AJ220" i="15"/>
  <c r="AQ220" i="15" s="1"/>
  <c r="AK220" i="15"/>
  <c r="AL220" i="15"/>
  <c r="AN220" i="15"/>
  <c r="AT220" i="15"/>
  <c r="AU220" i="15"/>
  <c r="AV220" i="15"/>
  <c r="AX220" i="15"/>
  <c r="AJ221" i="15"/>
  <c r="AO221" i="15" s="1"/>
  <c r="AK221" i="15"/>
  <c r="AL221" i="15"/>
  <c r="AN221" i="15"/>
  <c r="AT221" i="15"/>
  <c r="AU221" i="15"/>
  <c r="AV221" i="15"/>
  <c r="AX221" i="15"/>
  <c r="AJ222" i="15"/>
  <c r="AP222" i="15" s="1"/>
  <c r="AK222" i="15"/>
  <c r="AL222" i="15"/>
  <c r="AN222" i="15"/>
  <c r="AT222" i="15"/>
  <c r="AU222" i="15"/>
  <c r="AV222" i="15"/>
  <c r="AX222" i="15"/>
  <c r="AJ223" i="15"/>
  <c r="AO223" i="15" s="1"/>
  <c r="AK223" i="15"/>
  <c r="AL223" i="15"/>
  <c r="AN223" i="15"/>
  <c r="AT223" i="15"/>
  <c r="AU223" i="15"/>
  <c r="AV223" i="15"/>
  <c r="AX223" i="15"/>
  <c r="AJ224" i="15"/>
  <c r="AK224" i="15"/>
  <c r="AL224" i="15"/>
  <c r="AN224" i="15"/>
  <c r="AT224" i="15"/>
  <c r="AU224" i="15"/>
  <c r="AV224" i="15"/>
  <c r="AX224" i="15"/>
  <c r="AJ225" i="15"/>
  <c r="AP225" i="15" s="1"/>
  <c r="AK225" i="15"/>
  <c r="AL225" i="15"/>
  <c r="AN225" i="15"/>
  <c r="AT225" i="15"/>
  <c r="AU225" i="15"/>
  <c r="AV225" i="15"/>
  <c r="AX225" i="15"/>
  <c r="AJ226" i="15"/>
  <c r="AK226" i="15"/>
  <c r="AL226" i="15"/>
  <c r="AN226" i="15"/>
  <c r="AT226" i="15"/>
  <c r="AU226" i="15"/>
  <c r="AV226" i="15"/>
  <c r="AX226" i="15"/>
  <c r="AJ227" i="15"/>
  <c r="AK227" i="15"/>
  <c r="AL227" i="15"/>
  <c r="AN227" i="15"/>
  <c r="AT227" i="15"/>
  <c r="AU227" i="15"/>
  <c r="AV227" i="15"/>
  <c r="AX227" i="15"/>
  <c r="AJ228" i="15"/>
  <c r="AO228" i="15" s="1"/>
  <c r="AK228" i="15"/>
  <c r="AL228" i="15"/>
  <c r="AN228" i="15"/>
  <c r="AT228" i="15"/>
  <c r="AU228" i="15"/>
  <c r="AV228" i="15"/>
  <c r="AX228" i="15"/>
  <c r="AJ229" i="15"/>
  <c r="AS229" i="15" s="1"/>
  <c r="AK229" i="15"/>
  <c r="AL229" i="15"/>
  <c r="AN229" i="15"/>
  <c r="AT229" i="15"/>
  <c r="AU229" i="15"/>
  <c r="AV229" i="15"/>
  <c r="AX229" i="15"/>
  <c r="AJ230" i="15"/>
  <c r="AK230" i="15"/>
  <c r="AL230" i="15"/>
  <c r="AN230" i="15"/>
  <c r="AT230" i="15"/>
  <c r="AU230" i="15"/>
  <c r="AV230" i="15"/>
  <c r="AX230" i="15"/>
  <c r="AJ231" i="15"/>
  <c r="AQ231" i="15" s="1"/>
  <c r="AK231" i="15"/>
  <c r="AL231" i="15"/>
  <c r="AN231" i="15"/>
  <c r="AT231" i="15"/>
  <c r="AU231" i="15"/>
  <c r="AV231" i="15"/>
  <c r="AX231" i="15"/>
  <c r="AJ232" i="15"/>
  <c r="AK232" i="15"/>
  <c r="AL232" i="15"/>
  <c r="AN232" i="15"/>
  <c r="AT232" i="15"/>
  <c r="AU232" i="15"/>
  <c r="AV232" i="15"/>
  <c r="AX232" i="15"/>
  <c r="AJ233" i="15"/>
  <c r="AO233" i="15" s="1"/>
  <c r="AK233" i="15"/>
  <c r="AL233" i="15"/>
  <c r="AN233" i="15"/>
  <c r="AT233" i="15"/>
  <c r="AU233" i="15"/>
  <c r="AV233" i="15"/>
  <c r="AX233" i="15"/>
  <c r="AJ234" i="15"/>
  <c r="AO234" i="15" s="1"/>
  <c r="AK234" i="15"/>
  <c r="AL234" i="15"/>
  <c r="AN234" i="15"/>
  <c r="AT234" i="15"/>
  <c r="AU234" i="15"/>
  <c r="AV234" i="15"/>
  <c r="AX234" i="15"/>
  <c r="AJ235" i="15"/>
  <c r="AZ235" i="15" s="1"/>
  <c r="AK235" i="15"/>
  <c r="AL235" i="15"/>
  <c r="AN235" i="15"/>
  <c r="AT235" i="15"/>
  <c r="AU235" i="15"/>
  <c r="AV235" i="15"/>
  <c r="AX235" i="15"/>
  <c r="AJ236" i="15"/>
  <c r="AK236" i="15"/>
  <c r="AL236" i="15"/>
  <c r="AN236" i="15"/>
  <c r="AT236" i="15"/>
  <c r="AU236" i="15"/>
  <c r="AV236" i="15"/>
  <c r="AX236" i="15"/>
  <c r="AJ237" i="15"/>
  <c r="AK237" i="15"/>
  <c r="AL237" i="15"/>
  <c r="AN237" i="15"/>
  <c r="AT237" i="15"/>
  <c r="AU237" i="15"/>
  <c r="AV237" i="15"/>
  <c r="AX237" i="15"/>
  <c r="AJ238" i="15"/>
  <c r="AK238" i="15"/>
  <c r="AL238" i="15"/>
  <c r="AN238" i="15"/>
  <c r="AT238" i="15"/>
  <c r="AU238" i="15"/>
  <c r="AV238" i="15"/>
  <c r="AX238" i="15"/>
  <c r="AJ239" i="15"/>
  <c r="AK239" i="15"/>
  <c r="AL239" i="15"/>
  <c r="AN239" i="15"/>
  <c r="AT239" i="15"/>
  <c r="AU239" i="15"/>
  <c r="AV239" i="15"/>
  <c r="AX239" i="15"/>
  <c r="AJ240" i="15"/>
  <c r="AQ240" i="15" s="1"/>
  <c r="AK240" i="15"/>
  <c r="AL240" i="15"/>
  <c r="AN240" i="15"/>
  <c r="AT240" i="15"/>
  <c r="AU240" i="15"/>
  <c r="AV240" i="15"/>
  <c r="AX240" i="15"/>
  <c r="AJ241" i="15"/>
  <c r="AO241" i="15" s="1"/>
  <c r="AK241" i="15"/>
  <c r="AL241" i="15"/>
  <c r="AN241" i="15"/>
  <c r="AT241" i="15"/>
  <c r="AU241" i="15"/>
  <c r="AV241" i="15"/>
  <c r="AX241" i="15"/>
  <c r="AJ242" i="15"/>
  <c r="AQ242" i="15" s="1"/>
  <c r="AK242" i="15"/>
  <c r="AL242" i="15"/>
  <c r="AN242" i="15"/>
  <c r="AT242" i="15"/>
  <c r="AU242" i="15"/>
  <c r="AV242" i="15"/>
  <c r="AX242" i="15"/>
  <c r="AJ243" i="15"/>
  <c r="AZ243" i="15" s="1"/>
  <c r="AK243" i="15"/>
  <c r="AL243" i="15"/>
  <c r="AN243" i="15"/>
  <c r="AT243" i="15"/>
  <c r="AU243" i="15"/>
  <c r="AV243" i="15"/>
  <c r="AX243" i="15"/>
  <c r="AJ244" i="15"/>
  <c r="AZ244" i="15" s="1"/>
  <c r="AK244" i="15"/>
  <c r="AL244" i="15"/>
  <c r="AN244" i="15"/>
  <c r="AT244" i="15"/>
  <c r="AU244" i="15"/>
  <c r="AV244" i="15"/>
  <c r="AX244" i="15"/>
  <c r="AJ245" i="15"/>
  <c r="AK245" i="15"/>
  <c r="AL245" i="15"/>
  <c r="AN245" i="15"/>
  <c r="AT245" i="15"/>
  <c r="AU245" i="15"/>
  <c r="AV245" i="15"/>
  <c r="AX245" i="15"/>
  <c r="AJ246" i="15"/>
  <c r="AK246" i="15"/>
  <c r="AL246" i="15"/>
  <c r="AN246" i="15"/>
  <c r="AT246" i="15"/>
  <c r="AU246" i="15"/>
  <c r="AV246" i="15"/>
  <c r="AX246" i="15"/>
  <c r="AJ247" i="15"/>
  <c r="AK247" i="15"/>
  <c r="AL247" i="15"/>
  <c r="AN247" i="15"/>
  <c r="AT247" i="15"/>
  <c r="AU247" i="15"/>
  <c r="AV247" i="15"/>
  <c r="AX247" i="15"/>
  <c r="AJ248" i="15"/>
  <c r="AZ248" i="15" s="1"/>
  <c r="AK248" i="15"/>
  <c r="AL248" i="15"/>
  <c r="AN248" i="15"/>
  <c r="AT248" i="15"/>
  <c r="AU248" i="15"/>
  <c r="AV248" i="15"/>
  <c r="AX248" i="15"/>
  <c r="AJ249" i="15"/>
  <c r="AK249" i="15"/>
  <c r="AL249" i="15"/>
  <c r="AN249" i="15"/>
  <c r="AT249" i="15"/>
  <c r="AU249" i="15"/>
  <c r="AV249" i="15"/>
  <c r="AX249" i="15"/>
  <c r="AJ250" i="15"/>
  <c r="AK250" i="15"/>
  <c r="AL250" i="15"/>
  <c r="AN250" i="15"/>
  <c r="AT250" i="15"/>
  <c r="AU250" i="15"/>
  <c r="AV250" i="15"/>
  <c r="AX250" i="15"/>
  <c r="AJ251" i="15"/>
  <c r="AK251" i="15"/>
  <c r="AL251" i="15"/>
  <c r="AN251" i="15"/>
  <c r="AT251" i="15"/>
  <c r="AU251" i="15"/>
  <c r="AV251" i="15"/>
  <c r="AX251" i="15"/>
  <c r="AJ252" i="15"/>
  <c r="AZ252" i="15" s="1"/>
  <c r="AK252" i="15"/>
  <c r="AL252" i="15"/>
  <c r="AN252" i="15"/>
  <c r="AT252" i="15"/>
  <c r="AU252" i="15"/>
  <c r="AV252" i="15"/>
  <c r="AX252" i="15"/>
  <c r="AJ253" i="15"/>
  <c r="AS253" i="15" s="1"/>
  <c r="AK253" i="15"/>
  <c r="AL253" i="15"/>
  <c r="AN253" i="15"/>
  <c r="AT253" i="15"/>
  <c r="AU253" i="15"/>
  <c r="AV253" i="15"/>
  <c r="AX253" i="15"/>
  <c r="AJ254" i="15"/>
  <c r="AO254" i="15" s="1"/>
  <c r="AK254" i="15"/>
  <c r="AL254" i="15"/>
  <c r="AN254" i="15"/>
  <c r="AT254" i="15"/>
  <c r="AU254" i="15"/>
  <c r="AV254" i="15"/>
  <c r="AX254" i="15"/>
  <c r="AJ255" i="15"/>
  <c r="AK255" i="15"/>
  <c r="AL255" i="15"/>
  <c r="AN255" i="15"/>
  <c r="AT255" i="15"/>
  <c r="AU255" i="15"/>
  <c r="AV255" i="15"/>
  <c r="AX255" i="15"/>
  <c r="AJ256" i="15"/>
  <c r="AK256" i="15"/>
  <c r="AL256" i="15"/>
  <c r="AN256" i="15"/>
  <c r="AT256" i="15"/>
  <c r="AU256" i="15"/>
  <c r="AV256" i="15"/>
  <c r="AX256" i="15"/>
  <c r="AJ257" i="15"/>
  <c r="AK257" i="15"/>
  <c r="AL257" i="15"/>
  <c r="AN257" i="15"/>
  <c r="AT257" i="15"/>
  <c r="AU257" i="15"/>
  <c r="AV257" i="15"/>
  <c r="AX257" i="15"/>
  <c r="AJ258" i="15"/>
  <c r="AS258" i="15" s="1"/>
  <c r="AK258" i="15"/>
  <c r="AL258" i="15"/>
  <c r="AN258" i="15"/>
  <c r="AT258" i="15"/>
  <c r="AU258" i="15"/>
  <c r="AV258" i="15"/>
  <c r="AX258" i="15"/>
  <c r="AJ259" i="15"/>
  <c r="AZ259" i="15" s="1"/>
  <c r="AK259" i="15"/>
  <c r="AL259" i="15"/>
  <c r="AN259" i="15"/>
  <c r="AT259" i="15"/>
  <c r="AU259" i="15"/>
  <c r="AV259" i="15"/>
  <c r="AX259" i="15"/>
  <c r="AJ260" i="15"/>
  <c r="AZ260" i="15" s="1"/>
  <c r="AK260" i="15"/>
  <c r="AL260" i="15"/>
  <c r="AN260" i="15"/>
  <c r="AT260" i="15"/>
  <c r="AU260" i="15"/>
  <c r="AV260" i="15"/>
  <c r="AX260" i="15"/>
  <c r="AJ261" i="15"/>
  <c r="AQ261" i="15" s="1"/>
  <c r="AK261" i="15"/>
  <c r="AL261" i="15"/>
  <c r="AN261" i="15"/>
  <c r="AT261" i="15"/>
  <c r="AU261" i="15"/>
  <c r="AV261" i="15"/>
  <c r="AX261" i="15"/>
  <c r="AJ262" i="15"/>
  <c r="AP262" i="15" s="1"/>
  <c r="AK262" i="15"/>
  <c r="AL262" i="15"/>
  <c r="AN262" i="15"/>
  <c r="AT262" i="15"/>
  <c r="AU262" i="15"/>
  <c r="AV262" i="15"/>
  <c r="AX262" i="15"/>
  <c r="AJ263" i="15"/>
  <c r="AZ263" i="15" s="1"/>
  <c r="AK263" i="15"/>
  <c r="AL263" i="15"/>
  <c r="AN263" i="15"/>
  <c r="AT263" i="15"/>
  <c r="AU263" i="15"/>
  <c r="AV263" i="15"/>
  <c r="AX263" i="15"/>
  <c r="AJ264" i="15"/>
  <c r="AZ264" i="15" s="1"/>
  <c r="AK264" i="15"/>
  <c r="AL264" i="15"/>
  <c r="AN264" i="15"/>
  <c r="AT264" i="15"/>
  <c r="AU264" i="15"/>
  <c r="AV264" i="15"/>
  <c r="AX264" i="15"/>
  <c r="AJ265" i="15"/>
  <c r="AZ265" i="15" s="1"/>
  <c r="AK265" i="15"/>
  <c r="AL265" i="15"/>
  <c r="AN265" i="15"/>
  <c r="AT265" i="15"/>
  <c r="AU265" i="15"/>
  <c r="AV265" i="15"/>
  <c r="AX265" i="15"/>
  <c r="AJ266" i="15"/>
  <c r="AZ266" i="15" s="1"/>
  <c r="AK266" i="15"/>
  <c r="AL266" i="15"/>
  <c r="AN266" i="15"/>
  <c r="AT266" i="15"/>
  <c r="AU266" i="15"/>
  <c r="AV266" i="15"/>
  <c r="AX266" i="15"/>
  <c r="AJ267" i="15"/>
  <c r="AK267" i="15"/>
  <c r="AL267" i="15"/>
  <c r="AN267" i="15"/>
  <c r="AT267" i="15"/>
  <c r="AU267" i="15"/>
  <c r="AV267" i="15"/>
  <c r="AX267" i="15"/>
  <c r="AJ268" i="15"/>
  <c r="AS268" i="15" s="1"/>
  <c r="AK268" i="15"/>
  <c r="AL268" i="15"/>
  <c r="AN268" i="15"/>
  <c r="AT268" i="15"/>
  <c r="AU268" i="15"/>
  <c r="AV268" i="15"/>
  <c r="AX268" i="15"/>
  <c r="AJ269" i="15"/>
  <c r="AK269" i="15"/>
  <c r="AL269" i="15"/>
  <c r="AN269" i="15"/>
  <c r="AT269" i="15"/>
  <c r="AU269" i="15"/>
  <c r="AV269" i="15"/>
  <c r="AX269" i="15"/>
  <c r="AJ270" i="15"/>
  <c r="AK270" i="15"/>
  <c r="AL270" i="15"/>
  <c r="AN270" i="15"/>
  <c r="AT270" i="15"/>
  <c r="AU270" i="15"/>
  <c r="AV270" i="15"/>
  <c r="AX270" i="15"/>
  <c r="AJ271" i="15"/>
  <c r="AK271" i="15"/>
  <c r="AL271" i="15"/>
  <c r="AN271" i="15"/>
  <c r="AT271" i="15"/>
  <c r="AU271" i="15"/>
  <c r="AV271" i="15"/>
  <c r="AX271" i="15"/>
  <c r="AJ272" i="15"/>
  <c r="AO272" i="15" s="1"/>
  <c r="AK272" i="15"/>
  <c r="AL272" i="15"/>
  <c r="AN272" i="15"/>
  <c r="AT272" i="15"/>
  <c r="AU272" i="15"/>
  <c r="AV272" i="15"/>
  <c r="AX272" i="15"/>
  <c r="AJ273" i="15"/>
  <c r="AP273" i="15" s="1"/>
  <c r="AK273" i="15"/>
  <c r="AL273" i="15"/>
  <c r="AN273" i="15"/>
  <c r="AT273" i="15"/>
  <c r="AU273" i="15"/>
  <c r="AV273" i="15"/>
  <c r="AX273" i="15"/>
  <c r="AJ274" i="15"/>
  <c r="AK274" i="15"/>
  <c r="AL274" i="15"/>
  <c r="AN274" i="15"/>
  <c r="AT274" i="15"/>
  <c r="AU274" i="15"/>
  <c r="AV274" i="15"/>
  <c r="AX274" i="15"/>
  <c r="AJ275" i="15"/>
  <c r="AK275" i="15"/>
  <c r="AL275" i="15"/>
  <c r="AN275" i="15"/>
  <c r="AT275" i="15"/>
  <c r="AU275" i="15"/>
  <c r="AV275" i="15"/>
  <c r="AX275" i="15"/>
  <c r="AJ276" i="15"/>
  <c r="AP276" i="15" s="1"/>
  <c r="AK276" i="15"/>
  <c r="AL276" i="15"/>
  <c r="AN276" i="15"/>
  <c r="AT276" i="15"/>
  <c r="AU276" i="15"/>
  <c r="AV276" i="15"/>
  <c r="AX276" i="15"/>
  <c r="AJ277" i="15"/>
  <c r="AK277" i="15"/>
  <c r="AL277" i="15"/>
  <c r="AN277" i="15"/>
  <c r="AT277" i="15"/>
  <c r="AU277" i="15"/>
  <c r="AV277" i="15"/>
  <c r="AX277" i="15"/>
  <c r="AJ278" i="15"/>
  <c r="AP278" i="15" s="1"/>
  <c r="AK278" i="15"/>
  <c r="AL278" i="15"/>
  <c r="AN278" i="15"/>
  <c r="AT278" i="15"/>
  <c r="AU278" i="15"/>
  <c r="AV278" i="15"/>
  <c r="AX278" i="15"/>
  <c r="AJ279" i="15"/>
  <c r="AK279" i="15"/>
  <c r="AL279" i="15"/>
  <c r="AN279" i="15"/>
  <c r="AT279" i="15"/>
  <c r="AU279" i="15"/>
  <c r="AV279" i="15"/>
  <c r="AX279" i="15"/>
  <c r="AJ280" i="15"/>
  <c r="AO280" i="15" s="1"/>
  <c r="AK280" i="15"/>
  <c r="AL280" i="15"/>
  <c r="AN280" i="15"/>
  <c r="AT280" i="15"/>
  <c r="AU280" i="15"/>
  <c r="AV280" i="15"/>
  <c r="AX280" i="15"/>
  <c r="AJ281" i="15"/>
  <c r="AQ281" i="15" s="1"/>
  <c r="AK281" i="15"/>
  <c r="AL281" i="15"/>
  <c r="AN281" i="15"/>
  <c r="AT281" i="15"/>
  <c r="AU281" i="15"/>
  <c r="AV281" i="15"/>
  <c r="AX281" i="15"/>
  <c r="AJ282" i="15"/>
  <c r="AK282" i="15"/>
  <c r="AL282" i="15"/>
  <c r="AN282" i="15"/>
  <c r="AT282" i="15"/>
  <c r="AU282" i="15"/>
  <c r="AV282" i="15"/>
  <c r="AX282" i="15"/>
  <c r="AJ283" i="15"/>
  <c r="AK283" i="15"/>
  <c r="AL283" i="15"/>
  <c r="AN283" i="15"/>
  <c r="AT283" i="15"/>
  <c r="AU283" i="15"/>
  <c r="AV283" i="15"/>
  <c r="AX283" i="15"/>
  <c r="AJ284" i="15"/>
  <c r="AZ284" i="15" s="1"/>
  <c r="AK284" i="15"/>
  <c r="AL284" i="15"/>
  <c r="AN284" i="15"/>
  <c r="AT284" i="15"/>
  <c r="AU284" i="15"/>
  <c r="AV284" i="15"/>
  <c r="AX284" i="15"/>
  <c r="AJ285" i="15"/>
  <c r="AZ285" i="15" s="1"/>
  <c r="AK285" i="15"/>
  <c r="AL285" i="15"/>
  <c r="AN285" i="15"/>
  <c r="AT285" i="15"/>
  <c r="AU285" i="15"/>
  <c r="AV285" i="15"/>
  <c r="AX285" i="15"/>
  <c r="AJ286" i="15"/>
  <c r="AP286" i="15" s="1"/>
  <c r="AK286" i="15"/>
  <c r="AL286" i="15"/>
  <c r="AN286" i="15"/>
  <c r="AT286" i="15"/>
  <c r="AU286" i="15"/>
  <c r="AV286" i="15"/>
  <c r="AX286" i="15"/>
  <c r="AJ287" i="15"/>
  <c r="AP287" i="15" s="1"/>
  <c r="AK287" i="15"/>
  <c r="AL287" i="15"/>
  <c r="AN287" i="15"/>
  <c r="AT287" i="15"/>
  <c r="AU287" i="15"/>
  <c r="AV287" i="15"/>
  <c r="AX287" i="15"/>
  <c r="AJ288" i="15"/>
  <c r="AQ288" i="15" s="1"/>
  <c r="AK288" i="15"/>
  <c r="AL288" i="15"/>
  <c r="AN288" i="15"/>
  <c r="AT288" i="15"/>
  <c r="AU288" i="15"/>
  <c r="AV288" i="15"/>
  <c r="AX288" i="15"/>
  <c r="AJ289" i="15"/>
  <c r="AK289" i="15"/>
  <c r="AL289" i="15"/>
  <c r="AN289" i="15"/>
  <c r="AT289" i="15"/>
  <c r="AU289" i="15"/>
  <c r="AV289" i="15"/>
  <c r="AX289" i="15"/>
  <c r="AJ290" i="15"/>
  <c r="AP290" i="15" s="1"/>
  <c r="AK290" i="15"/>
  <c r="AL290" i="15"/>
  <c r="AN290" i="15"/>
  <c r="AT290" i="15"/>
  <c r="AU290" i="15"/>
  <c r="AV290" i="15"/>
  <c r="AX290" i="15"/>
  <c r="AJ291" i="15"/>
  <c r="AO291" i="15" s="1"/>
  <c r="AK291" i="15"/>
  <c r="AL291" i="15"/>
  <c r="AN291" i="15"/>
  <c r="AT291" i="15"/>
  <c r="AU291" i="15"/>
  <c r="AV291" i="15"/>
  <c r="AX291" i="15"/>
  <c r="AJ292" i="15"/>
  <c r="AP292" i="15" s="1"/>
  <c r="AK292" i="15"/>
  <c r="AL292" i="15"/>
  <c r="AN292" i="15"/>
  <c r="AT292" i="15"/>
  <c r="AU292" i="15"/>
  <c r="AV292" i="15"/>
  <c r="AX292" i="15"/>
  <c r="AJ293" i="15"/>
  <c r="AK293" i="15"/>
  <c r="AL293" i="15"/>
  <c r="AN293" i="15"/>
  <c r="AT293" i="15"/>
  <c r="AU293" i="15"/>
  <c r="AV293" i="15"/>
  <c r="AX293" i="15"/>
  <c r="AJ294" i="15"/>
  <c r="AP294" i="15" s="1"/>
  <c r="AK294" i="15"/>
  <c r="AL294" i="15"/>
  <c r="AN294" i="15"/>
  <c r="AT294" i="15"/>
  <c r="AU294" i="15"/>
  <c r="AV294" i="15"/>
  <c r="AX294" i="15"/>
  <c r="AJ295" i="15"/>
  <c r="AK295" i="15"/>
  <c r="AL295" i="15"/>
  <c r="AN295" i="15"/>
  <c r="AT295" i="15"/>
  <c r="AU295" i="15"/>
  <c r="AV295" i="15"/>
  <c r="AX295" i="15"/>
  <c r="AJ296" i="15"/>
  <c r="AK296" i="15"/>
  <c r="AL296" i="15"/>
  <c r="AN296" i="15"/>
  <c r="AT296" i="15"/>
  <c r="AU296" i="15"/>
  <c r="AV296" i="15"/>
  <c r="AX296" i="15"/>
  <c r="AJ297" i="15"/>
  <c r="AZ297" i="15" s="1"/>
  <c r="AK297" i="15"/>
  <c r="AL297" i="15"/>
  <c r="AN297" i="15"/>
  <c r="AT297" i="15"/>
  <c r="AU297" i="15"/>
  <c r="AV297" i="15"/>
  <c r="AX297" i="15"/>
  <c r="AJ298" i="15"/>
  <c r="AK298" i="15"/>
  <c r="AL298" i="15"/>
  <c r="AN298" i="15"/>
  <c r="AT298" i="15"/>
  <c r="AU298" i="15"/>
  <c r="AV298" i="15"/>
  <c r="AX298" i="15"/>
  <c r="AJ299" i="15"/>
  <c r="AP299" i="15" s="1"/>
  <c r="AK299" i="15"/>
  <c r="AL299" i="15"/>
  <c r="AN299" i="15"/>
  <c r="AT299" i="15"/>
  <c r="AU299" i="15"/>
  <c r="AV299" i="15"/>
  <c r="AX299" i="15"/>
  <c r="AJ300" i="15"/>
  <c r="AZ300" i="15" s="1"/>
  <c r="AK300" i="15"/>
  <c r="AL300" i="15"/>
  <c r="AN300" i="15"/>
  <c r="AT300" i="15"/>
  <c r="AU300" i="15"/>
  <c r="AV300" i="15"/>
  <c r="AX300" i="15"/>
  <c r="AJ301" i="15"/>
  <c r="AZ301" i="15" s="1"/>
  <c r="AK301" i="15"/>
  <c r="AL301" i="15"/>
  <c r="AN301" i="15"/>
  <c r="AT301" i="15"/>
  <c r="AU301" i="15"/>
  <c r="AV301" i="15"/>
  <c r="AX301" i="15"/>
  <c r="AJ302" i="15"/>
  <c r="AQ302" i="15" s="1"/>
  <c r="AK302" i="15"/>
  <c r="AL302" i="15"/>
  <c r="AN302" i="15"/>
  <c r="AT302" i="15"/>
  <c r="AU302" i="15"/>
  <c r="AV302" i="15"/>
  <c r="AX302" i="15"/>
  <c r="AJ303" i="15"/>
  <c r="AK303" i="15"/>
  <c r="AL303" i="15"/>
  <c r="AN303" i="15"/>
  <c r="AT303" i="15"/>
  <c r="AU303" i="15"/>
  <c r="AV303" i="15"/>
  <c r="AX303" i="15"/>
  <c r="AJ304" i="15"/>
  <c r="AZ304" i="15" s="1"/>
  <c r="AK304" i="15"/>
  <c r="AL304" i="15"/>
  <c r="AN304" i="15"/>
  <c r="AT304" i="15"/>
  <c r="AU304" i="15"/>
  <c r="AV304" i="15"/>
  <c r="AX304" i="15"/>
  <c r="AJ305" i="15"/>
  <c r="AO305" i="15" s="1"/>
  <c r="AK305" i="15"/>
  <c r="AL305" i="15"/>
  <c r="AN305" i="15"/>
  <c r="AT305" i="15"/>
  <c r="AU305" i="15"/>
  <c r="AV305" i="15"/>
  <c r="AX305" i="15"/>
  <c r="AJ306" i="15"/>
  <c r="AP306" i="15" s="1"/>
  <c r="AK306" i="15"/>
  <c r="AL306" i="15"/>
  <c r="AN306" i="15"/>
  <c r="AT306" i="15"/>
  <c r="AU306" i="15"/>
  <c r="AV306" i="15"/>
  <c r="AX306" i="15"/>
  <c r="AJ307" i="15"/>
  <c r="AK307" i="15"/>
  <c r="AL307" i="15"/>
  <c r="AN307" i="15"/>
  <c r="AT307" i="15"/>
  <c r="AU307" i="15"/>
  <c r="AV307" i="15"/>
  <c r="AX307" i="15"/>
  <c r="AJ308" i="15"/>
  <c r="AZ308" i="15" s="1"/>
  <c r="AK308" i="15"/>
  <c r="AL308" i="15"/>
  <c r="AN308" i="15"/>
  <c r="AT308" i="15"/>
  <c r="AU308" i="15"/>
  <c r="AV308" i="15"/>
  <c r="AX308" i="15"/>
  <c r="AJ309" i="15"/>
  <c r="AK309" i="15"/>
  <c r="AL309" i="15"/>
  <c r="AN309" i="15"/>
  <c r="AT309" i="15"/>
  <c r="AU309" i="15"/>
  <c r="AV309" i="15"/>
  <c r="AX309" i="15"/>
  <c r="AJ310" i="15"/>
  <c r="AP310" i="15" s="1"/>
  <c r="AK310" i="15"/>
  <c r="AL310" i="15"/>
  <c r="AN310" i="15"/>
  <c r="AT310" i="15"/>
  <c r="AU310" i="15"/>
  <c r="AV310" i="15"/>
  <c r="AX310" i="15"/>
  <c r="AJ311" i="15"/>
  <c r="AK311" i="15"/>
  <c r="AL311" i="15"/>
  <c r="AN311" i="15"/>
  <c r="AT311" i="15"/>
  <c r="AU311" i="15"/>
  <c r="AV311" i="15"/>
  <c r="AX311" i="15"/>
  <c r="AJ312" i="15"/>
  <c r="AK312" i="15"/>
  <c r="AL312" i="15"/>
  <c r="AN312" i="15"/>
  <c r="AT312" i="15"/>
  <c r="AU312" i="15"/>
  <c r="AV312" i="15"/>
  <c r="AX312" i="15"/>
  <c r="AJ313" i="15"/>
  <c r="AK313" i="15"/>
  <c r="AL313" i="15"/>
  <c r="AN313" i="15"/>
  <c r="AT313" i="15"/>
  <c r="AU313" i="15"/>
  <c r="AV313" i="15"/>
  <c r="AX313" i="15"/>
  <c r="AJ314" i="15"/>
  <c r="AZ314" i="15" s="1"/>
  <c r="AK314" i="15"/>
  <c r="AL314" i="15"/>
  <c r="AN314" i="15"/>
  <c r="AT314" i="15"/>
  <c r="AU314" i="15"/>
  <c r="AV314" i="15"/>
  <c r="AX314" i="15"/>
  <c r="AJ315" i="15"/>
  <c r="AP315" i="15" s="1"/>
  <c r="AK315" i="15"/>
  <c r="AL315" i="15"/>
  <c r="AN315" i="15"/>
  <c r="AT315" i="15"/>
  <c r="AU315" i="15"/>
  <c r="AV315" i="15"/>
  <c r="AX315" i="15"/>
  <c r="AJ316" i="15"/>
  <c r="AK316" i="15"/>
  <c r="AL316" i="15"/>
  <c r="AN316" i="15"/>
  <c r="AT316" i="15"/>
  <c r="AU316" i="15"/>
  <c r="AV316" i="15"/>
  <c r="AX316" i="15"/>
  <c r="AJ317" i="15"/>
  <c r="AZ317" i="15" s="1"/>
  <c r="AK317" i="15"/>
  <c r="AL317" i="15"/>
  <c r="AN317" i="15"/>
  <c r="AT317" i="15"/>
  <c r="AU317" i="15"/>
  <c r="AV317" i="15"/>
  <c r="AX317" i="15"/>
  <c r="AJ318" i="15"/>
  <c r="AK318" i="15"/>
  <c r="AL318" i="15"/>
  <c r="AN318" i="15"/>
  <c r="AT318" i="15"/>
  <c r="AU318" i="15"/>
  <c r="AV318" i="15"/>
  <c r="AX318" i="15"/>
  <c r="AJ319" i="15"/>
  <c r="AQ319" i="15" s="1"/>
  <c r="AK319" i="15"/>
  <c r="AL319" i="15"/>
  <c r="AN319" i="15"/>
  <c r="AT319" i="15"/>
  <c r="AU319" i="15"/>
  <c r="AV319" i="15"/>
  <c r="AX319" i="15"/>
  <c r="AJ320" i="15"/>
  <c r="AK320" i="15"/>
  <c r="AL320" i="15"/>
  <c r="AN320" i="15"/>
  <c r="AT320" i="15"/>
  <c r="AU320" i="15"/>
  <c r="AV320" i="15"/>
  <c r="AX320" i="15"/>
  <c r="AJ321" i="15"/>
  <c r="AK321" i="15"/>
  <c r="AL321" i="15"/>
  <c r="AN321" i="15"/>
  <c r="AT321" i="15"/>
  <c r="AU321" i="15"/>
  <c r="AV321" i="15"/>
  <c r="AX321" i="15"/>
  <c r="AJ322" i="15"/>
  <c r="AZ322" i="15" s="1"/>
  <c r="AK322" i="15"/>
  <c r="AL322" i="15"/>
  <c r="AN322" i="15"/>
  <c r="AT322" i="15"/>
  <c r="AU322" i="15"/>
  <c r="AV322" i="15"/>
  <c r="AX322" i="15"/>
  <c r="AJ323" i="15"/>
  <c r="AS323" i="15" s="1"/>
  <c r="AK323" i="15"/>
  <c r="AL323" i="15"/>
  <c r="AN323" i="15"/>
  <c r="AT323" i="15"/>
  <c r="AU323" i="15"/>
  <c r="AV323" i="15"/>
  <c r="AX323" i="15"/>
  <c r="AJ324" i="15"/>
  <c r="AO324" i="15" s="1"/>
  <c r="AK324" i="15"/>
  <c r="AL324" i="15"/>
  <c r="AN324" i="15"/>
  <c r="AT324" i="15"/>
  <c r="AU324" i="15"/>
  <c r="AV324" i="15"/>
  <c r="AX324" i="15"/>
  <c r="AJ325" i="15"/>
  <c r="AK325" i="15"/>
  <c r="AL325" i="15"/>
  <c r="AN325" i="15"/>
  <c r="AT325" i="15"/>
  <c r="AU325" i="15"/>
  <c r="AV325" i="15"/>
  <c r="AX325" i="15"/>
  <c r="AJ326" i="15"/>
  <c r="AK326" i="15"/>
  <c r="AL326" i="15"/>
  <c r="AN326" i="15"/>
  <c r="AT326" i="15"/>
  <c r="AU326" i="15"/>
  <c r="AV326" i="15"/>
  <c r="AX326" i="15"/>
  <c r="AJ327" i="15"/>
  <c r="AZ327" i="15" s="1"/>
  <c r="AK327" i="15"/>
  <c r="AL327" i="15"/>
  <c r="AN327" i="15"/>
  <c r="AT327" i="15"/>
  <c r="AU327" i="15"/>
  <c r="AV327" i="15"/>
  <c r="AX327" i="15"/>
  <c r="AJ328" i="15"/>
  <c r="AK328" i="15"/>
  <c r="AL328" i="15"/>
  <c r="AN328" i="15"/>
  <c r="AT328" i="15"/>
  <c r="AU328" i="15"/>
  <c r="AV328" i="15"/>
  <c r="AX328" i="15"/>
  <c r="AJ329" i="15"/>
  <c r="AK329" i="15"/>
  <c r="AL329" i="15"/>
  <c r="AN329" i="15"/>
  <c r="AT329" i="15"/>
  <c r="AU329" i="15"/>
  <c r="AV329" i="15"/>
  <c r="AX329" i="15"/>
  <c r="AJ330" i="15"/>
  <c r="AS330" i="15" s="1"/>
  <c r="AK330" i="15"/>
  <c r="AL330" i="15"/>
  <c r="AN330" i="15"/>
  <c r="AT330" i="15"/>
  <c r="AU330" i="15"/>
  <c r="AV330" i="15"/>
  <c r="AX330" i="15"/>
  <c r="AJ331" i="15"/>
  <c r="AK331" i="15"/>
  <c r="AL331" i="15"/>
  <c r="AN331" i="15"/>
  <c r="AT331" i="15"/>
  <c r="AU331" i="15"/>
  <c r="AV331" i="15"/>
  <c r="AX331" i="15"/>
  <c r="AJ332" i="15"/>
  <c r="AO332" i="15" s="1"/>
  <c r="AK332" i="15"/>
  <c r="AL332" i="15"/>
  <c r="AN332" i="15"/>
  <c r="AT332" i="15"/>
  <c r="AU332" i="15"/>
  <c r="AV332" i="15"/>
  <c r="AX332" i="15"/>
  <c r="AJ333" i="15"/>
  <c r="AK333" i="15"/>
  <c r="AL333" i="15"/>
  <c r="AN333" i="15"/>
  <c r="AT333" i="15"/>
  <c r="AU333" i="15"/>
  <c r="AV333" i="15"/>
  <c r="AX333" i="15"/>
  <c r="AJ334" i="15"/>
  <c r="AO334" i="15" s="1"/>
  <c r="AK334" i="15"/>
  <c r="AL334" i="15"/>
  <c r="AN334" i="15"/>
  <c r="AT334" i="15"/>
  <c r="AU334" i="15"/>
  <c r="AV334" i="15"/>
  <c r="AX334" i="15"/>
  <c r="AJ335" i="15"/>
  <c r="AP335" i="15" s="1"/>
  <c r="AK335" i="15"/>
  <c r="AL335" i="15"/>
  <c r="AN335" i="15"/>
  <c r="AT335" i="15"/>
  <c r="AU335" i="15"/>
  <c r="AV335" i="15"/>
  <c r="AX335" i="15"/>
  <c r="AJ336" i="15"/>
  <c r="AO336" i="15" s="1"/>
  <c r="AK336" i="15"/>
  <c r="AL336" i="15"/>
  <c r="AN336" i="15"/>
  <c r="AT336" i="15"/>
  <c r="AU336" i="15"/>
  <c r="AV336" i="15"/>
  <c r="AX336" i="15"/>
  <c r="AJ337" i="15"/>
  <c r="AK337" i="15"/>
  <c r="AL337" i="15"/>
  <c r="AN337" i="15"/>
  <c r="AT337" i="15"/>
  <c r="AU337" i="15"/>
  <c r="AV337" i="15"/>
  <c r="AX337" i="15"/>
  <c r="AJ338" i="15"/>
  <c r="AO338" i="15" s="1"/>
  <c r="AK338" i="15"/>
  <c r="AL338" i="15"/>
  <c r="AN338" i="15"/>
  <c r="AT338" i="15"/>
  <c r="AU338" i="15"/>
  <c r="AV338" i="15"/>
  <c r="AX338" i="15"/>
  <c r="AJ339" i="15"/>
  <c r="AO339" i="15" s="1"/>
  <c r="AK339" i="15"/>
  <c r="AL339" i="15"/>
  <c r="AN339" i="15"/>
  <c r="AT339" i="15"/>
  <c r="AU339" i="15"/>
  <c r="AV339" i="15"/>
  <c r="AX339" i="15"/>
  <c r="AJ340" i="15"/>
  <c r="AO340" i="15" s="1"/>
  <c r="AK340" i="15"/>
  <c r="AL340" i="15"/>
  <c r="AN340" i="15"/>
  <c r="AT340" i="15"/>
  <c r="AU340" i="15"/>
  <c r="AV340" i="15"/>
  <c r="AX340" i="15"/>
  <c r="AJ341" i="15"/>
  <c r="AK341" i="15"/>
  <c r="AL341" i="15"/>
  <c r="AN341" i="15"/>
  <c r="AT341" i="15"/>
  <c r="AU341" i="15"/>
  <c r="AV341" i="15"/>
  <c r="AX341" i="15"/>
  <c r="AJ342" i="15"/>
  <c r="AK342" i="15"/>
  <c r="AL342" i="15"/>
  <c r="AN342" i="15"/>
  <c r="AT342" i="15"/>
  <c r="AU342" i="15"/>
  <c r="AV342" i="15"/>
  <c r="AX342" i="15"/>
  <c r="AJ343" i="15"/>
  <c r="AO343" i="15" s="1"/>
  <c r="AK343" i="15"/>
  <c r="AL343" i="15"/>
  <c r="AN343" i="15"/>
  <c r="AT343" i="15"/>
  <c r="AU343" i="15"/>
  <c r="AV343" i="15"/>
  <c r="AX343" i="15"/>
  <c r="AJ344" i="15"/>
  <c r="AZ344" i="15" s="1"/>
  <c r="AK344" i="15"/>
  <c r="AL344" i="15"/>
  <c r="AN344" i="15"/>
  <c r="AT344" i="15"/>
  <c r="AU344" i="15"/>
  <c r="AV344" i="15"/>
  <c r="AX344" i="15"/>
  <c r="AJ345" i="15"/>
  <c r="AK345" i="15"/>
  <c r="AL345" i="15"/>
  <c r="AN345" i="15"/>
  <c r="AT345" i="15"/>
  <c r="AU345" i="15"/>
  <c r="AV345" i="15"/>
  <c r="AX345" i="15"/>
  <c r="AJ346" i="15"/>
  <c r="AZ346" i="15" s="1"/>
  <c r="AK346" i="15"/>
  <c r="AL346" i="15"/>
  <c r="AN346" i="15"/>
  <c r="AT346" i="15"/>
  <c r="AU346" i="15"/>
  <c r="AV346" i="15"/>
  <c r="AX346" i="15"/>
  <c r="AJ347" i="15"/>
  <c r="AK347" i="15"/>
  <c r="AL347" i="15"/>
  <c r="AN347" i="15"/>
  <c r="AT347" i="15"/>
  <c r="AU347" i="15"/>
  <c r="AV347" i="15"/>
  <c r="AX347" i="15"/>
  <c r="AJ348" i="15"/>
  <c r="AK348" i="15"/>
  <c r="AL348" i="15"/>
  <c r="AN348" i="15"/>
  <c r="AT348" i="15"/>
  <c r="AU348" i="15"/>
  <c r="AV348" i="15"/>
  <c r="AX348" i="15"/>
  <c r="AJ349" i="15"/>
  <c r="AK349" i="15"/>
  <c r="AL349" i="15"/>
  <c r="AN349" i="15"/>
  <c r="AT349" i="15"/>
  <c r="AU349" i="15"/>
  <c r="AV349" i="15"/>
  <c r="AX349" i="15"/>
  <c r="AJ350" i="15"/>
  <c r="AS350" i="15" s="1"/>
  <c r="AK350" i="15"/>
  <c r="AL350" i="15"/>
  <c r="AN350" i="15"/>
  <c r="AT350" i="15"/>
  <c r="AU350" i="15"/>
  <c r="AV350" i="15"/>
  <c r="AX350" i="15"/>
  <c r="AJ351" i="15"/>
  <c r="AO351" i="15" s="1"/>
  <c r="AK351" i="15"/>
  <c r="AL351" i="15"/>
  <c r="AN351" i="15"/>
  <c r="AT351" i="15"/>
  <c r="AU351" i="15"/>
  <c r="AV351" i="15"/>
  <c r="AX351" i="15"/>
  <c r="AJ352" i="15"/>
  <c r="AP352" i="15" s="1"/>
  <c r="AK352" i="15"/>
  <c r="AL352" i="15"/>
  <c r="AN352" i="15"/>
  <c r="AT352" i="15"/>
  <c r="AU352" i="15"/>
  <c r="AV352" i="15"/>
  <c r="AX352" i="15"/>
  <c r="AJ353" i="15"/>
  <c r="AK353" i="15"/>
  <c r="AL353" i="15"/>
  <c r="AN353" i="15"/>
  <c r="AT353" i="15"/>
  <c r="AU353" i="15"/>
  <c r="AV353" i="15"/>
  <c r="AX353" i="15"/>
  <c r="AJ354" i="15"/>
  <c r="AZ354" i="15" s="1"/>
  <c r="AK354" i="15"/>
  <c r="AL354" i="15"/>
  <c r="AN354" i="15"/>
  <c r="AT354" i="15"/>
  <c r="AU354" i="15"/>
  <c r="AV354" i="15"/>
  <c r="AX354" i="15"/>
  <c r="AJ355" i="15"/>
  <c r="AZ355" i="15" s="1"/>
  <c r="AK355" i="15"/>
  <c r="AL355" i="15"/>
  <c r="AN355" i="15"/>
  <c r="AT355" i="15"/>
  <c r="AU355" i="15"/>
  <c r="AV355" i="15"/>
  <c r="AX355" i="15"/>
  <c r="AJ356" i="15"/>
  <c r="AK356" i="15"/>
  <c r="AL356" i="15"/>
  <c r="AN356" i="15"/>
  <c r="AT356" i="15"/>
  <c r="AU356" i="15"/>
  <c r="AV356" i="15"/>
  <c r="AX356" i="15"/>
  <c r="AJ357" i="15"/>
  <c r="AK357" i="15"/>
  <c r="AL357" i="15"/>
  <c r="AN357" i="15"/>
  <c r="AT357" i="15"/>
  <c r="AU357" i="15"/>
  <c r="AV357" i="15"/>
  <c r="AX357" i="15"/>
  <c r="AJ358" i="15"/>
  <c r="AO358" i="15" s="1"/>
  <c r="AK358" i="15"/>
  <c r="AL358" i="15"/>
  <c r="AN358" i="15"/>
  <c r="AT358" i="15"/>
  <c r="AU358" i="15"/>
  <c r="AV358" i="15"/>
  <c r="AX358" i="15"/>
  <c r="AJ359" i="15"/>
  <c r="AO359" i="15" s="1"/>
  <c r="AK359" i="15"/>
  <c r="AL359" i="15"/>
  <c r="AN359" i="15"/>
  <c r="AT359" i="15"/>
  <c r="AU359" i="15"/>
  <c r="AV359" i="15"/>
  <c r="AX359" i="15"/>
  <c r="AJ360" i="15"/>
  <c r="AK360" i="15"/>
  <c r="AL360" i="15"/>
  <c r="AN360" i="15"/>
  <c r="AT360" i="15"/>
  <c r="AU360" i="15"/>
  <c r="AV360" i="15"/>
  <c r="AX360" i="15"/>
  <c r="AJ361" i="15"/>
  <c r="AK361" i="15"/>
  <c r="AL361" i="15"/>
  <c r="AN361" i="15"/>
  <c r="AT361" i="15"/>
  <c r="AU361" i="15"/>
  <c r="AV361" i="15"/>
  <c r="AX361" i="15"/>
  <c r="AJ362" i="15"/>
  <c r="AZ362" i="15" s="1"/>
  <c r="AK362" i="15"/>
  <c r="AL362" i="15"/>
  <c r="AN362" i="15"/>
  <c r="AT362" i="15"/>
  <c r="AU362" i="15"/>
  <c r="AV362" i="15"/>
  <c r="AX362" i="15"/>
  <c r="AJ363" i="15"/>
  <c r="AQ363" i="15" s="1"/>
  <c r="AK363" i="15"/>
  <c r="AL363" i="15"/>
  <c r="AN363" i="15"/>
  <c r="AT363" i="15"/>
  <c r="AU363" i="15"/>
  <c r="AV363" i="15"/>
  <c r="AX363" i="15"/>
  <c r="AJ364" i="15"/>
  <c r="AK364" i="15"/>
  <c r="AL364" i="15"/>
  <c r="AN364" i="15"/>
  <c r="AT364" i="15"/>
  <c r="AU364" i="15"/>
  <c r="AV364" i="15"/>
  <c r="AX364" i="15"/>
  <c r="AJ365" i="15"/>
  <c r="AK365" i="15"/>
  <c r="AL365" i="15"/>
  <c r="AN365" i="15"/>
  <c r="AT365" i="15"/>
  <c r="AU365" i="15"/>
  <c r="AV365" i="15"/>
  <c r="AX365" i="15"/>
  <c r="AJ366" i="15"/>
  <c r="AO366" i="15" s="1"/>
  <c r="AK366" i="15"/>
  <c r="AL366" i="15"/>
  <c r="AN366" i="15"/>
  <c r="AT366" i="15"/>
  <c r="AU366" i="15"/>
  <c r="AV366" i="15"/>
  <c r="AX366" i="15"/>
  <c r="AJ367" i="15"/>
  <c r="AS367" i="15" s="1"/>
  <c r="AK367" i="15"/>
  <c r="AL367" i="15"/>
  <c r="AN367" i="15"/>
  <c r="AT367" i="15"/>
  <c r="AU367" i="15"/>
  <c r="AV367" i="15"/>
  <c r="AX367" i="15"/>
  <c r="AJ368" i="15"/>
  <c r="AO368" i="15" s="1"/>
  <c r="AK368" i="15"/>
  <c r="AL368" i="15"/>
  <c r="AN368" i="15"/>
  <c r="AT368" i="15"/>
  <c r="AU368" i="15"/>
  <c r="AV368" i="15"/>
  <c r="AX368" i="15"/>
  <c r="AJ369" i="15"/>
  <c r="AK369" i="15"/>
  <c r="AL369" i="15"/>
  <c r="AN369" i="15"/>
  <c r="AT369" i="15"/>
  <c r="AU369" i="15"/>
  <c r="AV369" i="15"/>
  <c r="AX369" i="15"/>
  <c r="AJ370" i="15"/>
  <c r="AK370" i="15"/>
  <c r="AL370" i="15"/>
  <c r="AN370" i="15"/>
  <c r="AT370" i="15"/>
  <c r="AU370" i="15"/>
  <c r="AV370" i="15"/>
  <c r="AX370" i="15"/>
  <c r="AJ371" i="15"/>
  <c r="AQ371" i="15" s="1"/>
  <c r="AK371" i="15"/>
  <c r="AL371" i="15"/>
  <c r="AN371" i="15"/>
  <c r="AT371" i="15"/>
  <c r="AU371" i="15"/>
  <c r="AV371" i="15"/>
  <c r="AX371" i="15"/>
  <c r="AJ372" i="15"/>
  <c r="AS372" i="15" s="1"/>
  <c r="AK372" i="15"/>
  <c r="AL372" i="15"/>
  <c r="AN372" i="15"/>
  <c r="AT372" i="15"/>
  <c r="AU372" i="15"/>
  <c r="AV372" i="15"/>
  <c r="AX372" i="15"/>
  <c r="AJ373" i="15"/>
  <c r="AK373" i="15"/>
  <c r="AL373" i="15"/>
  <c r="AN373" i="15"/>
  <c r="AT373" i="15"/>
  <c r="AU373" i="15"/>
  <c r="AV373" i="15"/>
  <c r="AX373" i="15"/>
  <c r="AJ374" i="15"/>
  <c r="AS374" i="15" s="1"/>
  <c r="AK374" i="15"/>
  <c r="AL374" i="15"/>
  <c r="AN374" i="15"/>
  <c r="AT374" i="15"/>
  <c r="AU374" i="15"/>
  <c r="AV374" i="15"/>
  <c r="AX374" i="15"/>
  <c r="AJ375" i="15"/>
  <c r="AQ375" i="15" s="1"/>
  <c r="AK375" i="15"/>
  <c r="AL375" i="15"/>
  <c r="AN375" i="15"/>
  <c r="AT375" i="15"/>
  <c r="AU375" i="15"/>
  <c r="AV375" i="15"/>
  <c r="AX375" i="15"/>
  <c r="AJ376" i="15"/>
  <c r="AO376" i="15" s="1"/>
  <c r="AK376" i="15"/>
  <c r="AL376" i="15"/>
  <c r="AN376" i="15"/>
  <c r="AT376" i="15"/>
  <c r="AU376" i="15"/>
  <c r="AV376" i="15"/>
  <c r="AX376" i="15"/>
  <c r="AJ377" i="15"/>
  <c r="AK377" i="15"/>
  <c r="AL377" i="15"/>
  <c r="AN377" i="15"/>
  <c r="AT377" i="15"/>
  <c r="AU377" i="15"/>
  <c r="AV377" i="15"/>
  <c r="AX377" i="15"/>
  <c r="AJ378" i="15"/>
  <c r="AP378" i="15" s="1"/>
  <c r="AK378" i="15"/>
  <c r="AL378" i="15"/>
  <c r="AN378" i="15"/>
  <c r="AT378" i="15"/>
  <c r="AU378" i="15"/>
  <c r="AV378" i="15"/>
  <c r="AX378" i="15"/>
  <c r="AJ379" i="15"/>
  <c r="AK379" i="15"/>
  <c r="AL379" i="15"/>
  <c r="AN379" i="15"/>
  <c r="AT379" i="15"/>
  <c r="AU379" i="15"/>
  <c r="AV379" i="15"/>
  <c r="AX379" i="15"/>
  <c r="AJ380" i="15"/>
  <c r="AP380" i="15" s="1"/>
  <c r="AK380" i="15"/>
  <c r="AL380" i="15"/>
  <c r="AN380" i="15"/>
  <c r="AT380" i="15"/>
  <c r="AU380" i="15"/>
  <c r="AV380" i="15"/>
  <c r="AX380" i="15"/>
  <c r="AJ381" i="15"/>
  <c r="AK381" i="15"/>
  <c r="AL381" i="15"/>
  <c r="AN381" i="15"/>
  <c r="AT381" i="15"/>
  <c r="AU381" i="15"/>
  <c r="AV381" i="15"/>
  <c r="AX381" i="15"/>
  <c r="AJ382" i="15"/>
  <c r="AZ382" i="15" s="1"/>
  <c r="AK382" i="15"/>
  <c r="AL382" i="15"/>
  <c r="AN382" i="15"/>
  <c r="AT382" i="15"/>
  <c r="AU382" i="15"/>
  <c r="AV382" i="15"/>
  <c r="AX382" i="15"/>
  <c r="AJ383" i="15"/>
  <c r="AZ383" i="15" s="1"/>
  <c r="AK383" i="15"/>
  <c r="AL383" i="15"/>
  <c r="AN383" i="15"/>
  <c r="AT383" i="15"/>
  <c r="AU383" i="15"/>
  <c r="AV383" i="15"/>
  <c r="AX383" i="15"/>
  <c r="AJ384" i="15"/>
  <c r="AO384" i="15" s="1"/>
  <c r="AK384" i="15"/>
  <c r="AL384" i="15"/>
  <c r="AN384" i="15"/>
  <c r="AT384" i="15"/>
  <c r="AU384" i="15"/>
  <c r="AV384" i="15"/>
  <c r="AX384" i="15"/>
  <c r="AJ385" i="15"/>
  <c r="AK385" i="15"/>
  <c r="AL385" i="15"/>
  <c r="AN385" i="15"/>
  <c r="AT385" i="15"/>
  <c r="AU385" i="15"/>
  <c r="AV385" i="15"/>
  <c r="AX385" i="15"/>
  <c r="AJ386" i="15"/>
  <c r="AK386" i="15"/>
  <c r="AL386" i="15"/>
  <c r="AN386" i="15"/>
  <c r="AT386" i="15"/>
  <c r="AU386" i="15"/>
  <c r="AV386" i="15"/>
  <c r="AX386" i="15"/>
  <c r="AJ387" i="15"/>
  <c r="AK387" i="15"/>
  <c r="AL387" i="15"/>
  <c r="AN387" i="15"/>
  <c r="AT387" i="15"/>
  <c r="AU387" i="15"/>
  <c r="AV387" i="15"/>
  <c r="AX387" i="15"/>
  <c r="AJ388" i="15"/>
  <c r="AK388" i="15"/>
  <c r="AL388" i="15"/>
  <c r="AN388" i="15"/>
  <c r="AT388" i="15"/>
  <c r="AU388" i="15"/>
  <c r="AV388" i="15"/>
  <c r="AX388" i="15"/>
  <c r="AJ389" i="15"/>
  <c r="AK389" i="15"/>
  <c r="AL389" i="15"/>
  <c r="AN389" i="15"/>
  <c r="AT389" i="15"/>
  <c r="AU389" i="15"/>
  <c r="AV389" i="15"/>
  <c r="AX389" i="15"/>
  <c r="AJ390" i="15"/>
  <c r="AK390" i="15"/>
  <c r="AL390" i="15"/>
  <c r="AN390" i="15"/>
  <c r="AT390" i="15"/>
  <c r="AU390" i="15"/>
  <c r="AV390" i="15"/>
  <c r="AX390" i="15"/>
  <c r="AJ391" i="15"/>
  <c r="AP391" i="15" s="1"/>
  <c r="AK391" i="15"/>
  <c r="AL391" i="15"/>
  <c r="AN391" i="15"/>
  <c r="AT391" i="15"/>
  <c r="AU391" i="15"/>
  <c r="AV391" i="15"/>
  <c r="AX391" i="15"/>
  <c r="AJ392" i="15"/>
  <c r="AS392" i="15" s="1"/>
  <c r="AK392" i="15"/>
  <c r="AL392" i="15"/>
  <c r="AN392" i="15"/>
  <c r="AT392" i="15"/>
  <c r="AU392" i="15"/>
  <c r="AV392" i="15"/>
  <c r="AX392" i="15"/>
  <c r="AJ393" i="15"/>
  <c r="AZ393" i="15" s="1"/>
  <c r="AK393" i="15"/>
  <c r="AL393" i="15"/>
  <c r="AN393" i="15"/>
  <c r="AT393" i="15"/>
  <c r="AU393" i="15"/>
  <c r="AV393" i="15"/>
  <c r="AX393" i="15"/>
  <c r="AJ394" i="15"/>
  <c r="AK394" i="15"/>
  <c r="AL394" i="15"/>
  <c r="AN394" i="15"/>
  <c r="AT394" i="15"/>
  <c r="AU394" i="15"/>
  <c r="AV394" i="15"/>
  <c r="AX394" i="15"/>
  <c r="AJ395" i="15"/>
  <c r="AO395" i="15" s="1"/>
  <c r="AK395" i="15"/>
  <c r="AL395" i="15"/>
  <c r="AN395" i="15"/>
  <c r="AT395" i="15"/>
  <c r="AU395" i="15"/>
  <c r="AV395" i="15"/>
  <c r="AX395" i="15"/>
  <c r="AJ396" i="15"/>
  <c r="AK396" i="15"/>
  <c r="AL396" i="15"/>
  <c r="AN396" i="15"/>
  <c r="AT396" i="15"/>
  <c r="AU396" i="15"/>
  <c r="AV396" i="15"/>
  <c r="AX396" i="15"/>
  <c r="AJ397" i="15"/>
  <c r="AO397" i="15" s="1"/>
  <c r="AK397" i="15"/>
  <c r="AL397" i="15"/>
  <c r="AN397" i="15"/>
  <c r="AT397" i="15"/>
  <c r="AU397" i="15"/>
  <c r="AV397" i="15"/>
  <c r="AX397" i="15"/>
  <c r="AJ398" i="15"/>
  <c r="AO398" i="15" s="1"/>
  <c r="AK398" i="15"/>
  <c r="AL398" i="15"/>
  <c r="AN398" i="15"/>
  <c r="AT398" i="15"/>
  <c r="AU398" i="15"/>
  <c r="AV398" i="15"/>
  <c r="AX398" i="15"/>
  <c r="AJ399" i="15"/>
  <c r="AZ399" i="15" s="1"/>
  <c r="AK399" i="15"/>
  <c r="AL399" i="15"/>
  <c r="AN399" i="15"/>
  <c r="AT399" i="15"/>
  <c r="AU399" i="15"/>
  <c r="AV399" i="15"/>
  <c r="AX399" i="15"/>
  <c r="AJ400" i="15"/>
  <c r="AK400" i="15"/>
  <c r="AL400" i="15"/>
  <c r="AN400" i="15"/>
  <c r="AT400" i="15"/>
  <c r="AU400" i="15"/>
  <c r="AV400" i="15"/>
  <c r="AX400" i="15"/>
  <c r="AJ401" i="15"/>
  <c r="AO401" i="15" s="1"/>
  <c r="AK401" i="15"/>
  <c r="AL401" i="15"/>
  <c r="AN401" i="15"/>
  <c r="AT401" i="15"/>
  <c r="AU401" i="15"/>
  <c r="AV401" i="15"/>
  <c r="AX401" i="15"/>
  <c r="AJ402" i="15"/>
  <c r="AK402" i="15"/>
  <c r="AL402" i="15"/>
  <c r="AN402" i="15"/>
  <c r="AT402" i="15"/>
  <c r="AU402" i="15"/>
  <c r="AV402" i="15"/>
  <c r="AX402" i="15"/>
  <c r="AJ403" i="15"/>
  <c r="AO403" i="15" s="1"/>
  <c r="AK403" i="15"/>
  <c r="AL403" i="15"/>
  <c r="AN403" i="15"/>
  <c r="AT403" i="15"/>
  <c r="AU403" i="15"/>
  <c r="AV403" i="15"/>
  <c r="AX403" i="15"/>
  <c r="AJ404" i="15"/>
  <c r="AP404" i="15" s="1"/>
  <c r="AK404" i="15"/>
  <c r="AL404" i="15"/>
  <c r="AN404" i="15"/>
  <c r="AT404" i="15"/>
  <c r="AU404" i="15"/>
  <c r="AV404" i="15"/>
  <c r="AX404" i="15"/>
  <c r="AJ405" i="15"/>
  <c r="AK405" i="15"/>
  <c r="AL405" i="15"/>
  <c r="AN405" i="15"/>
  <c r="AT405" i="15"/>
  <c r="AU405" i="15"/>
  <c r="AV405" i="15"/>
  <c r="AX405" i="15"/>
  <c r="AJ406" i="15"/>
  <c r="AK406" i="15"/>
  <c r="AL406" i="15"/>
  <c r="AN406" i="15"/>
  <c r="AT406" i="15"/>
  <c r="AU406" i="15"/>
  <c r="AV406" i="15"/>
  <c r="AX406" i="15"/>
  <c r="AJ407" i="15"/>
  <c r="AS407" i="15" s="1"/>
  <c r="AK407" i="15"/>
  <c r="AL407" i="15"/>
  <c r="AN407" i="15"/>
  <c r="AT407" i="15"/>
  <c r="AU407" i="15"/>
  <c r="AV407" i="15"/>
  <c r="AX407" i="15"/>
  <c r="AJ408" i="15"/>
  <c r="AP408" i="15" s="1"/>
  <c r="AK408" i="15"/>
  <c r="AL408" i="15"/>
  <c r="AN408" i="15"/>
  <c r="AT408" i="15"/>
  <c r="AU408" i="15"/>
  <c r="AV408" i="15"/>
  <c r="AX408" i="15"/>
  <c r="AJ409" i="15"/>
  <c r="AO409" i="15" s="1"/>
  <c r="AK409" i="15"/>
  <c r="AL409" i="15"/>
  <c r="AN409" i="15"/>
  <c r="AT409" i="15"/>
  <c r="AU409" i="15"/>
  <c r="AV409" i="15"/>
  <c r="AX409" i="15"/>
  <c r="AJ410" i="15"/>
  <c r="AK410" i="15"/>
  <c r="AL410" i="15"/>
  <c r="AN410" i="15"/>
  <c r="AT410" i="15"/>
  <c r="AU410" i="15"/>
  <c r="AV410" i="15"/>
  <c r="AX410" i="15"/>
  <c r="AJ411" i="15"/>
  <c r="AO411" i="15" s="1"/>
  <c r="AK411" i="15"/>
  <c r="AL411" i="15"/>
  <c r="AN411" i="15"/>
  <c r="AT411" i="15"/>
  <c r="AU411" i="15"/>
  <c r="AV411" i="15"/>
  <c r="AX411" i="15"/>
  <c r="AJ412" i="15"/>
  <c r="AP412" i="15" s="1"/>
  <c r="AK412" i="15"/>
  <c r="AL412" i="15"/>
  <c r="AN412" i="15"/>
  <c r="AT412" i="15"/>
  <c r="AU412" i="15"/>
  <c r="AV412" i="15"/>
  <c r="AX412" i="15"/>
  <c r="AJ413" i="15"/>
  <c r="AK413" i="15"/>
  <c r="AL413" i="15"/>
  <c r="AN413" i="15"/>
  <c r="AT413" i="15"/>
  <c r="AU413" i="15"/>
  <c r="AV413" i="15"/>
  <c r="AX413" i="15"/>
  <c r="AJ414" i="15"/>
  <c r="AO414" i="15" s="1"/>
  <c r="AK414" i="15"/>
  <c r="AL414" i="15"/>
  <c r="AN414" i="15"/>
  <c r="AT414" i="15"/>
  <c r="AU414" i="15"/>
  <c r="AV414" i="15"/>
  <c r="AX414" i="15"/>
  <c r="AJ415" i="15"/>
  <c r="AK415" i="15"/>
  <c r="AL415" i="15"/>
  <c r="AN415" i="15"/>
  <c r="AT415" i="15"/>
  <c r="AU415" i="15"/>
  <c r="AV415" i="15"/>
  <c r="AX415" i="15"/>
  <c r="AJ416" i="15"/>
  <c r="AK416" i="15"/>
  <c r="AL416" i="15"/>
  <c r="AN416" i="15"/>
  <c r="AT416" i="15"/>
  <c r="AU416" i="15"/>
  <c r="AV416" i="15"/>
  <c r="AX416" i="15"/>
  <c r="AJ417" i="15"/>
  <c r="AK417" i="15"/>
  <c r="AL417" i="15"/>
  <c r="AN417" i="15"/>
  <c r="AT417" i="15"/>
  <c r="AU417" i="15"/>
  <c r="AV417" i="15"/>
  <c r="AX417" i="15"/>
  <c r="AJ418" i="15"/>
  <c r="AZ418" i="15" s="1"/>
  <c r="AK418" i="15"/>
  <c r="AL418" i="15"/>
  <c r="AN418" i="15"/>
  <c r="AT418" i="15"/>
  <c r="AU418" i="15"/>
  <c r="AV418" i="15"/>
  <c r="AX418" i="15"/>
  <c r="AJ419" i="15"/>
  <c r="AO419" i="15" s="1"/>
  <c r="AK419" i="15"/>
  <c r="AL419" i="15"/>
  <c r="AN419" i="15"/>
  <c r="AT419" i="15"/>
  <c r="AU419" i="15"/>
  <c r="AV419" i="15"/>
  <c r="AX419" i="15"/>
  <c r="AJ420" i="15"/>
  <c r="AP420" i="15" s="1"/>
  <c r="AK420" i="15"/>
  <c r="AL420" i="15"/>
  <c r="AN420" i="15"/>
  <c r="AT420" i="15"/>
  <c r="AU420" i="15"/>
  <c r="AV420" i="15"/>
  <c r="AX420" i="15"/>
  <c r="AJ421" i="15"/>
  <c r="AK421" i="15"/>
  <c r="AL421" i="15"/>
  <c r="AN421" i="15"/>
  <c r="AT421" i="15"/>
  <c r="AU421" i="15"/>
  <c r="AV421" i="15"/>
  <c r="AX421" i="15"/>
  <c r="AJ422" i="15"/>
  <c r="AS422" i="15" s="1"/>
  <c r="AK422" i="15"/>
  <c r="AL422" i="15"/>
  <c r="AN422" i="15"/>
  <c r="AT422" i="15"/>
  <c r="AU422" i="15"/>
  <c r="AV422" i="15"/>
  <c r="AX422" i="15"/>
  <c r="AJ423" i="15"/>
  <c r="AO423" i="15" s="1"/>
  <c r="AK423" i="15"/>
  <c r="AL423" i="15"/>
  <c r="AN423" i="15"/>
  <c r="AT423" i="15"/>
  <c r="AU423" i="15"/>
  <c r="AV423" i="15"/>
  <c r="AX423" i="15"/>
  <c r="AJ424" i="15"/>
  <c r="AP424" i="15" s="1"/>
  <c r="AK424" i="15"/>
  <c r="AL424" i="15"/>
  <c r="AN424" i="15"/>
  <c r="AT424" i="15"/>
  <c r="AU424" i="15"/>
  <c r="AV424" i="15"/>
  <c r="AX424" i="15"/>
  <c r="AJ425" i="15"/>
  <c r="AK425" i="15"/>
  <c r="AL425" i="15"/>
  <c r="AN425" i="15"/>
  <c r="AT425" i="15"/>
  <c r="AU425" i="15"/>
  <c r="AV425" i="15"/>
  <c r="AX425" i="15"/>
  <c r="AJ426" i="15"/>
  <c r="AO426" i="15" s="1"/>
  <c r="AK426" i="15"/>
  <c r="AL426" i="15"/>
  <c r="AN426" i="15"/>
  <c r="AT426" i="15"/>
  <c r="AU426" i="15"/>
  <c r="AV426" i="15"/>
  <c r="AX426" i="15"/>
  <c r="AJ427" i="15"/>
  <c r="AK427" i="15"/>
  <c r="AL427" i="15"/>
  <c r="AN427" i="15"/>
  <c r="AT427" i="15"/>
  <c r="AU427" i="15"/>
  <c r="AV427" i="15"/>
  <c r="AX427" i="15"/>
  <c r="AJ428" i="15"/>
  <c r="AO428" i="15" s="1"/>
  <c r="AK428" i="15"/>
  <c r="AL428" i="15"/>
  <c r="AN428" i="15"/>
  <c r="AT428" i="15"/>
  <c r="AU428" i="15"/>
  <c r="AV428" i="15"/>
  <c r="AX428" i="15"/>
  <c r="AJ429" i="15"/>
  <c r="AP429" i="15" s="1"/>
  <c r="AK429" i="15"/>
  <c r="AL429" i="15"/>
  <c r="AN429" i="15"/>
  <c r="AT429" i="15"/>
  <c r="AU429" i="15"/>
  <c r="AV429" i="15"/>
  <c r="AX429" i="15"/>
  <c r="AJ430" i="15"/>
  <c r="AO430" i="15" s="1"/>
  <c r="AK430" i="15"/>
  <c r="AL430" i="15"/>
  <c r="AN430" i="15"/>
  <c r="AT430" i="15"/>
  <c r="AU430" i="15"/>
  <c r="AV430" i="15"/>
  <c r="AX430" i="15"/>
  <c r="AJ431" i="15"/>
  <c r="AO431" i="15" s="1"/>
  <c r="AK431" i="15"/>
  <c r="AL431" i="15"/>
  <c r="AN431" i="15"/>
  <c r="AT431" i="15"/>
  <c r="AU431" i="15"/>
  <c r="AV431" i="15"/>
  <c r="AX431" i="15"/>
  <c r="AJ432" i="15"/>
  <c r="AP432" i="15" s="1"/>
  <c r="AK432" i="15"/>
  <c r="AL432" i="15"/>
  <c r="AN432" i="15"/>
  <c r="AT432" i="15"/>
  <c r="AU432" i="15"/>
  <c r="AV432" i="15"/>
  <c r="AX432" i="15"/>
  <c r="AJ433" i="15"/>
  <c r="AP433" i="15" s="1"/>
  <c r="AK433" i="15"/>
  <c r="AL433" i="15"/>
  <c r="AN433" i="15"/>
  <c r="AT433" i="15"/>
  <c r="AU433" i="15"/>
  <c r="AV433" i="15"/>
  <c r="AX433" i="15"/>
  <c r="AJ434" i="15"/>
  <c r="AK434" i="15"/>
  <c r="AL434" i="15"/>
  <c r="AN434" i="15"/>
  <c r="AT434" i="15"/>
  <c r="AU434" i="15"/>
  <c r="AV434" i="15"/>
  <c r="AX434" i="15"/>
  <c r="AJ435" i="15"/>
  <c r="AO435" i="15" s="1"/>
  <c r="AK435" i="15"/>
  <c r="AL435" i="15"/>
  <c r="AN435" i="15"/>
  <c r="AT435" i="15"/>
  <c r="AU435" i="15"/>
  <c r="AV435" i="15"/>
  <c r="AX435" i="15"/>
  <c r="AJ436" i="15"/>
  <c r="AK436" i="15"/>
  <c r="AL436" i="15"/>
  <c r="AN436" i="15"/>
  <c r="AT436" i="15"/>
  <c r="AU436" i="15"/>
  <c r="AV436" i="15"/>
  <c r="AX436" i="15"/>
  <c r="AJ437" i="15"/>
  <c r="AK437" i="15"/>
  <c r="AL437" i="15"/>
  <c r="AN437" i="15"/>
  <c r="AT437" i="15"/>
  <c r="AU437" i="15"/>
  <c r="AV437" i="15"/>
  <c r="AX437" i="15"/>
  <c r="AJ438" i="15"/>
  <c r="AO438" i="15" s="1"/>
  <c r="AK438" i="15"/>
  <c r="AL438" i="15"/>
  <c r="AN438" i="15"/>
  <c r="AT438" i="15"/>
  <c r="AU438" i="15"/>
  <c r="AV438" i="15"/>
  <c r="AX438" i="15"/>
  <c r="AJ439" i="15"/>
  <c r="AO439" i="15" s="1"/>
  <c r="AK439" i="15"/>
  <c r="AL439" i="15"/>
  <c r="AN439" i="15"/>
  <c r="AT439" i="15"/>
  <c r="AU439" i="15"/>
  <c r="AV439" i="15"/>
  <c r="AX439" i="15"/>
  <c r="AJ440" i="15"/>
  <c r="AP440" i="15" s="1"/>
  <c r="AK440" i="15"/>
  <c r="AL440" i="15"/>
  <c r="AN440" i="15"/>
  <c r="AT440" i="15"/>
  <c r="AU440" i="15"/>
  <c r="AV440" i="15"/>
  <c r="AX440" i="15"/>
  <c r="AJ441" i="15"/>
  <c r="AK441" i="15"/>
  <c r="AL441" i="15"/>
  <c r="AN441" i="15"/>
  <c r="AT441" i="15"/>
  <c r="AU441" i="15"/>
  <c r="AV441" i="15"/>
  <c r="AX441" i="15"/>
  <c r="AJ442" i="15"/>
  <c r="AQ442" i="15" s="1"/>
  <c r="AK442" i="15"/>
  <c r="AL442" i="15"/>
  <c r="AN442" i="15"/>
  <c r="AT442" i="15"/>
  <c r="AU442" i="15"/>
  <c r="AV442" i="15"/>
  <c r="AX442" i="15"/>
  <c r="AJ443" i="15"/>
  <c r="AK443" i="15"/>
  <c r="AL443" i="15"/>
  <c r="AN443" i="15"/>
  <c r="AT443" i="15"/>
  <c r="AU443" i="15"/>
  <c r="AV443" i="15"/>
  <c r="AX443" i="15"/>
  <c r="AJ444" i="15"/>
  <c r="AK444" i="15"/>
  <c r="AL444" i="15"/>
  <c r="AN444" i="15"/>
  <c r="AT444" i="15"/>
  <c r="AU444" i="15"/>
  <c r="AV444" i="15"/>
  <c r="AX444" i="15"/>
  <c r="AJ445" i="15"/>
  <c r="AK445" i="15"/>
  <c r="AL445" i="15"/>
  <c r="AN445" i="15"/>
  <c r="AT445" i="15"/>
  <c r="AU445" i="15"/>
  <c r="AV445" i="15"/>
  <c r="AX445" i="15"/>
  <c r="AJ446" i="15"/>
  <c r="AZ446" i="15" s="1"/>
  <c r="AK446" i="15"/>
  <c r="AL446" i="15"/>
  <c r="AN446" i="15"/>
  <c r="AT446" i="15"/>
  <c r="AU446" i="15"/>
  <c r="AV446" i="15"/>
  <c r="AX446" i="15"/>
  <c r="AJ447" i="15"/>
  <c r="AK447" i="15"/>
  <c r="AL447" i="15"/>
  <c r="AN447" i="15"/>
  <c r="AT447" i="15"/>
  <c r="AU447" i="15"/>
  <c r="AV447" i="15"/>
  <c r="AX447" i="15"/>
  <c r="AJ448" i="15"/>
  <c r="AK448" i="15"/>
  <c r="AL448" i="15"/>
  <c r="AN448" i="15"/>
  <c r="AT448" i="15"/>
  <c r="AU448" i="15"/>
  <c r="AV448" i="15"/>
  <c r="AX448" i="15"/>
  <c r="AJ449" i="15"/>
  <c r="AP449" i="15" s="1"/>
  <c r="AK449" i="15"/>
  <c r="AL449" i="15"/>
  <c r="AN449" i="15"/>
  <c r="AT449" i="15"/>
  <c r="AU449" i="15"/>
  <c r="AV449" i="15"/>
  <c r="AX449" i="15"/>
  <c r="AJ450" i="15"/>
  <c r="AK450" i="15"/>
  <c r="AL450" i="15"/>
  <c r="AN450" i="15"/>
  <c r="AT450" i="15"/>
  <c r="AU450" i="15"/>
  <c r="AV450" i="15"/>
  <c r="AX450" i="15"/>
  <c r="AJ451" i="15"/>
  <c r="AZ451" i="15" s="1"/>
  <c r="AK451" i="15"/>
  <c r="AL451" i="15"/>
  <c r="AN451" i="15"/>
  <c r="AT451" i="15"/>
  <c r="AU451" i="15"/>
  <c r="AV451" i="15"/>
  <c r="AX451" i="15"/>
  <c r="AJ452" i="15"/>
  <c r="AK452" i="15"/>
  <c r="AL452" i="15"/>
  <c r="AN452" i="15"/>
  <c r="AT452" i="15"/>
  <c r="AU452" i="15"/>
  <c r="AV452" i="15"/>
  <c r="AX452" i="15"/>
  <c r="AJ453" i="15"/>
  <c r="AQ453" i="15" s="1"/>
  <c r="AK453" i="15"/>
  <c r="AL453" i="15"/>
  <c r="AN453" i="15"/>
  <c r="AT453" i="15"/>
  <c r="AU453" i="15"/>
  <c r="AV453" i="15"/>
  <c r="AX453" i="15"/>
  <c r="AJ454" i="15"/>
  <c r="AO454" i="15" s="1"/>
  <c r="AK454" i="15"/>
  <c r="AL454" i="15"/>
  <c r="AN454" i="15"/>
  <c r="AT454" i="15"/>
  <c r="AU454" i="15"/>
  <c r="AV454" i="15"/>
  <c r="AX454" i="15"/>
  <c r="AJ455" i="15"/>
  <c r="AO455" i="15" s="1"/>
  <c r="AK455" i="15"/>
  <c r="AL455" i="15"/>
  <c r="AN455" i="15"/>
  <c r="AT455" i="15"/>
  <c r="AU455" i="15"/>
  <c r="AV455" i="15"/>
  <c r="AX455" i="15"/>
  <c r="AJ456" i="15"/>
  <c r="AS456" i="15" s="1"/>
  <c r="AK456" i="15"/>
  <c r="AL456" i="15"/>
  <c r="AN456" i="15"/>
  <c r="AT456" i="15"/>
  <c r="AU456" i="15"/>
  <c r="AV456" i="15"/>
  <c r="AX456" i="15"/>
  <c r="AJ457" i="15"/>
  <c r="AK457" i="15"/>
  <c r="AL457" i="15"/>
  <c r="AN457" i="15"/>
  <c r="AT457" i="15"/>
  <c r="AU457" i="15"/>
  <c r="AV457" i="15"/>
  <c r="AX457" i="15"/>
  <c r="AJ458" i="15"/>
  <c r="AZ458" i="15" s="1"/>
  <c r="AK458" i="15"/>
  <c r="AL458" i="15"/>
  <c r="AN458" i="15"/>
  <c r="AT458" i="15"/>
  <c r="AU458" i="15"/>
  <c r="AV458" i="15"/>
  <c r="AX458" i="15"/>
  <c r="AJ459" i="15"/>
  <c r="AZ459" i="15" s="1"/>
  <c r="AK459" i="15"/>
  <c r="AL459" i="15"/>
  <c r="AN459" i="15"/>
  <c r="AT459" i="15"/>
  <c r="AU459" i="15"/>
  <c r="AV459" i="15"/>
  <c r="AX459" i="15"/>
  <c r="AJ460" i="15"/>
  <c r="AK460" i="15"/>
  <c r="AL460" i="15"/>
  <c r="AN460" i="15"/>
  <c r="AT460" i="15"/>
  <c r="AU460" i="15"/>
  <c r="AV460" i="15"/>
  <c r="AX460" i="15"/>
  <c r="AJ461" i="15"/>
  <c r="AP461" i="15" s="1"/>
  <c r="AK461" i="15"/>
  <c r="AL461" i="15"/>
  <c r="AN461" i="15"/>
  <c r="AT461" i="15"/>
  <c r="AU461" i="15"/>
  <c r="AV461" i="15"/>
  <c r="AX461" i="15"/>
  <c r="AJ462" i="15"/>
  <c r="AK462" i="15"/>
  <c r="AL462" i="15"/>
  <c r="AN462" i="15"/>
  <c r="AT462" i="15"/>
  <c r="AU462" i="15"/>
  <c r="AV462" i="15"/>
  <c r="AX462" i="15"/>
  <c r="AJ463" i="15"/>
  <c r="AK463" i="15"/>
  <c r="AL463" i="15"/>
  <c r="AN463" i="15"/>
  <c r="AT463" i="15"/>
  <c r="AU463" i="15"/>
  <c r="AV463" i="15"/>
  <c r="AX463" i="15"/>
  <c r="AJ464" i="15"/>
  <c r="AP464" i="15" s="1"/>
  <c r="AK464" i="15"/>
  <c r="AL464" i="15"/>
  <c r="AN464" i="15"/>
  <c r="AT464" i="15"/>
  <c r="AU464" i="15"/>
  <c r="AV464" i="15"/>
  <c r="AX464" i="15"/>
  <c r="AJ465" i="15"/>
  <c r="AK465" i="15"/>
  <c r="AL465" i="15"/>
  <c r="AN465" i="15"/>
  <c r="AT465" i="15"/>
  <c r="AU465" i="15"/>
  <c r="AV465" i="15"/>
  <c r="AX465" i="15"/>
  <c r="AJ466" i="15"/>
  <c r="AZ466" i="15" s="1"/>
  <c r="AK466" i="15"/>
  <c r="AL466" i="15"/>
  <c r="AN466" i="15"/>
  <c r="AT466" i="15"/>
  <c r="AU466" i="15"/>
  <c r="AV466" i="15"/>
  <c r="AX466" i="15"/>
  <c r="AJ467" i="15"/>
  <c r="AP467" i="15" s="1"/>
  <c r="AK467" i="15"/>
  <c r="AL467" i="15"/>
  <c r="AN467" i="15"/>
  <c r="AT467" i="15"/>
  <c r="AU467" i="15"/>
  <c r="AV467" i="15"/>
  <c r="AX467" i="15"/>
  <c r="AJ468" i="15"/>
  <c r="AK468" i="15"/>
  <c r="AL468" i="15"/>
  <c r="AN468" i="15"/>
  <c r="AT468" i="15"/>
  <c r="AU468" i="15"/>
  <c r="AV468" i="15"/>
  <c r="AX468" i="15"/>
  <c r="AJ469" i="15"/>
  <c r="AZ469" i="15" s="1"/>
  <c r="AK469" i="15"/>
  <c r="AL469" i="15"/>
  <c r="AN469" i="15"/>
  <c r="AT469" i="15"/>
  <c r="AU469" i="15"/>
  <c r="AV469" i="15"/>
  <c r="AX469" i="15"/>
  <c r="AJ470" i="15"/>
  <c r="AZ470" i="15" s="1"/>
  <c r="AK470" i="15"/>
  <c r="AL470" i="15"/>
  <c r="AN470" i="15"/>
  <c r="AT470" i="15"/>
  <c r="AU470" i="15"/>
  <c r="AV470" i="15"/>
  <c r="AX470" i="15"/>
  <c r="AJ471" i="15"/>
  <c r="AZ471" i="15" s="1"/>
  <c r="AK471" i="15"/>
  <c r="AL471" i="15"/>
  <c r="AN471" i="15"/>
  <c r="AT471" i="15"/>
  <c r="AU471" i="15"/>
  <c r="AV471" i="15"/>
  <c r="AX471" i="15"/>
  <c r="AJ472" i="15"/>
  <c r="AZ472" i="15" s="1"/>
  <c r="AK472" i="15"/>
  <c r="AL472" i="15"/>
  <c r="AN472" i="15"/>
  <c r="AT472" i="15"/>
  <c r="AU472" i="15"/>
  <c r="AV472" i="15"/>
  <c r="AX472" i="15"/>
  <c r="AJ473" i="15"/>
  <c r="AK473" i="15"/>
  <c r="AL473" i="15"/>
  <c r="AN473" i="15"/>
  <c r="AT473" i="15"/>
  <c r="AU473" i="15"/>
  <c r="AV473" i="15"/>
  <c r="AX473" i="15"/>
  <c r="AJ474" i="15"/>
  <c r="AK474" i="15"/>
  <c r="AL474" i="15"/>
  <c r="AN474" i="15"/>
  <c r="AT474" i="15"/>
  <c r="AU474" i="15"/>
  <c r="AV474" i="15"/>
  <c r="AX474" i="15"/>
  <c r="AJ475" i="15"/>
  <c r="AQ475" i="15" s="1"/>
  <c r="AK475" i="15"/>
  <c r="AL475" i="15"/>
  <c r="AN475" i="15"/>
  <c r="AT475" i="15"/>
  <c r="AU475" i="15"/>
  <c r="AV475" i="15"/>
  <c r="AX475" i="15"/>
  <c r="AJ476" i="15"/>
  <c r="AK476" i="15"/>
  <c r="AL476" i="15"/>
  <c r="AN476" i="15"/>
  <c r="AT476" i="15"/>
  <c r="AU476" i="15"/>
  <c r="AV476" i="15"/>
  <c r="AX476" i="15"/>
  <c r="AJ477" i="15"/>
  <c r="AK477" i="15"/>
  <c r="AL477" i="15"/>
  <c r="AN477" i="15"/>
  <c r="AT477" i="15"/>
  <c r="AU477" i="15"/>
  <c r="AV477" i="15"/>
  <c r="AX477" i="15"/>
  <c r="AJ478" i="15"/>
  <c r="AZ478" i="15" s="1"/>
  <c r="AK478" i="15"/>
  <c r="AL478" i="15"/>
  <c r="AN478" i="15"/>
  <c r="AT478" i="15"/>
  <c r="AU478" i="15"/>
  <c r="AV478" i="15"/>
  <c r="AX478" i="15"/>
  <c r="AJ479" i="15"/>
  <c r="AK479" i="15"/>
  <c r="AL479" i="15"/>
  <c r="AN479" i="15"/>
  <c r="AT479" i="15"/>
  <c r="AU479" i="15"/>
  <c r="AV479" i="15"/>
  <c r="AX479" i="15"/>
  <c r="AJ480" i="15"/>
  <c r="AO480" i="15" s="1"/>
  <c r="AK480" i="15"/>
  <c r="AL480" i="15"/>
  <c r="AN480" i="15"/>
  <c r="AT480" i="15"/>
  <c r="AU480" i="15"/>
  <c r="AV480" i="15"/>
  <c r="AX480" i="15"/>
  <c r="AJ481" i="15"/>
  <c r="AK481" i="15"/>
  <c r="AL481" i="15"/>
  <c r="AN481" i="15"/>
  <c r="AT481" i="15"/>
  <c r="AU481" i="15"/>
  <c r="AV481" i="15"/>
  <c r="AX481" i="15"/>
  <c r="AJ482" i="15"/>
  <c r="AZ482" i="15" s="1"/>
  <c r="AK482" i="15"/>
  <c r="AL482" i="15"/>
  <c r="AN482" i="15"/>
  <c r="AT482" i="15"/>
  <c r="AU482" i="15"/>
  <c r="AV482" i="15"/>
  <c r="AX482" i="15"/>
  <c r="AJ483" i="15"/>
  <c r="AQ483" i="15" s="1"/>
  <c r="AK483" i="15"/>
  <c r="AL483" i="15"/>
  <c r="AN483" i="15"/>
  <c r="AT483" i="15"/>
  <c r="AU483" i="15"/>
  <c r="AV483" i="15"/>
  <c r="AX483" i="15"/>
  <c r="AJ484" i="15"/>
  <c r="AK484" i="15"/>
  <c r="AL484" i="15"/>
  <c r="AN484" i="15"/>
  <c r="AT484" i="15"/>
  <c r="AU484" i="15"/>
  <c r="AV484" i="15"/>
  <c r="AX484" i="15"/>
  <c r="AJ485" i="15"/>
  <c r="AP485" i="15" s="1"/>
  <c r="AK485" i="15"/>
  <c r="AL485" i="15"/>
  <c r="AN485" i="15"/>
  <c r="AT485" i="15"/>
  <c r="AU485" i="15"/>
  <c r="AV485" i="15"/>
  <c r="AX485" i="15"/>
  <c r="AJ486" i="15"/>
  <c r="AK486" i="15"/>
  <c r="AL486" i="15"/>
  <c r="AN486" i="15"/>
  <c r="AT486" i="15"/>
  <c r="AU486" i="15"/>
  <c r="AV486" i="15"/>
  <c r="AX486" i="15"/>
  <c r="AJ487" i="15"/>
  <c r="AK487" i="15"/>
  <c r="AL487" i="15"/>
  <c r="AN487" i="15"/>
  <c r="AT487" i="15"/>
  <c r="AU487" i="15"/>
  <c r="AV487" i="15"/>
  <c r="AX487" i="15"/>
  <c r="AJ488" i="15"/>
  <c r="AZ488" i="15" s="1"/>
  <c r="AK488" i="15"/>
  <c r="AL488" i="15"/>
  <c r="AN488" i="15"/>
  <c r="AT488" i="15"/>
  <c r="AU488" i="15"/>
  <c r="AV488" i="15"/>
  <c r="AX488" i="15"/>
  <c r="AJ489" i="15"/>
  <c r="AK489" i="15"/>
  <c r="AL489" i="15"/>
  <c r="AN489" i="15"/>
  <c r="AT489" i="15"/>
  <c r="AU489" i="15"/>
  <c r="AV489" i="15"/>
  <c r="AX489" i="15"/>
  <c r="AJ490" i="15"/>
  <c r="AZ490" i="15" s="1"/>
  <c r="AK490" i="15"/>
  <c r="AL490" i="15"/>
  <c r="AN490" i="15"/>
  <c r="AT490" i="15"/>
  <c r="AU490" i="15"/>
  <c r="AV490" i="15"/>
  <c r="AX490" i="15"/>
  <c r="AJ491" i="15"/>
  <c r="AO491" i="15" s="1"/>
  <c r="AK491" i="15"/>
  <c r="AL491" i="15"/>
  <c r="AN491" i="15"/>
  <c r="AT491" i="15"/>
  <c r="AU491" i="15"/>
  <c r="AV491" i="15"/>
  <c r="AX491" i="15"/>
  <c r="AJ492" i="15"/>
  <c r="AK492" i="15"/>
  <c r="AL492" i="15"/>
  <c r="AN492" i="15"/>
  <c r="AT492" i="15"/>
  <c r="AU492" i="15"/>
  <c r="AV492" i="15"/>
  <c r="AX492" i="15"/>
  <c r="AJ493" i="15"/>
  <c r="AK493" i="15"/>
  <c r="AL493" i="15"/>
  <c r="AN493" i="15"/>
  <c r="AT493" i="15"/>
  <c r="AU493" i="15"/>
  <c r="AV493" i="15"/>
  <c r="AX493" i="15"/>
  <c r="AJ494" i="15"/>
  <c r="AZ494" i="15" s="1"/>
  <c r="AK494" i="15"/>
  <c r="AL494" i="15"/>
  <c r="AN494" i="15"/>
  <c r="AT494" i="15"/>
  <c r="AU494" i="15"/>
  <c r="AV494" i="15"/>
  <c r="AX494" i="15"/>
  <c r="AJ495" i="15"/>
  <c r="AZ495" i="15" s="1"/>
  <c r="AK495" i="15"/>
  <c r="AL495" i="15"/>
  <c r="AN495" i="15"/>
  <c r="AT495" i="15"/>
  <c r="AU495" i="15"/>
  <c r="AV495" i="15"/>
  <c r="AX495" i="15"/>
  <c r="AJ496" i="15"/>
  <c r="AK496" i="15"/>
  <c r="AL496" i="15"/>
  <c r="AN496" i="15"/>
  <c r="AT496" i="15"/>
  <c r="AU496" i="15"/>
  <c r="AV496" i="15"/>
  <c r="AX496" i="15"/>
  <c r="AJ497" i="15"/>
  <c r="AP497" i="15" s="1"/>
  <c r="AK497" i="15"/>
  <c r="AL497" i="15"/>
  <c r="AN497" i="15"/>
  <c r="AT497" i="15"/>
  <c r="AU497" i="15"/>
  <c r="AV497" i="15"/>
  <c r="AX497" i="15"/>
  <c r="AJ498" i="15"/>
  <c r="AK498" i="15"/>
  <c r="AL498" i="15"/>
  <c r="AN498" i="15"/>
  <c r="AT498" i="15"/>
  <c r="AU498" i="15"/>
  <c r="AV498" i="15"/>
  <c r="AX498" i="15"/>
  <c r="AJ499" i="15"/>
  <c r="AZ499" i="15" s="1"/>
  <c r="AK499" i="15"/>
  <c r="AL499" i="15"/>
  <c r="AN499" i="15"/>
  <c r="AT499" i="15"/>
  <c r="AU499" i="15"/>
  <c r="AV499" i="15"/>
  <c r="AX499" i="15"/>
  <c r="AJ500" i="15"/>
  <c r="AK500" i="15"/>
  <c r="AL500" i="15"/>
  <c r="AN500" i="15"/>
  <c r="AT500" i="15"/>
  <c r="AU500" i="15"/>
  <c r="AV500" i="15"/>
  <c r="AX500" i="15"/>
  <c r="AJ501" i="15"/>
  <c r="AP501" i="15" s="1"/>
  <c r="AK501" i="15"/>
  <c r="AL501" i="15"/>
  <c r="AN501" i="15"/>
  <c r="AT501" i="15"/>
  <c r="AU501" i="15"/>
  <c r="AV501" i="15"/>
  <c r="AX501" i="15"/>
  <c r="AJ502" i="15"/>
  <c r="AO502" i="15" s="1"/>
  <c r="AK502" i="15"/>
  <c r="AL502" i="15"/>
  <c r="AN502" i="15"/>
  <c r="AT502" i="15"/>
  <c r="AU502" i="15"/>
  <c r="AV502" i="15"/>
  <c r="AX502" i="15"/>
  <c r="AJ503" i="15"/>
  <c r="AK503" i="15"/>
  <c r="AL503" i="15"/>
  <c r="AN503" i="15"/>
  <c r="AT503" i="15"/>
  <c r="AU503" i="15"/>
  <c r="AV503" i="15"/>
  <c r="AX503" i="15"/>
  <c r="AJ504" i="15"/>
  <c r="AK504" i="15"/>
  <c r="AL504" i="15"/>
  <c r="AN504" i="15"/>
  <c r="AT504" i="15"/>
  <c r="AU504" i="15"/>
  <c r="AV504" i="15"/>
  <c r="AX504" i="15"/>
  <c r="AJ505" i="15"/>
  <c r="AK505" i="15"/>
  <c r="AL505" i="15"/>
  <c r="AN505" i="15"/>
  <c r="AT505" i="15"/>
  <c r="AU505" i="15"/>
  <c r="AV505" i="15"/>
  <c r="AX505" i="15"/>
  <c r="AJ506" i="15"/>
  <c r="AP506" i="15" s="1"/>
  <c r="AK506" i="15"/>
  <c r="AL506" i="15"/>
  <c r="AN506" i="15"/>
  <c r="AT506" i="15"/>
  <c r="AU506" i="15"/>
  <c r="AV506" i="15"/>
  <c r="AX506" i="15"/>
  <c r="AJ507" i="15"/>
  <c r="AZ507" i="15" s="1"/>
  <c r="AK507" i="15"/>
  <c r="AL507" i="15"/>
  <c r="AN507" i="15"/>
  <c r="AT507" i="15"/>
  <c r="AU507" i="15"/>
  <c r="AV507" i="15"/>
  <c r="AX507" i="15"/>
  <c r="AJ508" i="15"/>
  <c r="AK508" i="15"/>
  <c r="AL508" i="15"/>
  <c r="AN508" i="15"/>
  <c r="AT508" i="15"/>
  <c r="AU508" i="15"/>
  <c r="AV508" i="15"/>
  <c r="AX508" i="15"/>
  <c r="AJ509" i="15"/>
  <c r="AP509" i="15" s="1"/>
  <c r="AK509" i="15"/>
  <c r="AL509" i="15"/>
  <c r="AN509" i="15"/>
  <c r="AT509" i="15"/>
  <c r="AU509" i="15"/>
  <c r="AV509" i="15"/>
  <c r="AX509" i="15"/>
  <c r="AJ510" i="15"/>
  <c r="AQ510" i="15" s="1"/>
  <c r="AK510" i="15"/>
  <c r="AL510" i="15"/>
  <c r="AN510" i="15"/>
  <c r="AT510" i="15"/>
  <c r="AU510" i="15"/>
  <c r="AV510" i="15"/>
  <c r="AX510" i="15"/>
  <c r="AJ511" i="15"/>
  <c r="AP511" i="15" s="1"/>
  <c r="AK511" i="15"/>
  <c r="AL511" i="15"/>
  <c r="AN511" i="15"/>
  <c r="AT511" i="15"/>
  <c r="AU511" i="15"/>
  <c r="AV511" i="15"/>
  <c r="AX511" i="15"/>
  <c r="AJ512" i="15"/>
  <c r="AK512" i="15"/>
  <c r="AL512" i="15"/>
  <c r="AN512" i="15"/>
  <c r="AT512" i="15"/>
  <c r="AU512" i="15"/>
  <c r="AV512" i="15"/>
  <c r="AX512" i="15"/>
  <c r="AJ513" i="15"/>
  <c r="AP513" i="15" s="1"/>
  <c r="AK513" i="15"/>
  <c r="AL513" i="15"/>
  <c r="AN513" i="15"/>
  <c r="AT513" i="15"/>
  <c r="AU513" i="15"/>
  <c r="AV513" i="15"/>
  <c r="AX513" i="15"/>
  <c r="AJ514" i="15"/>
  <c r="AZ514" i="15" s="1"/>
  <c r="AK514" i="15"/>
  <c r="AL514" i="15"/>
  <c r="AN514" i="15"/>
  <c r="AT514" i="15"/>
  <c r="AU514" i="15"/>
  <c r="AV514" i="15"/>
  <c r="AX514" i="15"/>
  <c r="AJ515" i="15"/>
  <c r="AS515" i="15" s="1"/>
  <c r="AK515" i="15"/>
  <c r="AL515" i="15"/>
  <c r="AN515" i="15"/>
  <c r="AT515" i="15"/>
  <c r="AU515" i="15"/>
  <c r="AV515" i="15"/>
  <c r="AX515" i="15"/>
  <c r="AJ516" i="15"/>
  <c r="AK516" i="15"/>
  <c r="AL516" i="15"/>
  <c r="AN516" i="15"/>
  <c r="AT516" i="15"/>
  <c r="AU516" i="15"/>
  <c r="AV516" i="15"/>
  <c r="AX516" i="15"/>
  <c r="AJ517" i="15"/>
  <c r="AO517" i="15" s="1"/>
  <c r="AK517" i="15"/>
  <c r="AL517" i="15"/>
  <c r="AN517" i="15"/>
  <c r="AT517" i="15"/>
  <c r="AU517" i="15"/>
  <c r="AV517" i="15"/>
  <c r="AX517" i="15"/>
  <c r="AJ518" i="15"/>
  <c r="AK518" i="15"/>
  <c r="AL518" i="15"/>
  <c r="AN518" i="15"/>
  <c r="AT518" i="15"/>
  <c r="AU518" i="15"/>
  <c r="AV518" i="15"/>
  <c r="AX518" i="15"/>
  <c r="AJ519" i="15"/>
  <c r="AO519" i="15" s="1"/>
  <c r="AK519" i="15"/>
  <c r="AL519" i="15"/>
  <c r="AN519" i="15"/>
  <c r="AT519" i="15"/>
  <c r="AU519" i="15"/>
  <c r="AV519" i="15"/>
  <c r="AX519" i="15"/>
  <c r="AJ520" i="15"/>
  <c r="AK520" i="15"/>
  <c r="AL520" i="15"/>
  <c r="AN520" i="15"/>
  <c r="AT520" i="15"/>
  <c r="AU520" i="15"/>
  <c r="AV520" i="15"/>
  <c r="AX520" i="15"/>
  <c r="AJ521" i="15"/>
  <c r="AO521" i="15" s="1"/>
  <c r="AK521" i="15"/>
  <c r="AL521" i="15"/>
  <c r="AN521" i="15"/>
  <c r="AT521" i="15"/>
  <c r="AU521" i="15"/>
  <c r="AV521" i="15"/>
  <c r="AX521" i="15"/>
  <c r="AJ522" i="15"/>
  <c r="AK522" i="15"/>
  <c r="AL522" i="15"/>
  <c r="AN522" i="15"/>
  <c r="AT522" i="15"/>
  <c r="AU522" i="15"/>
  <c r="AV522" i="15"/>
  <c r="AX522" i="15"/>
  <c r="AJ523" i="15"/>
  <c r="AK523" i="15"/>
  <c r="AL523" i="15"/>
  <c r="AN523" i="15"/>
  <c r="AT523" i="15"/>
  <c r="AU523" i="15"/>
  <c r="AV523" i="15"/>
  <c r="AX523" i="15"/>
  <c r="AJ524" i="15"/>
  <c r="AO524" i="15" s="1"/>
  <c r="AK524" i="15"/>
  <c r="AL524" i="15"/>
  <c r="AN524" i="15"/>
  <c r="AT524" i="15"/>
  <c r="AU524" i="15"/>
  <c r="AV524" i="15"/>
  <c r="AX524" i="15"/>
  <c r="AJ525" i="15"/>
  <c r="AS525" i="15" s="1"/>
  <c r="AK525" i="15"/>
  <c r="AL525" i="15"/>
  <c r="AN525" i="15"/>
  <c r="AT525" i="15"/>
  <c r="AU525" i="15"/>
  <c r="AV525" i="15"/>
  <c r="AX525" i="15"/>
  <c r="AJ526" i="15"/>
  <c r="AO526" i="15" s="1"/>
  <c r="AK526" i="15"/>
  <c r="AL526" i="15"/>
  <c r="AN526" i="15"/>
  <c r="AT526" i="15"/>
  <c r="AU526" i="15"/>
  <c r="AV526" i="15"/>
  <c r="AX526" i="15"/>
  <c r="AJ527" i="15"/>
  <c r="AK527" i="15"/>
  <c r="AL527" i="15"/>
  <c r="AN527" i="15"/>
  <c r="AT527" i="15"/>
  <c r="AU527" i="15"/>
  <c r="AV527" i="15"/>
  <c r="AX527" i="15"/>
  <c r="AJ528" i="15"/>
  <c r="AP528" i="15" s="1"/>
  <c r="AK528" i="15"/>
  <c r="AL528" i="15"/>
  <c r="AN528" i="15"/>
  <c r="AT528" i="15"/>
  <c r="AU528" i="15"/>
  <c r="AV528" i="15"/>
  <c r="AX528" i="15"/>
  <c r="AJ529" i="15"/>
  <c r="AO529" i="15" s="1"/>
  <c r="AK529" i="15"/>
  <c r="AL529" i="15"/>
  <c r="AN529" i="15"/>
  <c r="AT529" i="15"/>
  <c r="AU529" i="15"/>
  <c r="AV529" i="15"/>
  <c r="AX529" i="15"/>
  <c r="AJ530" i="15"/>
  <c r="AK530" i="15"/>
  <c r="AL530" i="15"/>
  <c r="AN530" i="15"/>
  <c r="AT530" i="15"/>
  <c r="AU530" i="15"/>
  <c r="AV530" i="15"/>
  <c r="AX530" i="15"/>
  <c r="AJ531" i="15"/>
  <c r="AK531" i="15"/>
  <c r="AL531" i="15"/>
  <c r="AN531" i="15"/>
  <c r="AT531" i="15"/>
  <c r="AU531" i="15"/>
  <c r="AV531" i="15"/>
  <c r="AX531" i="15"/>
  <c r="AJ532" i="15"/>
  <c r="AK532" i="15"/>
  <c r="AL532" i="15"/>
  <c r="AN532" i="15"/>
  <c r="AT532" i="15"/>
  <c r="AU532" i="15"/>
  <c r="AV532" i="15"/>
  <c r="AX532" i="15"/>
  <c r="AJ533" i="15"/>
  <c r="AS533" i="15" s="1"/>
  <c r="AK533" i="15"/>
  <c r="AL533" i="15"/>
  <c r="AN533" i="15"/>
  <c r="AT533" i="15"/>
  <c r="AU533" i="15"/>
  <c r="AV533" i="15"/>
  <c r="AX533" i="15"/>
  <c r="AJ534" i="15"/>
  <c r="AO534" i="15" s="1"/>
  <c r="AK534" i="15"/>
  <c r="AL534" i="15"/>
  <c r="AN534" i="15"/>
  <c r="AT534" i="15"/>
  <c r="AU534" i="15"/>
  <c r="AV534" i="15"/>
  <c r="AX534" i="15"/>
  <c r="AJ535" i="15"/>
  <c r="AK535" i="15"/>
  <c r="AL535" i="15"/>
  <c r="AN535" i="15"/>
  <c r="AT535" i="15"/>
  <c r="AU535" i="15"/>
  <c r="AV535" i="15"/>
  <c r="AX535" i="15"/>
  <c r="AJ536" i="15"/>
  <c r="AK536" i="15"/>
  <c r="AL536" i="15"/>
  <c r="AN536" i="15"/>
  <c r="AT536" i="15"/>
  <c r="AU536" i="15"/>
  <c r="AV536" i="15"/>
  <c r="AX536" i="15"/>
  <c r="AJ537" i="15"/>
  <c r="AK537" i="15"/>
  <c r="AL537" i="15"/>
  <c r="AN537" i="15"/>
  <c r="AT537" i="15"/>
  <c r="AU537" i="15"/>
  <c r="AV537" i="15"/>
  <c r="AX537" i="15"/>
  <c r="AJ538" i="15"/>
  <c r="AZ538" i="15" s="1"/>
  <c r="AK538" i="15"/>
  <c r="AL538" i="15"/>
  <c r="AN538" i="15"/>
  <c r="AT538" i="15"/>
  <c r="AU538" i="15"/>
  <c r="AV538" i="15"/>
  <c r="AX538" i="15"/>
  <c r="AJ539" i="15"/>
  <c r="AK539" i="15"/>
  <c r="AL539" i="15"/>
  <c r="AN539" i="15"/>
  <c r="AT539" i="15"/>
  <c r="AU539" i="15"/>
  <c r="AV539" i="15"/>
  <c r="AX539" i="15"/>
  <c r="AJ540" i="15"/>
  <c r="AS540" i="15" s="1"/>
  <c r="AK540" i="15"/>
  <c r="AL540" i="15"/>
  <c r="AN540" i="15"/>
  <c r="AT540" i="15"/>
  <c r="AU540" i="15"/>
  <c r="AV540" i="15"/>
  <c r="AX540" i="15"/>
  <c r="AJ541" i="15"/>
  <c r="AZ541" i="15" s="1"/>
  <c r="AK541" i="15"/>
  <c r="AL541" i="15"/>
  <c r="AN541" i="15"/>
  <c r="AT541" i="15"/>
  <c r="AU541" i="15"/>
  <c r="AV541" i="15"/>
  <c r="AX541" i="15"/>
  <c r="AJ542" i="15"/>
  <c r="AK542" i="15"/>
  <c r="AL542" i="15"/>
  <c r="AN542" i="15"/>
  <c r="AT542" i="15"/>
  <c r="AU542" i="15"/>
  <c r="AV542" i="15"/>
  <c r="AX542" i="15"/>
  <c r="AJ543" i="15"/>
  <c r="AK543" i="15"/>
  <c r="AL543" i="15"/>
  <c r="AN543" i="15"/>
  <c r="AT543" i="15"/>
  <c r="AU543" i="15"/>
  <c r="AV543" i="15"/>
  <c r="AX543" i="15"/>
  <c r="AJ544" i="15"/>
  <c r="AS544" i="15" s="1"/>
  <c r="AK544" i="15"/>
  <c r="AL544" i="15"/>
  <c r="AN544" i="15"/>
  <c r="AT544" i="15"/>
  <c r="AU544" i="15"/>
  <c r="AV544" i="15"/>
  <c r="AX544" i="15"/>
  <c r="AJ545" i="15"/>
  <c r="AQ545" i="15" s="1"/>
  <c r="AK545" i="15"/>
  <c r="AL545" i="15"/>
  <c r="AN545" i="15"/>
  <c r="AT545" i="15"/>
  <c r="AU545" i="15"/>
  <c r="AV545" i="15"/>
  <c r="AX545" i="15"/>
  <c r="AJ546" i="15"/>
  <c r="AZ546" i="15" s="1"/>
  <c r="AK546" i="15"/>
  <c r="AL546" i="15"/>
  <c r="AN546" i="15"/>
  <c r="AT546" i="15"/>
  <c r="AU546" i="15"/>
  <c r="AV546" i="15"/>
  <c r="AX546" i="15"/>
  <c r="AJ547" i="15"/>
  <c r="AK547" i="15"/>
  <c r="AL547" i="15"/>
  <c r="AN547" i="15"/>
  <c r="AT547" i="15"/>
  <c r="AU547" i="15"/>
  <c r="AV547" i="15"/>
  <c r="AX547" i="15"/>
  <c r="AJ548" i="15"/>
  <c r="AS548" i="15" s="1"/>
  <c r="AK548" i="15"/>
  <c r="AL548" i="15"/>
  <c r="AN548" i="15"/>
  <c r="AT548" i="15"/>
  <c r="AU548" i="15"/>
  <c r="AV548" i="15"/>
  <c r="AX548" i="15"/>
  <c r="AJ549" i="15"/>
  <c r="AP549" i="15" s="1"/>
  <c r="AK549" i="15"/>
  <c r="AL549" i="15"/>
  <c r="AN549" i="15"/>
  <c r="AT549" i="15"/>
  <c r="AU549" i="15"/>
  <c r="AV549" i="15"/>
  <c r="AX549" i="15"/>
  <c r="AJ550" i="15"/>
  <c r="AO550" i="15" s="1"/>
  <c r="AK550" i="15"/>
  <c r="AL550" i="15"/>
  <c r="AN550" i="15"/>
  <c r="AT550" i="15"/>
  <c r="AU550" i="15"/>
  <c r="AV550" i="15"/>
  <c r="AX550" i="15"/>
  <c r="AJ551" i="15"/>
  <c r="AK551" i="15"/>
  <c r="AL551" i="15"/>
  <c r="AN551" i="15"/>
  <c r="AT551" i="15"/>
  <c r="AU551" i="15"/>
  <c r="AV551" i="15"/>
  <c r="AX551" i="15"/>
  <c r="AJ552" i="15"/>
  <c r="AK552" i="15"/>
  <c r="AL552" i="15"/>
  <c r="AN552" i="15"/>
  <c r="AT552" i="15"/>
  <c r="AU552" i="15"/>
  <c r="AV552" i="15"/>
  <c r="AX552" i="15"/>
  <c r="AJ553" i="15"/>
  <c r="AS553" i="15" s="1"/>
  <c r="AK553" i="15"/>
  <c r="AL553" i="15"/>
  <c r="AN553" i="15"/>
  <c r="AT553" i="15"/>
  <c r="AU553" i="15"/>
  <c r="AV553" i="15"/>
  <c r="AX553" i="15"/>
  <c r="AJ554" i="15"/>
  <c r="AK554" i="15"/>
  <c r="AL554" i="15"/>
  <c r="AN554" i="15"/>
  <c r="AT554" i="15"/>
  <c r="AU554" i="15"/>
  <c r="AV554" i="15"/>
  <c r="AX554" i="15"/>
  <c r="AJ555" i="15"/>
  <c r="AK555" i="15"/>
  <c r="AL555" i="15"/>
  <c r="AN555" i="15"/>
  <c r="AT555" i="15"/>
  <c r="AU555" i="15"/>
  <c r="AV555" i="15"/>
  <c r="AX555" i="15"/>
  <c r="AJ556" i="15"/>
  <c r="AO556" i="15" s="1"/>
  <c r="AK556" i="15"/>
  <c r="AL556" i="15"/>
  <c r="AN556" i="15"/>
  <c r="AT556" i="15"/>
  <c r="AU556" i="15"/>
  <c r="AV556" i="15"/>
  <c r="AX556" i="15"/>
  <c r="AJ557" i="15"/>
  <c r="AZ557" i="15" s="1"/>
  <c r="AK557" i="15"/>
  <c r="AL557" i="15"/>
  <c r="AN557" i="15"/>
  <c r="AT557" i="15"/>
  <c r="AU557" i="15"/>
  <c r="AV557" i="15"/>
  <c r="AX557" i="15"/>
  <c r="AJ558" i="15"/>
  <c r="AK558" i="15"/>
  <c r="AL558" i="15"/>
  <c r="AN558" i="15"/>
  <c r="AT558" i="15"/>
  <c r="AU558" i="15"/>
  <c r="AV558" i="15"/>
  <c r="AX558" i="15"/>
  <c r="AJ559" i="15"/>
  <c r="AS559" i="15" s="1"/>
  <c r="AK559" i="15"/>
  <c r="AL559" i="15"/>
  <c r="AN559" i="15"/>
  <c r="AT559" i="15"/>
  <c r="AU559" i="15"/>
  <c r="AV559" i="15"/>
  <c r="AX559" i="15"/>
  <c r="AJ560" i="15"/>
  <c r="AP560" i="15" s="1"/>
  <c r="AK560" i="15"/>
  <c r="AL560" i="15"/>
  <c r="AN560" i="15"/>
  <c r="AT560" i="15"/>
  <c r="AU560" i="15"/>
  <c r="AV560" i="15"/>
  <c r="AX560" i="15"/>
  <c r="AJ561" i="15"/>
  <c r="AK561" i="15"/>
  <c r="AL561" i="15"/>
  <c r="AN561" i="15"/>
  <c r="AT561" i="15"/>
  <c r="AU561" i="15"/>
  <c r="AV561" i="15"/>
  <c r="AX561" i="15"/>
  <c r="AJ562" i="15"/>
  <c r="AK562" i="15"/>
  <c r="AL562" i="15"/>
  <c r="AN562" i="15"/>
  <c r="AT562" i="15"/>
  <c r="AU562" i="15"/>
  <c r="AV562" i="15"/>
  <c r="AX562" i="15"/>
  <c r="AJ563" i="15"/>
  <c r="AK563" i="15"/>
  <c r="AL563" i="15"/>
  <c r="AN563" i="15"/>
  <c r="AT563" i="15"/>
  <c r="AU563" i="15"/>
  <c r="AV563" i="15"/>
  <c r="AX563" i="15"/>
  <c r="AJ564" i="15"/>
  <c r="AP564" i="15" s="1"/>
  <c r="AK564" i="15"/>
  <c r="AL564" i="15"/>
  <c r="AN564" i="15"/>
  <c r="AT564" i="15"/>
  <c r="AU564" i="15"/>
  <c r="AV564" i="15"/>
  <c r="AX564" i="15"/>
  <c r="AJ565" i="15"/>
  <c r="AK565" i="15"/>
  <c r="AL565" i="15"/>
  <c r="AN565" i="15"/>
  <c r="AT565" i="15"/>
  <c r="AU565" i="15"/>
  <c r="AV565" i="15"/>
  <c r="AX565" i="15"/>
  <c r="AJ566" i="15"/>
  <c r="AK566" i="15"/>
  <c r="AL566" i="15"/>
  <c r="AN566" i="15"/>
  <c r="AT566" i="15"/>
  <c r="AU566" i="15"/>
  <c r="AV566" i="15"/>
  <c r="AX566" i="15"/>
  <c r="AJ567" i="15"/>
  <c r="AK567" i="15"/>
  <c r="AL567" i="15"/>
  <c r="AN567" i="15"/>
  <c r="AT567" i="15"/>
  <c r="AU567" i="15"/>
  <c r="AV567" i="15"/>
  <c r="AX567" i="15"/>
  <c r="AJ568" i="15"/>
  <c r="AP568" i="15" s="1"/>
  <c r="AK568" i="15"/>
  <c r="AL568" i="15"/>
  <c r="AN568" i="15"/>
  <c r="AT568" i="15"/>
  <c r="AU568" i="15"/>
  <c r="AV568" i="15"/>
  <c r="AX568" i="15"/>
  <c r="AJ569" i="15"/>
  <c r="AK569" i="15"/>
  <c r="AL569" i="15"/>
  <c r="AN569" i="15"/>
  <c r="AT569" i="15"/>
  <c r="AU569" i="15"/>
  <c r="AV569" i="15"/>
  <c r="AX569" i="15"/>
  <c r="AJ570" i="15"/>
  <c r="AK570" i="15"/>
  <c r="AL570" i="15"/>
  <c r="AN570" i="15"/>
  <c r="AT570" i="15"/>
  <c r="AU570" i="15"/>
  <c r="AV570" i="15"/>
  <c r="AX570" i="15"/>
  <c r="AJ571" i="15"/>
  <c r="AK571" i="15"/>
  <c r="AL571" i="15"/>
  <c r="AN571" i="15"/>
  <c r="AT571" i="15"/>
  <c r="AU571" i="15"/>
  <c r="AV571" i="15"/>
  <c r="AX571" i="15"/>
  <c r="AJ572" i="15"/>
  <c r="AK572" i="15"/>
  <c r="AL572" i="15"/>
  <c r="AN572" i="15"/>
  <c r="AT572" i="15"/>
  <c r="AU572" i="15"/>
  <c r="AV572" i="15"/>
  <c r="AX572" i="15"/>
  <c r="AJ573" i="15"/>
  <c r="AS573" i="15" s="1"/>
  <c r="AK573" i="15"/>
  <c r="AL573" i="15"/>
  <c r="AN573" i="15"/>
  <c r="AT573" i="15"/>
  <c r="AU573" i="15"/>
  <c r="AV573" i="15"/>
  <c r="AX573" i="15"/>
  <c r="AJ574" i="15"/>
  <c r="AP574" i="15" s="1"/>
  <c r="AK574" i="15"/>
  <c r="AL574" i="15"/>
  <c r="AN574" i="15"/>
  <c r="AT574" i="15"/>
  <c r="AU574" i="15"/>
  <c r="AV574" i="15"/>
  <c r="AX574" i="15"/>
  <c r="AJ575" i="15"/>
  <c r="AZ575" i="15" s="1"/>
  <c r="AK575" i="15"/>
  <c r="AL575" i="15"/>
  <c r="AN575" i="15"/>
  <c r="AT575" i="15"/>
  <c r="AU575" i="15"/>
  <c r="AV575" i="15"/>
  <c r="AX575" i="15"/>
  <c r="AJ576" i="15"/>
  <c r="AK576" i="15"/>
  <c r="AL576" i="15"/>
  <c r="AN576" i="15"/>
  <c r="AT576" i="15"/>
  <c r="AU576" i="15"/>
  <c r="AV576" i="15"/>
  <c r="AX576" i="15"/>
  <c r="AJ577" i="15"/>
  <c r="AO577" i="15" s="1"/>
  <c r="AK577" i="15"/>
  <c r="AL577" i="15"/>
  <c r="AN577" i="15"/>
  <c r="AT577" i="15"/>
  <c r="AU577" i="15"/>
  <c r="AV577" i="15"/>
  <c r="AX577" i="15"/>
  <c r="AJ578" i="15"/>
  <c r="AK578" i="15"/>
  <c r="AL578" i="15"/>
  <c r="AN578" i="15"/>
  <c r="AT578" i="15"/>
  <c r="AU578" i="15"/>
  <c r="AV578" i="15"/>
  <c r="AX578" i="15"/>
  <c r="AJ579" i="15"/>
  <c r="AO579" i="15" s="1"/>
  <c r="AK579" i="15"/>
  <c r="AL579" i="15"/>
  <c r="AN579" i="15"/>
  <c r="AT579" i="15"/>
  <c r="AU579" i="15"/>
  <c r="AV579" i="15"/>
  <c r="AX579" i="15"/>
  <c r="AJ580" i="15"/>
  <c r="AS580" i="15" s="1"/>
  <c r="AK580" i="15"/>
  <c r="AL580" i="15"/>
  <c r="AN580" i="15"/>
  <c r="AT580" i="15"/>
  <c r="AU580" i="15"/>
  <c r="AV580" i="15"/>
  <c r="AX580" i="15"/>
  <c r="AJ581" i="15"/>
  <c r="AK581" i="15"/>
  <c r="AL581" i="15"/>
  <c r="AN581" i="15"/>
  <c r="AT581" i="15"/>
  <c r="AU581" i="15"/>
  <c r="AV581" i="15"/>
  <c r="AX581" i="15"/>
  <c r="AJ582" i="15"/>
  <c r="AK582" i="15"/>
  <c r="AL582" i="15"/>
  <c r="AN582" i="15"/>
  <c r="AT582" i="15"/>
  <c r="AU582" i="15"/>
  <c r="AV582" i="15"/>
  <c r="AX582" i="15"/>
  <c r="AJ583" i="15"/>
  <c r="AZ583" i="15" s="1"/>
  <c r="AK583" i="15"/>
  <c r="AL583" i="15"/>
  <c r="AN583" i="15"/>
  <c r="AT583" i="15"/>
  <c r="AU583" i="15"/>
  <c r="AV583" i="15"/>
  <c r="AX583" i="15"/>
  <c r="AJ584" i="15"/>
  <c r="AO584" i="15" s="1"/>
  <c r="AK584" i="15"/>
  <c r="AL584" i="15"/>
  <c r="AN584" i="15"/>
  <c r="AT584" i="15"/>
  <c r="AU584" i="15"/>
  <c r="AV584" i="15"/>
  <c r="AX584" i="15"/>
  <c r="AJ585" i="15"/>
  <c r="AK585" i="15"/>
  <c r="AL585" i="15"/>
  <c r="AN585" i="15"/>
  <c r="AT585" i="15"/>
  <c r="AU585" i="15"/>
  <c r="AV585" i="15"/>
  <c r="AX585" i="15"/>
  <c r="AJ586" i="15"/>
  <c r="AP586" i="15" s="1"/>
  <c r="AK586" i="15"/>
  <c r="AL586" i="15"/>
  <c r="AN586" i="15"/>
  <c r="AT586" i="15"/>
  <c r="AU586" i="15"/>
  <c r="AV586" i="15"/>
  <c r="AX586" i="15"/>
  <c r="AJ587" i="15"/>
  <c r="AK587" i="15"/>
  <c r="AL587" i="15"/>
  <c r="AN587" i="15"/>
  <c r="AT587" i="15"/>
  <c r="AU587" i="15"/>
  <c r="AV587" i="15"/>
  <c r="AX587" i="15"/>
  <c r="AJ588" i="15"/>
  <c r="AK588" i="15"/>
  <c r="AL588" i="15"/>
  <c r="AN588" i="15"/>
  <c r="AT588" i="15"/>
  <c r="AU588" i="15"/>
  <c r="AV588" i="15"/>
  <c r="AX588" i="15"/>
  <c r="AJ589" i="15"/>
  <c r="AK589" i="15"/>
  <c r="AL589" i="15"/>
  <c r="AN589" i="15"/>
  <c r="AT589" i="15"/>
  <c r="AU589" i="15"/>
  <c r="AV589" i="15"/>
  <c r="AX589" i="15"/>
  <c r="AJ590" i="15"/>
  <c r="AS590" i="15" s="1"/>
  <c r="AK590" i="15"/>
  <c r="AL590" i="15"/>
  <c r="AN590" i="15"/>
  <c r="AT590" i="15"/>
  <c r="AU590" i="15"/>
  <c r="AV590" i="15"/>
  <c r="AX590" i="15"/>
  <c r="AJ591" i="15"/>
  <c r="AK591" i="15"/>
  <c r="AL591" i="15"/>
  <c r="AN591" i="15"/>
  <c r="AT591" i="15"/>
  <c r="AU591" i="15"/>
  <c r="AV591" i="15"/>
  <c r="AX591" i="15"/>
  <c r="AJ592" i="15"/>
  <c r="AK592" i="15"/>
  <c r="AL592" i="15"/>
  <c r="AN592" i="15"/>
  <c r="AT592" i="15"/>
  <c r="AU592" i="15"/>
  <c r="AV592" i="15"/>
  <c r="AX592" i="15"/>
  <c r="AJ593" i="15"/>
  <c r="AK593" i="15"/>
  <c r="AL593" i="15"/>
  <c r="AN593" i="15"/>
  <c r="AT593" i="15"/>
  <c r="AU593" i="15"/>
  <c r="AV593" i="15"/>
  <c r="AX593" i="15"/>
  <c r="AJ594" i="15"/>
  <c r="AP594" i="15" s="1"/>
  <c r="AK594" i="15"/>
  <c r="AL594" i="15"/>
  <c r="AN594" i="15"/>
  <c r="AT594" i="15"/>
  <c r="AU594" i="15"/>
  <c r="AV594" i="15"/>
  <c r="AX594" i="15"/>
  <c r="AJ595" i="15"/>
  <c r="AK595" i="15"/>
  <c r="AL595" i="15"/>
  <c r="AN595" i="15"/>
  <c r="AT595" i="15"/>
  <c r="AU595" i="15"/>
  <c r="AV595" i="15"/>
  <c r="AX595" i="15"/>
  <c r="AJ596" i="15"/>
  <c r="AK596" i="15"/>
  <c r="AL596" i="15"/>
  <c r="AN596" i="15"/>
  <c r="AT596" i="15"/>
  <c r="AU596" i="15"/>
  <c r="AV596" i="15"/>
  <c r="AX596" i="15"/>
  <c r="AJ597" i="15"/>
  <c r="AQ597" i="15" s="1"/>
  <c r="AK597" i="15"/>
  <c r="AL597" i="15"/>
  <c r="AN597" i="15"/>
  <c r="AT597" i="15"/>
  <c r="AU597" i="15"/>
  <c r="AV597" i="15"/>
  <c r="AX597" i="15"/>
  <c r="AJ598" i="15"/>
  <c r="AP598" i="15" s="1"/>
  <c r="AK598" i="15"/>
  <c r="AL598" i="15"/>
  <c r="AN598" i="15"/>
  <c r="AT598" i="15"/>
  <c r="AU598" i="15"/>
  <c r="AV598" i="15"/>
  <c r="AX598" i="15"/>
  <c r="AJ599" i="15"/>
  <c r="AP599" i="15" s="1"/>
  <c r="AK599" i="15"/>
  <c r="AL599" i="15"/>
  <c r="AN599" i="15"/>
  <c r="AT599" i="15"/>
  <c r="AU599" i="15"/>
  <c r="AV599" i="15"/>
  <c r="AX599" i="15"/>
  <c r="AJ600" i="15"/>
  <c r="AK600" i="15"/>
  <c r="AL600" i="15"/>
  <c r="AN600" i="15"/>
  <c r="AT600" i="15"/>
  <c r="AU600" i="15"/>
  <c r="AV600" i="15"/>
  <c r="AX600" i="15"/>
  <c r="AJ601" i="15"/>
  <c r="AO601" i="15" s="1"/>
  <c r="AK601" i="15"/>
  <c r="AL601" i="15"/>
  <c r="AN601" i="15"/>
  <c r="AT601" i="15"/>
  <c r="AU601" i="15"/>
  <c r="AV601" i="15"/>
  <c r="AX601" i="15"/>
  <c r="AJ602" i="15"/>
  <c r="AP602" i="15" s="1"/>
  <c r="AK602" i="15"/>
  <c r="AL602" i="15"/>
  <c r="AN602" i="15"/>
  <c r="AT602" i="15"/>
  <c r="AU602" i="15"/>
  <c r="AV602" i="15"/>
  <c r="AX602" i="15"/>
  <c r="AJ603" i="15"/>
  <c r="AK603" i="15"/>
  <c r="AL603" i="15"/>
  <c r="AN603" i="15"/>
  <c r="AT603" i="15"/>
  <c r="AU603" i="15"/>
  <c r="AV603" i="15"/>
  <c r="AX603" i="15"/>
  <c r="AJ604" i="15"/>
  <c r="AO604" i="15" s="1"/>
  <c r="AK604" i="15"/>
  <c r="AL604" i="15"/>
  <c r="AN604" i="15"/>
  <c r="AT604" i="15"/>
  <c r="AU604" i="15"/>
  <c r="AV604" i="15"/>
  <c r="AX604" i="15"/>
  <c r="AJ605" i="15"/>
  <c r="AO605" i="15" s="1"/>
  <c r="AK605" i="15"/>
  <c r="AL605" i="15"/>
  <c r="AN605" i="15"/>
  <c r="AT605" i="15"/>
  <c r="AU605" i="15"/>
  <c r="AV605" i="15"/>
  <c r="AX605" i="15"/>
  <c r="AJ606" i="15"/>
  <c r="AQ606" i="15" s="1"/>
  <c r="AK606" i="15"/>
  <c r="AL606" i="15"/>
  <c r="AN606" i="15"/>
  <c r="AT606" i="15"/>
  <c r="AU606" i="15"/>
  <c r="AV606" i="15"/>
  <c r="AX606" i="15"/>
  <c r="AJ607" i="15"/>
  <c r="AK607" i="15"/>
  <c r="AL607" i="15"/>
  <c r="AN607" i="15"/>
  <c r="AT607" i="15"/>
  <c r="AU607" i="15"/>
  <c r="AV607" i="15"/>
  <c r="AX607" i="15"/>
  <c r="AJ608" i="15"/>
  <c r="AP608" i="15" s="1"/>
  <c r="AK608" i="15"/>
  <c r="AL608" i="15"/>
  <c r="AN608" i="15"/>
  <c r="AT608" i="15"/>
  <c r="AU608" i="15"/>
  <c r="AV608" i="15"/>
  <c r="AX608" i="15"/>
  <c r="AJ609" i="15"/>
  <c r="AO609" i="15" s="1"/>
  <c r="AK609" i="15"/>
  <c r="AL609" i="15"/>
  <c r="AN609" i="15"/>
  <c r="AT609" i="15"/>
  <c r="AU609" i="15"/>
  <c r="AV609" i="15"/>
  <c r="AX609" i="15"/>
  <c r="AJ610" i="15"/>
  <c r="AZ610" i="15" s="1"/>
  <c r="AK610" i="15"/>
  <c r="AL610" i="15"/>
  <c r="AN610" i="15"/>
  <c r="AT610" i="15"/>
  <c r="AU610" i="15"/>
  <c r="AV610" i="15"/>
  <c r="AX610" i="15"/>
  <c r="AJ611" i="15"/>
  <c r="AP611" i="15" s="1"/>
  <c r="AK611" i="15"/>
  <c r="AL611" i="15"/>
  <c r="AN611" i="15"/>
  <c r="AT611" i="15"/>
  <c r="AU611" i="15"/>
  <c r="AV611" i="15"/>
  <c r="AX611" i="15"/>
  <c r="AJ612" i="15"/>
  <c r="AZ612" i="15" s="1"/>
  <c r="AK612" i="15"/>
  <c r="AL612" i="15"/>
  <c r="AN612" i="15"/>
  <c r="AT612" i="15"/>
  <c r="AU612" i="15"/>
  <c r="AV612" i="15"/>
  <c r="AX612" i="15"/>
  <c r="AJ613" i="15"/>
  <c r="AS613" i="15" s="1"/>
  <c r="AK613" i="15"/>
  <c r="AL613" i="15"/>
  <c r="AN613" i="15"/>
  <c r="AT613" i="15"/>
  <c r="AU613" i="15"/>
  <c r="AV613" i="15"/>
  <c r="AX613" i="15"/>
  <c r="AJ614" i="15"/>
  <c r="AP614" i="15" s="1"/>
  <c r="AK614" i="15"/>
  <c r="AL614" i="15"/>
  <c r="AN614" i="15"/>
  <c r="AT614" i="15"/>
  <c r="AU614" i="15"/>
  <c r="AV614" i="15"/>
  <c r="AX614" i="15"/>
  <c r="AJ615" i="15"/>
  <c r="AP615" i="15" s="1"/>
  <c r="AK615" i="15"/>
  <c r="AL615" i="15"/>
  <c r="AN615" i="15"/>
  <c r="AT615" i="15"/>
  <c r="AU615" i="15"/>
  <c r="AV615" i="15"/>
  <c r="AX615" i="15"/>
  <c r="AJ616" i="15"/>
  <c r="AZ616" i="15" s="1"/>
  <c r="AK616" i="15"/>
  <c r="AL616" i="15"/>
  <c r="AN616" i="15"/>
  <c r="AT616" i="15"/>
  <c r="AU616" i="15"/>
  <c r="AV616" i="15"/>
  <c r="AX616" i="15"/>
  <c r="AJ617" i="15"/>
  <c r="AK617" i="15"/>
  <c r="AL617" i="15"/>
  <c r="AN617" i="15"/>
  <c r="AT617" i="15"/>
  <c r="AU617" i="15"/>
  <c r="AV617" i="15"/>
  <c r="AX617" i="15"/>
  <c r="AJ618" i="15"/>
  <c r="AP618" i="15" s="1"/>
  <c r="AK618" i="15"/>
  <c r="AL618" i="15"/>
  <c r="AN618" i="15"/>
  <c r="AT618" i="15"/>
  <c r="AU618" i="15"/>
  <c r="AV618" i="15"/>
  <c r="AX618" i="15"/>
  <c r="AJ619" i="15"/>
  <c r="AP619" i="15" s="1"/>
  <c r="AK619" i="15"/>
  <c r="AL619" i="15"/>
  <c r="AN619" i="15"/>
  <c r="AT619" i="15"/>
  <c r="AU619" i="15"/>
  <c r="AV619" i="15"/>
  <c r="AX619" i="15"/>
  <c r="AJ620" i="15"/>
  <c r="AP620" i="15" s="1"/>
  <c r="AK620" i="15"/>
  <c r="AL620" i="15"/>
  <c r="AN620" i="15"/>
  <c r="AT620" i="15"/>
  <c r="AU620" i="15"/>
  <c r="AV620" i="15"/>
  <c r="AX620" i="15"/>
  <c r="AJ621" i="15"/>
  <c r="AK621" i="15"/>
  <c r="AL621" i="15"/>
  <c r="AN621" i="15"/>
  <c r="AT621" i="15"/>
  <c r="AU621" i="15"/>
  <c r="AV621" i="15"/>
  <c r="AX621" i="15"/>
  <c r="AJ622" i="15"/>
  <c r="AP622" i="15" s="1"/>
  <c r="AK622" i="15"/>
  <c r="AL622" i="15"/>
  <c r="AN622" i="15"/>
  <c r="AT622" i="15"/>
  <c r="AU622" i="15"/>
  <c r="AV622" i="15"/>
  <c r="AX622" i="15"/>
  <c r="AJ623" i="15"/>
  <c r="AP623" i="15" s="1"/>
  <c r="AK623" i="15"/>
  <c r="AL623" i="15"/>
  <c r="AN623" i="15"/>
  <c r="AT623" i="15"/>
  <c r="AU623" i="15"/>
  <c r="AV623" i="15"/>
  <c r="AX623" i="15"/>
  <c r="AJ624" i="15"/>
  <c r="AZ624" i="15" s="1"/>
  <c r="AK624" i="15"/>
  <c r="AL624" i="15"/>
  <c r="AN624" i="15"/>
  <c r="AT624" i="15"/>
  <c r="AU624" i="15"/>
  <c r="AV624" i="15"/>
  <c r="AX624" i="15"/>
  <c r="AJ625" i="15"/>
  <c r="AQ625" i="15" s="1"/>
  <c r="AK625" i="15"/>
  <c r="AL625" i="15"/>
  <c r="AN625" i="15"/>
  <c r="AT625" i="15"/>
  <c r="AU625" i="15"/>
  <c r="AV625" i="15"/>
  <c r="AX625" i="15"/>
  <c r="AJ626" i="15"/>
  <c r="AP626" i="15" s="1"/>
  <c r="AK626" i="15"/>
  <c r="AL626" i="15"/>
  <c r="AN626" i="15"/>
  <c r="AT626" i="15"/>
  <c r="AU626" i="15"/>
  <c r="AV626" i="15"/>
  <c r="AX626" i="15"/>
  <c r="AJ627" i="15"/>
  <c r="AP627" i="15" s="1"/>
  <c r="AK627" i="15"/>
  <c r="AL627" i="15"/>
  <c r="AN627" i="15"/>
  <c r="AT627" i="15"/>
  <c r="AU627" i="15"/>
  <c r="AV627" i="15"/>
  <c r="AX627" i="15"/>
  <c r="AJ628" i="15"/>
  <c r="AQ628" i="15" s="1"/>
  <c r="AK628" i="15"/>
  <c r="AL628" i="15"/>
  <c r="AN628" i="15"/>
  <c r="AT628" i="15"/>
  <c r="AU628" i="15"/>
  <c r="AV628" i="15"/>
  <c r="AX628" i="15"/>
  <c r="AJ629" i="15"/>
  <c r="AP629" i="15" s="1"/>
  <c r="AK629" i="15"/>
  <c r="AL629" i="15"/>
  <c r="AN629" i="15"/>
  <c r="AT629" i="15"/>
  <c r="AU629" i="15"/>
  <c r="AV629" i="15"/>
  <c r="AX629" i="15"/>
  <c r="AJ630" i="15"/>
  <c r="AP630" i="15" s="1"/>
  <c r="AK630" i="15"/>
  <c r="AL630" i="15"/>
  <c r="AN630" i="15"/>
  <c r="AT630" i="15"/>
  <c r="AU630" i="15"/>
  <c r="AV630" i="15"/>
  <c r="AX630" i="15"/>
  <c r="AJ631" i="15"/>
  <c r="AP631" i="15" s="1"/>
  <c r="AK631" i="15"/>
  <c r="AL631" i="15"/>
  <c r="AN631" i="15"/>
  <c r="AT631" i="15"/>
  <c r="AU631" i="15"/>
  <c r="AV631" i="15"/>
  <c r="AX631" i="15"/>
  <c r="AJ632" i="15"/>
  <c r="AS632" i="15" s="1"/>
  <c r="AK632" i="15"/>
  <c r="AL632" i="15"/>
  <c r="AN632" i="15"/>
  <c r="AT632" i="15"/>
  <c r="AU632" i="15"/>
  <c r="AV632" i="15"/>
  <c r="AX632" i="15"/>
  <c r="AJ633" i="15"/>
  <c r="AS633" i="15" s="1"/>
  <c r="AK633" i="15"/>
  <c r="AL633" i="15"/>
  <c r="AN633" i="15"/>
  <c r="AT633" i="15"/>
  <c r="AU633" i="15"/>
  <c r="AV633" i="15"/>
  <c r="AX633" i="15"/>
  <c r="AJ634" i="15"/>
  <c r="AK634" i="15"/>
  <c r="AL634" i="15"/>
  <c r="AN634" i="15"/>
  <c r="AT634" i="15"/>
  <c r="AU634" i="15"/>
  <c r="AV634" i="15"/>
  <c r="AX634" i="15"/>
  <c r="AJ635" i="15"/>
  <c r="AZ635" i="15" s="1"/>
  <c r="AK635" i="15"/>
  <c r="AL635" i="15"/>
  <c r="AN635" i="15"/>
  <c r="AT635" i="15"/>
  <c r="AU635" i="15"/>
  <c r="AV635" i="15"/>
  <c r="AX635" i="15"/>
  <c r="AJ636" i="15"/>
  <c r="AK636" i="15"/>
  <c r="AL636" i="15"/>
  <c r="AN636" i="15"/>
  <c r="AT636" i="15"/>
  <c r="AU636" i="15"/>
  <c r="AV636" i="15"/>
  <c r="AX636" i="15"/>
  <c r="AJ637" i="15"/>
  <c r="AQ637" i="15" s="1"/>
  <c r="AK637" i="15"/>
  <c r="AL637" i="15"/>
  <c r="AN637" i="15"/>
  <c r="AT637" i="15"/>
  <c r="AU637" i="15"/>
  <c r="AV637" i="15"/>
  <c r="AX637" i="15"/>
  <c r="AJ638" i="15"/>
  <c r="AP638" i="15" s="1"/>
  <c r="AK638" i="15"/>
  <c r="AL638" i="15"/>
  <c r="AN638" i="15"/>
  <c r="AT638" i="15"/>
  <c r="AU638" i="15"/>
  <c r="AV638" i="15"/>
  <c r="AX638" i="15"/>
  <c r="AJ639" i="15"/>
  <c r="AP639" i="15" s="1"/>
  <c r="AK639" i="15"/>
  <c r="AL639" i="15"/>
  <c r="AN639" i="15"/>
  <c r="AT639" i="15"/>
  <c r="AU639" i="15"/>
  <c r="AV639" i="15"/>
  <c r="AX639" i="15"/>
  <c r="AJ640" i="15"/>
  <c r="AK640" i="15"/>
  <c r="AL640" i="15"/>
  <c r="AN640" i="15"/>
  <c r="AT640" i="15"/>
  <c r="AU640" i="15"/>
  <c r="AV640" i="15"/>
  <c r="AX640" i="15"/>
  <c r="AJ641" i="15"/>
  <c r="AQ641" i="15" s="1"/>
  <c r="AK641" i="15"/>
  <c r="AL641" i="15"/>
  <c r="AN641" i="15"/>
  <c r="AT641" i="15"/>
  <c r="AU641" i="15"/>
  <c r="AV641" i="15"/>
  <c r="AX641" i="15"/>
  <c r="AJ642" i="15"/>
  <c r="AP642" i="15" s="1"/>
  <c r="AK642" i="15"/>
  <c r="AL642" i="15"/>
  <c r="AN642" i="15"/>
  <c r="AT642" i="15"/>
  <c r="AU642" i="15"/>
  <c r="AV642" i="15"/>
  <c r="AX642" i="15"/>
  <c r="AJ643" i="15"/>
  <c r="AP643" i="15" s="1"/>
  <c r="AK643" i="15"/>
  <c r="AL643" i="15"/>
  <c r="AN643" i="15"/>
  <c r="AT643" i="15"/>
  <c r="AU643" i="15"/>
  <c r="AV643" i="15"/>
  <c r="AX643" i="15"/>
  <c r="AJ644" i="15"/>
  <c r="AS644" i="15" s="1"/>
  <c r="AK644" i="15"/>
  <c r="AL644" i="15"/>
  <c r="AN644" i="15"/>
  <c r="AT644" i="15"/>
  <c r="AU644" i="15"/>
  <c r="AV644" i="15"/>
  <c r="AX644" i="15"/>
  <c r="AJ645" i="15"/>
  <c r="AQ645" i="15" s="1"/>
  <c r="AK645" i="15"/>
  <c r="AL645" i="15"/>
  <c r="AN645" i="15"/>
  <c r="AT645" i="15"/>
  <c r="AU645" i="15"/>
  <c r="AV645" i="15"/>
  <c r="AX645" i="15"/>
  <c r="AJ646" i="15"/>
  <c r="AP646" i="15" s="1"/>
  <c r="AK646" i="15"/>
  <c r="AL646" i="15"/>
  <c r="AN646" i="15"/>
  <c r="AT646" i="15"/>
  <c r="AU646" i="15"/>
  <c r="AV646" i="15"/>
  <c r="AX646" i="15"/>
  <c r="AJ647" i="15"/>
  <c r="AP647" i="15" s="1"/>
  <c r="AK647" i="15"/>
  <c r="AL647" i="15"/>
  <c r="AN647" i="15"/>
  <c r="AT647" i="15"/>
  <c r="AU647" i="15"/>
  <c r="AV647" i="15"/>
  <c r="AX647" i="15"/>
  <c r="AJ648" i="15"/>
  <c r="AO648" i="15" s="1"/>
  <c r="AK648" i="15"/>
  <c r="AL648" i="15"/>
  <c r="AN648" i="15"/>
  <c r="AT648" i="15"/>
  <c r="AU648" i="15"/>
  <c r="AV648" i="15"/>
  <c r="AX648" i="15"/>
  <c r="AJ649" i="15"/>
  <c r="AP649" i="15" s="1"/>
  <c r="AK649" i="15"/>
  <c r="AL649" i="15"/>
  <c r="AN649" i="15"/>
  <c r="AT649" i="15"/>
  <c r="AU649" i="15"/>
  <c r="AV649" i="15"/>
  <c r="AX649" i="15"/>
  <c r="AJ650" i="15"/>
  <c r="AP650" i="15" s="1"/>
  <c r="AK650" i="15"/>
  <c r="AL650" i="15"/>
  <c r="AN650" i="15"/>
  <c r="AT650" i="15"/>
  <c r="AU650" i="15"/>
  <c r="AV650" i="15"/>
  <c r="AX650" i="15"/>
  <c r="AJ651" i="15"/>
  <c r="AP651" i="15" s="1"/>
  <c r="AK651" i="15"/>
  <c r="AL651" i="15"/>
  <c r="AN651" i="15"/>
  <c r="AT651" i="15"/>
  <c r="AU651" i="15"/>
  <c r="AV651" i="15"/>
  <c r="AX651" i="15"/>
  <c r="AJ652" i="15"/>
  <c r="AS652" i="15" s="1"/>
  <c r="AK652" i="15"/>
  <c r="AL652" i="15"/>
  <c r="AN652" i="15"/>
  <c r="AT652" i="15"/>
  <c r="AU652" i="15"/>
  <c r="AV652" i="15"/>
  <c r="AX652" i="15"/>
  <c r="AJ653" i="15"/>
  <c r="AS653" i="15" s="1"/>
  <c r="AK653" i="15"/>
  <c r="AL653" i="15"/>
  <c r="AN653" i="15"/>
  <c r="AT653" i="15"/>
  <c r="AU653" i="15"/>
  <c r="AV653" i="15"/>
  <c r="AX653" i="15"/>
  <c r="AJ654" i="15"/>
  <c r="AP654" i="15" s="1"/>
  <c r="AK654" i="15"/>
  <c r="AL654" i="15"/>
  <c r="AN654" i="15"/>
  <c r="AT654" i="15"/>
  <c r="AU654" i="15"/>
  <c r="AV654" i="15"/>
  <c r="AX654" i="15"/>
  <c r="AJ655" i="15"/>
  <c r="AK655" i="15"/>
  <c r="AL655" i="15"/>
  <c r="AN655" i="15"/>
  <c r="AT655" i="15"/>
  <c r="AU655" i="15"/>
  <c r="AV655" i="15"/>
  <c r="AX655" i="15"/>
  <c r="AJ656" i="15"/>
  <c r="AQ656" i="15" s="1"/>
  <c r="AK656" i="15"/>
  <c r="AL656" i="15"/>
  <c r="AN656" i="15"/>
  <c r="AT656" i="15"/>
  <c r="AU656" i="15"/>
  <c r="AV656" i="15"/>
  <c r="AX656" i="15"/>
  <c r="AJ657" i="15"/>
  <c r="AO657" i="15" s="1"/>
  <c r="AK657" i="15"/>
  <c r="AL657" i="15"/>
  <c r="AN657" i="15"/>
  <c r="AT657" i="15"/>
  <c r="AU657" i="15"/>
  <c r="AV657" i="15"/>
  <c r="AX657" i="15"/>
  <c r="AJ658" i="15"/>
  <c r="AK658" i="15"/>
  <c r="AL658" i="15"/>
  <c r="AN658" i="15"/>
  <c r="AT658" i="15"/>
  <c r="AU658" i="15"/>
  <c r="AV658" i="15"/>
  <c r="AX658" i="15"/>
  <c r="AJ659" i="15"/>
  <c r="AK659" i="15"/>
  <c r="AL659" i="15"/>
  <c r="AN659" i="15"/>
  <c r="AT659" i="15"/>
  <c r="AU659" i="15"/>
  <c r="AV659" i="15"/>
  <c r="AX659" i="15"/>
  <c r="AJ660" i="15"/>
  <c r="AK660" i="15"/>
  <c r="AL660" i="15"/>
  <c r="AN660" i="15"/>
  <c r="AT660" i="15"/>
  <c r="AU660" i="15"/>
  <c r="AV660" i="15"/>
  <c r="AX660" i="15"/>
  <c r="AJ661" i="15"/>
  <c r="AS661" i="15" s="1"/>
  <c r="AK661" i="15"/>
  <c r="AL661" i="15"/>
  <c r="AN661" i="15"/>
  <c r="AT661" i="15"/>
  <c r="AU661" i="15"/>
  <c r="AV661" i="15"/>
  <c r="AX661" i="15"/>
  <c r="AJ662" i="15"/>
  <c r="AP662" i="15" s="1"/>
  <c r="AK662" i="15"/>
  <c r="AL662" i="15"/>
  <c r="AN662" i="15"/>
  <c r="AT662" i="15"/>
  <c r="AU662" i="15"/>
  <c r="AV662" i="15"/>
  <c r="AX662" i="15"/>
  <c r="AJ663" i="15"/>
  <c r="AP663" i="15" s="1"/>
  <c r="AK663" i="15"/>
  <c r="AL663" i="15"/>
  <c r="AN663" i="15"/>
  <c r="AT663" i="15"/>
  <c r="AU663" i="15"/>
  <c r="AV663" i="15"/>
  <c r="AX663" i="15"/>
  <c r="AJ664" i="15"/>
  <c r="AP664" i="15" s="1"/>
  <c r="AK664" i="15"/>
  <c r="AL664" i="15"/>
  <c r="AN664" i="15"/>
  <c r="AT664" i="15"/>
  <c r="AU664" i="15"/>
  <c r="AV664" i="15"/>
  <c r="AX664" i="15"/>
  <c r="AJ665" i="15"/>
  <c r="AQ665" i="15" s="1"/>
  <c r="AK665" i="15"/>
  <c r="AL665" i="15"/>
  <c r="AN665" i="15"/>
  <c r="AT665" i="15"/>
  <c r="AU665" i="15"/>
  <c r="AV665" i="15"/>
  <c r="AX665" i="15"/>
  <c r="AJ666" i="15"/>
  <c r="AZ666" i="15" s="1"/>
  <c r="AK666" i="15"/>
  <c r="AL666" i="15"/>
  <c r="AN666" i="15"/>
  <c r="AT666" i="15"/>
  <c r="AU666" i="15"/>
  <c r="AV666" i="15"/>
  <c r="AX666" i="15"/>
  <c r="AJ667" i="15"/>
  <c r="AO667" i="15" s="1"/>
  <c r="AK667" i="15"/>
  <c r="AL667" i="15"/>
  <c r="AN667" i="15"/>
  <c r="AT667" i="15"/>
  <c r="AU667" i="15"/>
  <c r="AV667" i="15"/>
  <c r="AX667" i="15"/>
  <c r="AJ668" i="15"/>
  <c r="AK668" i="15"/>
  <c r="AL668" i="15"/>
  <c r="AN668" i="15"/>
  <c r="AT668" i="15"/>
  <c r="AU668" i="15"/>
  <c r="AV668" i="15"/>
  <c r="AX668" i="15"/>
  <c r="AJ669" i="15"/>
  <c r="AP669" i="15" s="1"/>
  <c r="AK669" i="15"/>
  <c r="AL669" i="15"/>
  <c r="AN669" i="15"/>
  <c r="AT669" i="15"/>
  <c r="AU669" i="15"/>
  <c r="AV669" i="15"/>
  <c r="AX669" i="15"/>
  <c r="AJ670" i="15"/>
  <c r="AP670" i="15" s="1"/>
  <c r="AK670" i="15"/>
  <c r="AL670" i="15"/>
  <c r="AN670" i="15"/>
  <c r="AT670" i="15"/>
  <c r="AU670" i="15"/>
  <c r="AV670" i="15"/>
  <c r="AX670" i="15"/>
  <c r="AJ671" i="15"/>
  <c r="AK671" i="15"/>
  <c r="AL671" i="15"/>
  <c r="AN671" i="15"/>
  <c r="AT671" i="15"/>
  <c r="AU671" i="15"/>
  <c r="AV671" i="15"/>
  <c r="AX671" i="15"/>
  <c r="AJ672" i="15"/>
  <c r="AO672" i="15" s="1"/>
  <c r="AK672" i="15"/>
  <c r="AL672" i="15"/>
  <c r="AN672" i="15"/>
  <c r="AT672" i="15"/>
  <c r="AU672" i="15"/>
  <c r="AV672" i="15"/>
  <c r="AX672" i="15"/>
  <c r="AJ673" i="15"/>
  <c r="AO673" i="15" s="1"/>
  <c r="AK673" i="15"/>
  <c r="AL673" i="15"/>
  <c r="AN673" i="15"/>
  <c r="AT673" i="15"/>
  <c r="AU673" i="15"/>
  <c r="AV673" i="15"/>
  <c r="AX673" i="15"/>
  <c r="AJ674" i="15"/>
  <c r="AQ674" i="15" s="1"/>
  <c r="AK674" i="15"/>
  <c r="AL674" i="15"/>
  <c r="AN674" i="15"/>
  <c r="AT674" i="15"/>
  <c r="AU674" i="15"/>
  <c r="AV674" i="15"/>
  <c r="AX674" i="15"/>
  <c r="AJ675" i="15"/>
  <c r="AQ675" i="15" s="1"/>
  <c r="AK675" i="15"/>
  <c r="AL675" i="15"/>
  <c r="AN675" i="15"/>
  <c r="AT675" i="15"/>
  <c r="AU675" i="15"/>
  <c r="AV675" i="15"/>
  <c r="AX675" i="15"/>
  <c r="AJ676" i="15"/>
  <c r="AP676" i="15" s="1"/>
  <c r="AK676" i="15"/>
  <c r="AL676" i="15"/>
  <c r="AN676" i="15"/>
  <c r="AT676" i="15"/>
  <c r="AU676" i="15"/>
  <c r="AV676" i="15"/>
  <c r="AX676" i="15"/>
  <c r="AJ677" i="15"/>
  <c r="AP677" i="15" s="1"/>
  <c r="AK677" i="15"/>
  <c r="AL677" i="15"/>
  <c r="AN677" i="15"/>
  <c r="AT677" i="15"/>
  <c r="AU677" i="15"/>
  <c r="AV677" i="15"/>
  <c r="AX677" i="15"/>
  <c r="AJ678" i="15"/>
  <c r="AP678" i="15" s="1"/>
  <c r="AK678" i="15"/>
  <c r="AL678" i="15"/>
  <c r="AN678" i="15"/>
  <c r="AT678" i="15"/>
  <c r="AU678" i="15"/>
  <c r="AV678" i="15"/>
  <c r="AX678" i="15"/>
  <c r="AJ679" i="15"/>
  <c r="AP679" i="15" s="1"/>
  <c r="AK679" i="15"/>
  <c r="AL679" i="15"/>
  <c r="AN679" i="15"/>
  <c r="AT679" i="15"/>
  <c r="AU679" i="15"/>
  <c r="AV679" i="15"/>
  <c r="AX679" i="15"/>
  <c r="AJ680" i="15"/>
  <c r="AK680" i="15"/>
  <c r="AL680" i="15"/>
  <c r="AN680" i="15"/>
  <c r="AT680" i="15"/>
  <c r="AU680" i="15"/>
  <c r="AV680" i="15"/>
  <c r="AX680" i="15"/>
  <c r="AJ681" i="15"/>
  <c r="AK681" i="15"/>
  <c r="AL681" i="15"/>
  <c r="AN681" i="15"/>
  <c r="AT681" i="15"/>
  <c r="AU681" i="15"/>
  <c r="AV681" i="15"/>
  <c r="AX681" i="15"/>
  <c r="AJ682" i="15"/>
  <c r="AP682" i="15" s="1"/>
  <c r="AK682" i="15"/>
  <c r="AL682" i="15"/>
  <c r="AN682" i="15"/>
  <c r="AT682" i="15"/>
  <c r="AU682" i="15"/>
  <c r="AV682" i="15"/>
  <c r="AX682" i="15"/>
  <c r="AJ683" i="15"/>
  <c r="AS683" i="15" s="1"/>
  <c r="AK683" i="15"/>
  <c r="AL683" i="15"/>
  <c r="AN683" i="15"/>
  <c r="AT683" i="15"/>
  <c r="AU683" i="15"/>
  <c r="AV683" i="15"/>
  <c r="AX683" i="15"/>
  <c r="AJ684" i="15"/>
  <c r="AO684" i="15" s="1"/>
  <c r="AK684" i="15"/>
  <c r="AL684" i="15"/>
  <c r="AN684" i="15"/>
  <c r="AT684" i="15"/>
  <c r="AU684" i="15"/>
  <c r="AV684" i="15"/>
  <c r="AX684" i="15"/>
  <c r="AJ685" i="15"/>
  <c r="AZ685" i="15" s="1"/>
  <c r="AK685" i="15"/>
  <c r="AL685" i="15"/>
  <c r="AN685" i="15"/>
  <c r="AT685" i="15"/>
  <c r="AU685" i="15"/>
  <c r="AV685" i="15"/>
  <c r="AX685" i="15"/>
  <c r="AJ686" i="15"/>
  <c r="AZ686" i="15" s="1"/>
  <c r="AK686" i="15"/>
  <c r="AL686" i="15"/>
  <c r="AN686" i="15"/>
  <c r="AT686" i="15"/>
  <c r="AU686" i="15"/>
  <c r="AV686" i="15"/>
  <c r="AX686" i="15"/>
  <c r="AJ687" i="15"/>
  <c r="AO687" i="15" s="1"/>
  <c r="AK687" i="15"/>
  <c r="AL687" i="15"/>
  <c r="AN687" i="15"/>
  <c r="AT687" i="15"/>
  <c r="AU687" i="15"/>
  <c r="AV687" i="15"/>
  <c r="AX687" i="15"/>
  <c r="AJ688" i="15"/>
  <c r="AO688" i="15" s="1"/>
  <c r="AK688" i="15"/>
  <c r="AL688" i="15"/>
  <c r="AN688" i="15"/>
  <c r="AT688" i="15"/>
  <c r="AU688" i="15"/>
  <c r="AV688" i="15"/>
  <c r="AX688" i="15"/>
  <c r="AJ689" i="15"/>
  <c r="AZ689" i="15" s="1"/>
  <c r="AK689" i="15"/>
  <c r="AL689" i="15"/>
  <c r="AN689" i="15"/>
  <c r="AT689" i="15"/>
  <c r="AU689" i="15"/>
  <c r="AV689" i="15"/>
  <c r="AX689" i="15"/>
  <c r="AJ690" i="15"/>
  <c r="AO690" i="15" s="1"/>
  <c r="AK690" i="15"/>
  <c r="AL690" i="15"/>
  <c r="AN690" i="15"/>
  <c r="AT690" i="15"/>
  <c r="AU690" i="15"/>
  <c r="AV690" i="15"/>
  <c r="AX690" i="15"/>
  <c r="AJ691" i="15"/>
  <c r="AP691" i="15" s="1"/>
  <c r="AK691" i="15"/>
  <c r="AL691" i="15"/>
  <c r="AN691" i="15"/>
  <c r="AT691" i="15"/>
  <c r="AU691" i="15"/>
  <c r="AV691" i="15"/>
  <c r="AX691" i="15"/>
  <c r="AJ692" i="15"/>
  <c r="AK692" i="15"/>
  <c r="AL692" i="15"/>
  <c r="AN692" i="15"/>
  <c r="AT692" i="15"/>
  <c r="AU692" i="15"/>
  <c r="AV692" i="15"/>
  <c r="AX692" i="15"/>
  <c r="AJ693" i="15"/>
  <c r="AZ693" i="15" s="1"/>
  <c r="AK693" i="15"/>
  <c r="AL693" i="15"/>
  <c r="AN693" i="15"/>
  <c r="AT693" i="15"/>
  <c r="AU693" i="15"/>
  <c r="AV693" i="15"/>
  <c r="AX693" i="15"/>
  <c r="AJ694" i="15"/>
  <c r="AK694" i="15"/>
  <c r="AL694" i="15"/>
  <c r="AN694" i="15"/>
  <c r="AT694" i="15"/>
  <c r="AU694" i="15"/>
  <c r="AV694" i="15"/>
  <c r="AX694" i="15"/>
  <c r="AJ695" i="15"/>
  <c r="AK695" i="15"/>
  <c r="AL695" i="15"/>
  <c r="AN695" i="15"/>
  <c r="AT695" i="15"/>
  <c r="AU695" i="15"/>
  <c r="AV695" i="15"/>
  <c r="AX695" i="15"/>
  <c r="AJ696" i="15"/>
  <c r="AK696" i="15"/>
  <c r="AL696" i="15"/>
  <c r="AN696" i="15"/>
  <c r="AT696" i="15"/>
  <c r="AU696" i="15"/>
  <c r="AV696" i="15"/>
  <c r="AX696" i="15"/>
  <c r="AJ697" i="15"/>
  <c r="AZ697" i="15" s="1"/>
  <c r="AK697" i="15"/>
  <c r="AL697" i="15"/>
  <c r="AN697" i="15"/>
  <c r="AT697" i="15"/>
  <c r="AU697" i="15"/>
  <c r="AV697" i="15"/>
  <c r="AX697" i="15"/>
  <c r="AJ698" i="15"/>
  <c r="AZ698" i="15" s="1"/>
  <c r="AK698" i="15"/>
  <c r="AL698" i="15"/>
  <c r="AN698" i="15"/>
  <c r="AT698" i="15"/>
  <c r="AU698" i="15"/>
  <c r="AV698" i="15"/>
  <c r="AX698" i="15"/>
  <c r="AJ699" i="15"/>
  <c r="AK699" i="15"/>
  <c r="AL699" i="15"/>
  <c r="AN699" i="15"/>
  <c r="AT699" i="15"/>
  <c r="AU699" i="15"/>
  <c r="AV699" i="15"/>
  <c r="AX699" i="15"/>
  <c r="AJ700" i="15"/>
  <c r="AO700" i="15" s="1"/>
  <c r="AK700" i="15"/>
  <c r="AL700" i="15"/>
  <c r="AN700" i="15"/>
  <c r="AT700" i="15"/>
  <c r="AU700" i="15"/>
  <c r="AV700" i="15"/>
  <c r="AX700" i="15"/>
  <c r="AJ701" i="15"/>
  <c r="AZ701" i="15" s="1"/>
  <c r="AK701" i="15"/>
  <c r="AL701" i="15"/>
  <c r="AN701" i="15"/>
  <c r="AT701" i="15"/>
  <c r="AU701" i="15"/>
  <c r="AV701" i="15"/>
  <c r="AX701" i="15"/>
  <c r="AJ702" i="15"/>
  <c r="AK702" i="15"/>
  <c r="AL702" i="15"/>
  <c r="AN702" i="15"/>
  <c r="AT702" i="15"/>
  <c r="AU702" i="15"/>
  <c r="AV702" i="15"/>
  <c r="AX702" i="15"/>
  <c r="AJ703" i="15"/>
  <c r="AK703" i="15"/>
  <c r="AL703" i="15"/>
  <c r="AN703" i="15"/>
  <c r="AT703" i="15"/>
  <c r="AU703" i="15"/>
  <c r="AV703" i="15"/>
  <c r="AX703" i="15"/>
  <c r="AJ704" i="15"/>
  <c r="AO704" i="15" s="1"/>
  <c r="AK704" i="15"/>
  <c r="AL704" i="15"/>
  <c r="AN704" i="15"/>
  <c r="AT704" i="15"/>
  <c r="AU704" i="15"/>
  <c r="AV704" i="15"/>
  <c r="AX704" i="15"/>
  <c r="AJ705" i="15"/>
  <c r="AZ705" i="15" s="1"/>
  <c r="AK705" i="15"/>
  <c r="AL705" i="15"/>
  <c r="AN705" i="15"/>
  <c r="AT705" i="15"/>
  <c r="AU705" i="15"/>
  <c r="AV705" i="15"/>
  <c r="AX705" i="15"/>
  <c r="AJ706" i="15"/>
  <c r="AQ706" i="15" s="1"/>
  <c r="AK706" i="15"/>
  <c r="AL706" i="15"/>
  <c r="AN706" i="15"/>
  <c r="AT706" i="15"/>
  <c r="AU706" i="15"/>
  <c r="AV706" i="15"/>
  <c r="AX706" i="15"/>
  <c r="AJ707" i="15"/>
  <c r="AK707" i="15"/>
  <c r="AL707" i="15"/>
  <c r="AN707" i="15"/>
  <c r="AT707" i="15"/>
  <c r="AU707" i="15"/>
  <c r="AV707" i="15"/>
  <c r="AX707" i="15"/>
  <c r="AJ708" i="15"/>
  <c r="AP708" i="15" s="1"/>
  <c r="AK708" i="15"/>
  <c r="AL708" i="15"/>
  <c r="AN708" i="15"/>
  <c r="AT708" i="15"/>
  <c r="AU708" i="15"/>
  <c r="AV708" i="15"/>
  <c r="AX708" i="15"/>
  <c r="AJ709" i="15"/>
  <c r="AZ709" i="15" s="1"/>
  <c r="AK709" i="15"/>
  <c r="AL709" i="15"/>
  <c r="AN709" i="15"/>
  <c r="AT709" i="15"/>
  <c r="AU709" i="15"/>
  <c r="AV709" i="15"/>
  <c r="AX709" i="15"/>
  <c r="AJ710" i="15"/>
  <c r="AZ710" i="15" s="1"/>
  <c r="AK710" i="15"/>
  <c r="AL710" i="15"/>
  <c r="AN710" i="15"/>
  <c r="AT710" i="15"/>
  <c r="AU710" i="15"/>
  <c r="AV710" i="15"/>
  <c r="AX710" i="15"/>
  <c r="AJ711" i="15"/>
  <c r="AK711" i="15"/>
  <c r="AL711" i="15"/>
  <c r="AN711" i="15"/>
  <c r="AJ712" i="15"/>
  <c r="AP712" i="15" s="1"/>
  <c r="AK712" i="15"/>
  <c r="AL712" i="15"/>
  <c r="AN712" i="15"/>
  <c r="AT712" i="15"/>
  <c r="AU712" i="15"/>
  <c r="AV712" i="15"/>
  <c r="AX712" i="15"/>
  <c r="AJ713" i="15"/>
  <c r="AZ713" i="15" s="1"/>
  <c r="AK713" i="15"/>
  <c r="AL713" i="15"/>
  <c r="AN713" i="15"/>
  <c r="AT713" i="15"/>
  <c r="AU713" i="15"/>
  <c r="AV713" i="15"/>
  <c r="AX713" i="15"/>
  <c r="AJ714" i="15"/>
  <c r="AS714" i="15" s="1"/>
  <c r="AK714" i="15"/>
  <c r="AL714" i="15"/>
  <c r="AN714" i="15"/>
  <c r="AT714" i="15"/>
  <c r="AU714" i="15"/>
  <c r="AV714" i="15"/>
  <c r="AX714" i="15"/>
  <c r="AJ715" i="15"/>
  <c r="AK715" i="15"/>
  <c r="AL715" i="15"/>
  <c r="AN715" i="15"/>
  <c r="AT715" i="15"/>
  <c r="AU715" i="15"/>
  <c r="AV715" i="15"/>
  <c r="AX715" i="15"/>
  <c r="AJ716" i="15"/>
  <c r="AP716" i="15" s="1"/>
  <c r="AK716" i="15"/>
  <c r="AL716" i="15"/>
  <c r="AN716" i="15"/>
  <c r="AT716" i="15"/>
  <c r="AU716" i="15"/>
  <c r="AV716" i="15"/>
  <c r="AX716" i="15"/>
  <c r="AJ717" i="15"/>
  <c r="AZ717" i="15" s="1"/>
  <c r="AK717" i="15"/>
  <c r="AL717" i="15"/>
  <c r="AN717" i="15"/>
  <c r="AT717" i="15"/>
  <c r="AU717" i="15"/>
  <c r="AV717" i="15"/>
  <c r="AX717" i="15"/>
  <c r="AJ718" i="15"/>
  <c r="AO718" i="15" s="1"/>
  <c r="AK718" i="15"/>
  <c r="AL718" i="15"/>
  <c r="AN718" i="15"/>
  <c r="AT718" i="15"/>
  <c r="AU718" i="15"/>
  <c r="AV718" i="15"/>
  <c r="AX718" i="15"/>
  <c r="AJ719" i="15"/>
  <c r="AZ719" i="15" s="1"/>
  <c r="AK719" i="15"/>
  <c r="AL719" i="15"/>
  <c r="AN719" i="15"/>
  <c r="AT719" i="15"/>
  <c r="AU719" i="15"/>
  <c r="AV719" i="15"/>
  <c r="AX719" i="15"/>
  <c r="AJ720" i="15"/>
  <c r="AK720" i="15"/>
  <c r="AL720" i="15"/>
  <c r="AN720" i="15"/>
  <c r="AT720" i="15"/>
  <c r="AU720" i="15"/>
  <c r="AV720" i="15"/>
  <c r="AX720" i="15"/>
  <c r="AJ721" i="15"/>
  <c r="AZ721" i="15" s="1"/>
  <c r="AK721" i="15"/>
  <c r="AL721" i="15"/>
  <c r="AN721" i="15"/>
  <c r="AT721" i="15"/>
  <c r="AU721" i="15"/>
  <c r="AV721" i="15"/>
  <c r="AX721" i="15"/>
  <c r="AJ722" i="15"/>
  <c r="AO722" i="15" s="1"/>
  <c r="AK722" i="15"/>
  <c r="AL722" i="15"/>
  <c r="AN722" i="15"/>
  <c r="AT722" i="15"/>
  <c r="AU722" i="15"/>
  <c r="AV722" i="15"/>
  <c r="AX722" i="15"/>
  <c r="AJ723" i="15"/>
  <c r="AP723" i="15" s="1"/>
  <c r="AK723" i="15"/>
  <c r="AL723" i="15"/>
  <c r="AN723" i="15"/>
  <c r="AT723" i="15"/>
  <c r="AU723" i="15"/>
  <c r="AV723" i="15"/>
  <c r="AX723" i="15"/>
  <c r="AJ724" i="15"/>
  <c r="AP724" i="15" s="1"/>
  <c r="AK724" i="15"/>
  <c r="AL724" i="15"/>
  <c r="AN724" i="15"/>
  <c r="AT724" i="15"/>
  <c r="AU724" i="15"/>
  <c r="AV724" i="15"/>
  <c r="AX724" i="15"/>
  <c r="AJ725" i="15"/>
  <c r="AZ725" i="15" s="1"/>
  <c r="AK725" i="15"/>
  <c r="AL725" i="15"/>
  <c r="AN725" i="15"/>
  <c r="AT725" i="15"/>
  <c r="AU725" i="15"/>
  <c r="AV725" i="15"/>
  <c r="AX725" i="15"/>
  <c r="AJ726" i="15"/>
  <c r="AS726" i="15" s="1"/>
  <c r="AK726" i="15"/>
  <c r="AL726" i="15"/>
  <c r="AN726" i="15"/>
  <c r="AT726" i="15"/>
  <c r="AU726" i="15"/>
  <c r="AV726" i="15"/>
  <c r="AX726" i="15"/>
  <c r="AJ727" i="15"/>
  <c r="AK727" i="15"/>
  <c r="AL727" i="15"/>
  <c r="AN727" i="15"/>
  <c r="AT727" i="15"/>
  <c r="AU727" i="15"/>
  <c r="AV727" i="15"/>
  <c r="AX727" i="15"/>
  <c r="AJ728" i="15"/>
  <c r="AO728" i="15" s="1"/>
  <c r="AK728" i="15"/>
  <c r="AL728" i="15"/>
  <c r="AN728" i="15"/>
  <c r="AT728" i="15"/>
  <c r="AU728" i="15"/>
  <c r="AV728" i="15"/>
  <c r="AX728" i="15"/>
  <c r="AJ729" i="15"/>
  <c r="AZ729" i="15" s="1"/>
  <c r="AK729" i="15"/>
  <c r="AL729" i="15"/>
  <c r="AN729" i="15"/>
  <c r="AT729" i="15"/>
  <c r="AU729" i="15"/>
  <c r="AV729" i="15"/>
  <c r="AX729" i="15"/>
  <c r="AJ730" i="15"/>
  <c r="AO730" i="15" s="1"/>
  <c r="AK730" i="15"/>
  <c r="AL730" i="15"/>
  <c r="AN730" i="15"/>
  <c r="AT730" i="15"/>
  <c r="AU730" i="15"/>
  <c r="AV730" i="15"/>
  <c r="AX730" i="15"/>
  <c r="AJ731" i="15"/>
  <c r="AO731" i="15" s="1"/>
  <c r="AK731" i="15"/>
  <c r="AL731" i="15"/>
  <c r="AN731" i="15"/>
  <c r="AT731" i="15"/>
  <c r="AU731" i="15"/>
  <c r="AV731" i="15"/>
  <c r="AX731" i="15"/>
  <c r="AJ732" i="15"/>
  <c r="AP732" i="15" s="1"/>
  <c r="AK732" i="15"/>
  <c r="AL732" i="15"/>
  <c r="AN732" i="15"/>
  <c r="AT732" i="15"/>
  <c r="AU732" i="15"/>
  <c r="AV732" i="15"/>
  <c r="AX732" i="15"/>
  <c r="AJ733" i="15"/>
  <c r="AZ733" i="15" s="1"/>
  <c r="AK733" i="15"/>
  <c r="AL733" i="15"/>
  <c r="AN733" i="15"/>
  <c r="AT733" i="15"/>
  <c r="AU733" i="15"/>
  <c r="AV733" i="15"/>
  <c r="AX733" i="15"/>
  <c r="AJ734" i="15"/>
  <c r="AS734" i="15" s="1"/>
  <c r="AK734" i="15"/>
  <c r="AL734" i="15"/>
  <c r="AN734" i="15"/>
  <c r="AT734" i="15"/>
  <c r="AU734" i="15"/>
  <c r="AV734" i="15"/>
  <c r="AX734" i="15"/>
  <c r="AJ735" i="15"/>
  <c r="AO735" i="15" s="1"/>
  <c r="AK735" i="15"/>
  <c r="AL735" i="15"/>
  <c r="AN735" i="15"/>
  <c r="AT735" i="15"/>
  <c r="AU735" i="15"/>
  <c r="AV735" i="15"/>
  <c r="AX735" i="15"/>
  <c r="AJ736" i="15"/>
  <c r="AP736" i="15" s="1"/>
  <c r="AK736" i="15"/>
  <c r="AL736" i="15"/>
  <c r="AN736" i="15"/>
  <c r="AT736" i="15"/>
  <c r="AU736" i="15"/>
  <c r="AV736" i="15"/>
  <c r="AX736" i="15"/>
  <c r="AJ737" i="15"/>
  <c r="AZ737" i="15" s="1"/>
  <c r="AK737" i="15"/>
  <c r="AL737" i="15"/>
  <c r="AN737" i="15"/>
  <c r="AT737" i="15"/>
  <c r="AU737" i="15"/>
  <c r="AV737" i="15"/>
  <c r="AX737" i="15"/>
  <c r="AJ738" i="15"/>
  <c r="AK738" i="15"/>
  <c r="AL738" i="15"/>
  <c r="AN738" i="15"/>
  <c r="AT738" i="15"/>
  <c r="AU738" i="15"/>
  <c r="AV738" i="15"/>
  <c r="AX738" i="15"/>
  <c r="AJ739" i="15"/>
  <c r="AS739" i="15" s="1"/>
  <c r="AK739" i="15"/>
  <c r="AL739" i="15"/>
  <c r="AN739" i="15"/>
  <c r="AT739" i="15"/>
  <c r="AU739" i="15"/>
  <c r="AV739" i="15"/>
  <c r="AX739" i="15"/>
  <c r="AJ740" i="15"/>
  <c r="AP740" i="15" s="1"/>
  <c r="AK740" i="15"/>
  <c r="AL740" i="15"/>
  <c r="AN740" i="15"/>
  <c r="AT740" i="15"/>
  <c r="AU740" i="15"/>
  <c r="AV740" i="15"/>
  <c r="AX740" i="15"/>
  <c r="AJ741" i="15"/>
  <c r="AZ741" i="15" s="1"/>
  <c r="AK741" i="15"/>
  <c r="AL741" i="15"/>
  <c r="AN741" i="15"/>
  <c r="AT741" i="15"/>
  <c r="AU741" i="15"/>
  <c r="AV741" i="15"/>
  <c r="AX741" i="15"/>
  <c r="AJ742" i="15"/>
  <c r="AQ742" i="15" s="1"/>
  <c r="AK742" i="15"/>
  <c r="AL742" i="15"/>
  <c r="AN742" i="15"/>
  <c r="AT742" i="15"/>
  <c r="AU742" i="15"/>
  <c r="AV742" i="15"/>
  <c r="AX742" i="15"/>
  <c r="AJ743" i="15"/>
  <c r="AO743" i="15" s="1"/>
  <c r="AK743" i="15"/>
  <c r="AL743" i="15"/>
  <c r="AN743" i="15"/>
  <c r="AT743" i="15"/>
  <c r="AU743" i="15"/>
  <c r="AV743" i="15"/>
  <c r="AX743" i="15"/>
  <c r="AJ744" i="15"/>
  <c r="AP744" i="15" s="1"/>
  <c r="AK744" i="15"/>
  <c r="AL744" i="15"/>
  <c r="AN744" i="15"/>
  <c r="AT744" i="15"/>
  <c r="AU744" i="15"/>
  <c r="AV744" i="15"/>
  <c r="AX744" i="15"/>
  <c r="AJ745" i="15"/>
  <c r="AZ745" i="15" s="1"/>
  <c r="AK745" i="15"/>
  <c r="AL745" i="15"/>
  <c r="AN745" i="15"/>
  <c r="AT745" i="15"/>
  <c r="AU745" i="15"/>
  <c r="AV745" i="15"/>
  <c r="AX745" i="15"/>
  <c r="AJ746" i="15"/>
  <c r="AS746" i="15" s="1"/>
  <c r="AK746" i="15"/>
  <c r="AL746" i="15"/>
  <c r="AN746" i="15"/>
  <c r="AT746" i="15"/>
  <c r="AU746" i="15"/>
  <c r="AV746" i="15"/>
  <c r="AX746" i="15"/>
  <c r="AJ747" i="15"/>
  <c r="AS747" i="15" s="1"/>
  <c r="AK747" i="15"/>
  <c r="AL747" i="15"/>
  <c r="AN747" i="15"/>
  <c r="AT747" i="15"/>
  <c r="AU747" i="15"/>
  <c r="AV747" i="15"/>
  <c r="AX747" i="15"/>
  <c r="AJ748" i="15"/>
  <c r="AP748" i="15" s="1"/>
  <c r="AK748" i="15"/>
  <c r="AL748" i="15"/>
  <c r="AN748" i="15"/>
  <c r="AT748" i="15"/>
  <c r="AU748" i="15"/>
  <c r="AV748" i="15"/>
  <c r="AX748" i="15"/>
  <c r="AJ749" i="15"/>
  <c r="AZ749" i="15" s="1"/>
  <c r="AK749" i="15"/>
  <c r="AL749" i="15"/>
  <c r="AN749" i="15"/>
  <c r="AT749" i="15"/>
  <c r="AU749" i="15"/>
  <c r="AV749" i="15"/>
  <c r="AX749" i="15"/>
  <c r="AJ750" i="15"/>
  <c r="AO750" i="15" s="1"/>
  <c r="AK750" i="15"/>
  <c r="AL750" i="15"/>
  <c r="AN750" i="15"/>
  <c r="AT750" i="15"/>
  <c r="AU750" i="15"/>
  <c r="AV750" i="15"/>
  <c r="AX750" i="15"/>
  <c r="AJ751" i="15"/>
  <c r="AS751" i="15" s="1"/>
  <c r="AK751" i="15"/>
  <c r="AL751" i="15"/>
  <c r="AN751" i="15"/>
  <c r="AT751" i="15"/>
  <c r="AU751" i="15"/>
  <c r="AV751" i="15"/>
  <c r="AX751" i="15"/>
  <c r="AJ752" i="15"/>
  <c r="AS752" i="15" s="1"/>
  <c r="AK752" i="15"/>
  <c r="AL752" i="15"/>
  <c r="AN752" i="15"/>
  <c r="AT752" i="15"/>
  <c r="AU752" i="15"/>
  <c r="AV752" i="15"/>
  <c r="AX752" i="15"/>
  <c r="AJ753" i="15"/>
  <c r="AZ753" i="15" s="1"/>
  <c r="AK753" i="15"/>
  <c r="AL753" i="15"/>
  <c r="AN753" i="15"/>
  <c r="AT753" i="15"/>
  <c r="AU753" i="15"/>
  <c r="AV753" i="15"/>
  <c r="AX753" i="15"/>
  <c r="AJ754" i="15"/>
  <c r="AZ754" i="15" s="1"/>
  <c r="AK754" i="15"/>
  <c r="AL754" i="15"/>
  <c r="AN754" i="15"/>
  <c r="AT754" i="15"/>
  <c r="AU754" i="15"/>
  <c r="AV754" i="15"/>
  <c r="AX754" i="15"/>
  <c r="AJ755" i="15"/>
  <c r="AS755" i="15" s="1"/>
  <c r="AK755" i="15"/>
  <c r="AL755" i="15"/>
  <c r="AN755" i="15"/>
  <c r="AT755" i="15"/>
  <c r="AU755" i="15"/>
  <c r="AV755" i="15"/>
  <c r="AX755" i="15"/>
  <c r="AJ756" i="15"/>
  <c r="AQ756" i="15" s="1"/>
  <c r="AK756" i="15"/>
  <c r="AL756" i="15"/>
  <c r="AN756" i="15"/>
  <c r="AT756" i="15"/>
  <c r="AU756" i="15"/>
  <c r="AV756" i="15"/>
  <c r="AX756" i="15"/>
  <c r="AJ757" i="15"/>
  <c r="AZ757" i="15" s="1"/>
  <c r="AK757" i="15"/>
  <c r="AL757" i="15"/>
  <c r="AN757" i="15"/>
  <c r="AT757" i="15"/>
  <c r="AU757" i="15"/>
  <c r="AV757" i="15"/>
  <c r="AX757" i="15"/>
  <c r="AJ758" i="15"/>
  <c r="AK758" i="15"/>
  <c r="AL758" i="15"/>
  <c r="AN758" i="15"/>
  <c r="AT758" i="15"/>
  <c r="AU758" i="15"/>
  <c r="AV758" i="15"/>
  <c r="AX758" i="15"/>
  <c r="AJ759" i="15"/>
  <c r="AK759" i="15"/>
  <c r="AL759" i="15"/>
  <c r="AN759" i="15"/>
  <c r="AT759" i="15"/>
  <c r="AU759" i="15"/>
  <c r="AV759" i="15"/>
  <c r="AX759" i="15"/>
  <c r="AJ760" i="15"/>
  <c r="AQ760" i="15" s="1"/>
  <c r="AK760" i="15"/>
  <c r="AL760" i="15"/>
  <c r="AN760" i="15"/>
  <c r="AT760" i="15"/>
  <c r="AU760" i="15"/>
  <c r="AV760" i="15"/>
  <c r="AX760" i="15"/>
  <c r="AJ761" i="15"/>
  <c r="AZ761" i="15" s="1"/>
  <c r="AK761" i="15"/>
  <c r="AL761" i="15"/>
  <c r="AN761" i="15"/>
  <c r="AT761" i="15"/>
  <c r="AU761" i="15"/>
  <c r="AV761" i="15"/>
  <c r="AX761" i="15"/>
  <c r="AJ762" i="15"/>
  <c r="AK762" i="15"/>
  <c r="AL762" i="15"/>
  <c r="AN762" i="15"/>
  <c r="AT762" i="15"/>
  <c r="AU762" i="15"/>
  <c r="AV762" i="15"/>
  <c r="AX762" i="15"/>
  <c r="AJ763" i="15"/>
  <c r="AK763" i="15"/>
  <c r="AL763" i="15"/>
  <c r="AN763" i="15"/>
  <c r="AT763" i="15"/>
  <c r="AU763" i="15"/>
  <c r="AV763" i="15"/>
  <c r="AX763" i="15"/>
  <c r="AJ764" i="15"/>
  <c r="AS764" i="15" s="1"/>
  <c r="AK764" i="15"/>
  <c r="AL764" i="15"/>
  <c r="AN764" i="15"/>
  <c r="AT764" i="15"/>
  <c r="AU764" i="15"/>
  <c r="AV764" i="15"/>
  <c r="AX764" i="15"/>
  <c r="AJ765" i="15"/>
  <c r="AZ765" i="15" s="1"/>
  <c r="AK765" i="15"/>
  <c r="AL765" i="15"/>
  <c r="AN765" i="15"/>
  <c r="AT765" i="15"/>
  <c r="AU765" i="15"/>
  <c r="AV765" i="15"/>
  <c r="AX765" i="15"/>
  <c r="AJ766" i="15"/>
  <c r="AO766" i="15" s="1"/>
  <c r="AK766" i="15"/>
  <c r="AL766" i="15"/>
  <c r="AN766" i="15"/>
  <c r="AT766" i="15"/>
  <c r="AU766" i="15"/>
  <c r="AV766" i="15"/>
  <c r="AX766" i="15"/>
  <c r="AJ767" i="15"/>
  <c r="AS767" i="15" s="1"/>
  <c r="AK767" i="15"/>
  <c r="AL767" i="15"/>
  <c r="AN767" i="15"/>
  <c r="AT767" i="15"/>
  <c r="AU767" i="15"/>
  <c r="AV767" i="15"/>
  <c r="AX767" i="15"/>
  <c r="AJ768" i="15"/>
  <c r="AQ768" i="15" s="1"/>
  <c r="AK768" i="15"/>
  <c r="AL768" i="15"/>
  <c r="AN768" i="15"/>
  <c r="AT768" i="15"/>
  <c r="AU768" i="15"/>
  <c r="AV768" i="15"/>
  <c r="AX768" i="15"/>
  <c r="AJ769" i="15"/>
  <c r="AZ769" i="15" s="1"/>
  <c r="AK769" i="15"/>
  <c r="AL769" i="15"/>
  <c r="AN769" i="15"/>
  <c r="AT769" i="15"/>
  <c r="AU769" i="15"/>
  <c r="AV769" i="15"/>
  <c r="AX769" i="15"/>
  <c r="AJ770" i="15"/>
  <c r="AK770" i="15"/>
  <c r="AL770" i="15"/>
  <c r="AN770" i="15"/>
  <c r="AT770" i="15"/>
  <c r="AU770" i="15"/>
  <c r="AV770" i="15"/>
  <c r="AX770" i="15"/>
  <c r="AJ771" i="15"/>
  <c r="AS771" i="15" s="1"/>
  <c r="AK771" i="15"/>
  <c r="AL771" i="15"/>
  <c r="AN771" i="15"/>
  <c r="AT771" i="15"/>
  <c r="AU771" i="15"/>
  <c r="AV771" i="15"/>
  <c r="AX771" i="15"/>
  <c r="AJ772" i="15"/>
  <c r="AQ772" i="15" s="1"/>
  <c r="AK772" i="15"/>
  <c r="AL772" i="15"/>
  <c r="AN772" i="15"/>
  <c r="AT772" i="15"/>
  <c r="AU772" i="15"/>
  <c r="AV772" i="15"/>
  <c r="AX772" i="15"/>
  <c r="AJ773" i="15"/>
  <c r="AZ773" i="15" s="1"/>
  <c r="AK773" i="15"/>
  <c r="AL773" i="15"/>
  <c r="AN773" i="15"/>
  <c r="AT773" i="15"/>
  <c r="AU773" i="15"/>
  <c r="AV773" i="15"/>
  <c r="AX773" i="15"/>
  <c r="AJ774" i="15"/>
  <c r="AO774" i="15" s="1"/>
  <c r="AK774" i="15"/>
  <c r="AL774" i="15"/>
  <c r="AN774" i="15"/>
  <c r="AT774" i="15"/>
  <c r="AU774" i="15"/>
  <c r="AV774" i="15"/>
  <c r="AX774" i="15"/>
  <c r="AJ775" i="15"/>
  <c r="AK775" i="15"/>
  <c r="AL775" i="15"/>
  <c r="AN775" i="15"/>
  <c r="AT775" i="15"/>
  <c r="AU775" i="15"/>
  <c r="AV775" i="15"/>
  <c r="AX775" i="15"/>
  <c r="AJ776" i="15"/>
  <c r="AK776" i="15"/>
  <c r="AL776" i="15"/>
  <c r="AN776" i="15"/>
  <c r="AT776" i="15"/>
  <c r="AU776" i="15"/>
  <c r="AV776" i="15"/>
  <c r="AX776" i="15"/>
  <c r="AJ777" i="15"/>
  <c r="AZ777" i="15" s="1"/>
  <c r="AK777" i="15"/>
  <c r="AL777" i="15"/>
  <c r="AN777" i="15"/>
  <c r="AT777" i="15"/>
  <c r="AU777" i="15"/>
  <c r="AV777" i="15"/>
  <c r="AX777" i="15"/>
  <c r="AJ778" i="15"/>
  <c r="AO778" i="15" s="1"/>
  <c r="AK778" i="15"/>
  <c r="AL778" i="15"/>
  <c r="AN778" i="15"/>
  <c r="AT778" i="15"/>
  <c r="AU778" i="15"/>
  <c r="AV778" i="15"/>
  <c r="AX778" i="15"/>
  <c r="AJ779" i="15"/>
  <c r="AQ779" i="15" s="1"/>
  <c r="AK779" i="15"/>
  <c r="AL779" i="15"/>
  <c r="AN779" i="15"/>
  <c r="AT779" i="15"/>
  <c r="AU779" i="15"/>
  <c r="AV779" i="15"/>
  <c r="AX779" i="15"/>
  <c r="AJ780" i="15"/>
  <c r="AS780" i="15" s="1"/>
  <c r="AK780" i="15"/>
  <c r="AL780" i="15"/>
  <c r="AN780" i="15"/>
  <c r="AT780" i="15"/>
  <c r="AU780" i="15"/>
  <c r="AV780" i="15"/>
  <c r="AX780" i="15"/>
  <c r="AJ781" i="15"/>
  <c r="AZ781" i="15" s="1"/>
  <c r="AK781" i="15"/>
  <c r="AL781" i="15"/>
  <c r="AN781" i="15"/>
  <c r="AT781" i="15"/>
  <c r="AU781" i="15"/>
  <c r="AV781" i="15"/>
  <c r="AX781" i="15"/>
  <c r="AJ782" i="15"/>
  <c r="AK782" i="15"/>
  <c r="AL782" i="15"/>
  <c r="AN782" i="15"/>
  <c r="AT782" i="15"/>
  <c r="AU782" i="15"/>
  <c r="AV782" i="15"/>
  <c r="AX782" i="15"/>
  <c r="AJ783" i="15"/>
  <c r="AQ783" i="15" s="1"/>
  <c r="AK783" i="15"/>
  <c r="AL783" i="15"/>
  <c r="AN783" i="15"/>
  <c r="AT783" i="15"/>
  <c r="AU783" i="15"/>
  <c r="AV783" i="15"/>
  <c r="AX783" i="15"/>
  <c r="AJ784" i="15"/>
  <c r="AS784" i="15" s="1"/>
  <c r="AK784" i="15"/>
  <c r="AL784" i="15"/>
  <c r="AN784" i="15"/>
  <c r="AT784" i="15"/>
  <c r="AU784" i="15"/>
  <c r="AV784" i="15"/>
  <c r="AX784" i="15"/>
  <c r="AJ785" i="15"/>
  <c r="AZ785" i="15" s="1"/>
  <c r="AK785" i="15"/>
  <c r="AL785" i="15"/>
  <c r="AN785" i="15"/>
  <c r="AT785" i="15"/>
  <c r="AU785" i="15"/>
  <c r="AV785" i="15"/>
  <c r="AX785" i="15"/>
  <c r="AJ786" i="15"/>
  <c r="AS786" i="15" s="1"/>
  <c r="AK786" i="15"/>
  <c r="AL786" i="15"/>
  <c r="AN786" i="15"/>
  <c r="AT786" i="15"/>
  <c r="AU786" i="15"/>
  <c r="AV786" i="15"/>
  <c r="AX786" i="15"/>
  <c r="AJ787" i="15"/>
  <c r="AQ787" i="15" s="1"/>
  <c r="AK787" i="15"/>
  <c r="AL787" i="15"/>
  <c r="AN787" i="15"/>
  <c r="AT787" i="15"/>
  <c r="AU787" i="15"/>
  <c r="AV787" i="15"/>
  <c r="AX787" i="15"/>
  <c r="AJ788" i="15"/>
  <c r="AQ788" i="15" s="1"/>
  <c r="AK788" i="15"/>
  <c r="AL788" i="15"/>
  <c r="AN788" i="15"/>
  <c r="AT788" i="15"/>
  <c r="AU788" i="15"/>
  <c r="AV788" i="15"/>
  <c r="AX788" i="15"/>
  <c r="AJ789" i="15"/>
  <c r="AO789" i="15" s="1"/>
  <c r="AK789" i="15"/>
  <c r="AL789" i="15"/>
  <c r="AN789" i="15"/>
  <c r="AT789" i="15"/>
  <c r="AU789" i="15"/>
  <c r="AV789" i="15"/>
  <c r="AX789" i="15"/>
  <c r="AJ790" i="15"/>
  <c r="AO790" i="15" s="1"/>
  <c r="AK790" i="15"/>
  <c r="AL790" i="15"/>
  <c r="AN790" i="15"/>
  <c r="AT790" i="15"/>
  <c r="AU790" i="15"/>
  <c r="AV790" i="15"/>
  <c r="AX790" i="15"/>
  <c r="AJ791" i="15"/>
  <c r="AO791" i="15" s="1"/>
  <c r="AK791" i="15"/>
  <c r="AL791" i="15"/>
  <c r="AN791" i="15"/>
  <c r="AT791" i="15"/>
  <c r="AU791" i="15"/>
  <c r="AV791" i="15"/>
  <c r="AX791" i="15"/>
  <c r="AJ792" i="15"/>
  <c r="AP792" i="15" s="1"/>
  <c r="AK792" i="15"/>
  <c r="AL792" i="15"/>
  <c r="AN792" i="15"/>
  <c r="AT792" i="15"/>
  <c r="AU792" i="15"/>
  <c r="AV792" i="15"/>
  <c r="AX792" i="15"/>
  <c r="AJ793" i="15"/>
  <c r="AO793" i="15" s="1"/>
  <c r="AK793" i="15"/>
  <c r="AL793" i="15"/>
  <c r="AN793" i="15"/>
  <c r="AT793" i="15"/>
  <c r="AU793" i="15"/>
  <c r="AV793" i="15"/>
  <c r="AX793" i="15"/>
  <c r="AJ794"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G9" i="25"/>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C16"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35" i="25" l="1"/>
  <c r="G16" i="25"/>
  <c r="E16"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AD494" i="9" l="1"/>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<sst xmlns="http://schemas.openxmlformats.org/spreadsheetml/2006/main" count="25024" uniqueCount="3441">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</sst>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292">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 fontId="126" fillId="32" borderId="6" xfId="0" applyNumberFormat="1" applyFont="1" applyFill="1" applyBorder="1"/>
    <xf numFmtId="37" fontId="126" fillId="32" borderId="7"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7" xfId="0" applyFont="1" applyBorder="1" applyAlignment="1">
      <alignment horizontal="center"/>
    </xf>
    <xf numFmtId="0" fontId="130" fillId="0" borderId="17" xfId="0" applyFont="1" applyBorder="1"/>
    <xf numFmtId="0" fontId="130" fillId="0" borderId="4" xfId="0" applyFont="1" applyBorder="1"/>
    <xf numFmtId="0" fontId="126" fillId="0" borderId="16" xfId="0" applyFont="1" applyBorder="1" applyAlignment="1">
      <alignment horizontal="center"/>
    </xf>
    <xf numFmtId="0" fontId="130" fillId="0" borderId="18" xfId="0" applyFont="1" applyBorder="1"/>
    <xf numFmtId="0" fontId="126" fillId="0" borderId="3"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5"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2294840.0099999998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2294840.0099999998</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240594.93</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2127369.42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232778.31000000003</v>
      </c>
      <c r="C10" s="14"/>
      <c r="D10" s="18" t="s">
        <v>29</v>
      </c>
      <c r="E10" s="19">
        <f>-SUMIFS(BV_Data_An_Cour!$AN:$AN,BV_Data_An_Cour!$AP:$AP,$A$1,BV_Data_An_Cour!$AQ:$AQ,$D10)</f>
        <v>726815.02</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502762.58</v>
      </c>
      <c r="C11" s="14"/>
      <c r="D11" s="18" t="s">
        <v>31</v>
      </c>
      <c r="E11" s="19">
        <f>-SUMIFS(BV_Data_An_Cour!$AN:$AN,BV_Data_An_Cour!$AP:$AP,$A$1,BV_Data_An_Cour!$AQ:$AQ,$D11)</f>
        <v>201710.81000000006</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12369280.08</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1227841</v>
      </c>
      <c r="C15" s="14"/>
      <c r="D15" s="18" t="s">
        <v>39</v>
      </c>
      <c r="E15" s="19">
        <f>-SUMIFS(BV_Data_An_Cour!$AN:$AN,BV_Data_An_Cour!$AP:$AP,$A$1,BV_Data_An_Cour!$AQ:$AQ,$D15)</f>
        <v>-79093.2</v>
      </c>
      <c r="F15" s="3"/>
      <c r="G15" s="3"/>
      <c r="H15" s="3"/>
      <c r="I15" s="3"/>
      <c r="J15" s="3"/>
      <c r="K15" s="3"/>
      <c r="L15" s="3"/>
      <c r="M15" s="3"/>
      <c r="N15" s="3"/>
      <c r="O15" s="3"/>
      <c r="P15" s="3"/>
      <c r="Q15" s="3"/>
      <c r="R15" s="3"/>
      <c r="S15" s="3"/>
      <c r="T15" s="3"/>
      <c r="U15" s="3"/>
      <c r="V15" s="3"/>
      <c r="W15" s="3"/>
      <c r="X15" s="3"/>
      <c r="Y15" s="3"/>
    </row>
    <row r="16" spans="1:25">
      <c r="A16" s="15" t="s">
        <v>40</v>
      </c>
      <c r="B16" s="16">
        <f>+SUM(B8:B15)</f>
        <v>16729123.34</v>
      </c>
      <c r="C16" s="17"/>
      <c r="D16" s="15" t="s">
        <v>41</v>
      </c>
      <c r="E16" s="16">
        <f>+SUM(E10:E15)</f>
        <v>7865107.5</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16390642.040000001</v>
      </c>
      <c r="C18" s="14"/>
      <c r="D18" s="18" t="s">
        <v>43</v>
      </c>
      <c r="E18" s="19">
        <f>-SUMIFS(BV_Data_An_Cour!$AN:$AN,BV_Data_An_Cour!$AP:$AP,$A$1,BV_Data_An_Cour!$AQ:$AQ,$D18)</f>
        <v>18499886.030000001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6491471.79</v>
      </c>
      <c r="C19" s="14"/>
      <c r="D19" s="18" t="s">
        <v>45</v>
      </c>
      <c r="E19" s="19">
        <f>-SUMIFS(BV_Data_An_Cour!$AN:$AN,BV_Data_An_Cour!$AP:$AP,$A$1,BV_Data_An_Cour!$AQ:$AQ,$D19)</f>
        <v>4929930.25</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568650.16999999993</v>
      </c>
      <c r="C20" s="14"/>
      <c r="D20" s="15" t="s">
        <v>47</v>
      </c>
      <c r="E20" s="16">
        <f>+SUM(E18:E19)</f>
        <v>23429816.280000001</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23450764</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-3748864.16</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-21112.950000000004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3150.6400000000003</v>
      </c>
      <c r="C24" s="14"/>
      <c r="D24" s="18" t="s">
        <v>53</v>
      </c>
      <c r="E24" s="19">
        <f>-SUMIFS(BV_Data_An_Cour!$AN:$AN,BV_Data_An_Cour!$AP:$AP,$A$1,BV_Data_An_Cour!$AQ:$AQ,$D24)</f>
        <v>743675.92000000016</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27909.84</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783420.56</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-3026301.1900000004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814481.04</v>
      </c>
      <c r="C30" s="17"/>
      <c r="D30" s="21" t="s">
        <v>59</v>
      </c>
      <c r="E30" s="22">
        <f>+E5+E7+E16+E20+E28</f>
        <v>28268622.59</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43289208.390000001</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4806780</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4894947</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33163569.59</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10729594.049999999</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10729830.049999999</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43893014.490000002</v>
      </c>
      <c r="C56" s="17"/>
      <c r="D56" s="21" t="s">
        <v>87</v>
      </c>
      <c r="E56" s="22">
        <f>+E53+E45</f>
        <v>43893399.640000001</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-385.14999999850988</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8" t="s">
        <v>1101</v>
      </c>
      <c r="D6" s="1259"/>
      <c r="E6" s="126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8">
        <v>2021</v>
      </c>
      <c r="D94" s="1259"/>
      <c r="E94" s="126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8"/>
      <c r="D173" s="1259"/>
      <c r="E173" s="126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8"/>
      <c r="D241" s="1259"/>
      <c r="E241" s="126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8"/>
      <c r="D296" s="1259"/>
      <c r="E296" s="126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8"/>
      <c r="D361" s="1259"/>
      <c r="E361" s="126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8"/>
      <c r="D407" s="1259"/>
      <c r="E407" s="126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1" t="s">
        <v>224</v>
      </c>
      <c r="B4" s="126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2"/>
      <c r="B5" s="1262"/>
      <c r="C5" s="1263" t="s">
        <v>244</v>
      </c>
      <c r="D5" s="126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8" t="str">
        <f>Parametres!$B$1&amp;" "&amp;"2 pager"&amp;" "&amp;Parametres!$B$3&amp;" "&amp;Parametres!$B$4</f>
        <v>Ste-Marie Auto 2 pager Aout 2026</v>
      </c>
      <c r="C1" s="1269"/>
      <c r="D1" s="1269"/>
      <c r="E1" s="1269"/>
      <c r="F1" s="1269"/>
      <c r="G1" s="1269"/>
      <c r="H1" s="1269"/>
      <c r="I1" s="1269"/>
      <c r="J1" s="1269"/>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47</v>
      </c>
      <c r="D4" s="155" t="e">
        <f>+Print_Mois!$D$13+Print_Mois!$D$15</f>
        <v>#N/A</v>
      </c>
      <c r="E4" s="155">
        <f>+Print_Mois!$O$13+Print_Mois!$O$15</f>
        <v>80</v>
      </c>
      <c r="F4" s="156" t="str">
        <f t="shared" ref="F4:F15" si="0">+IFERROR($C4-D4,"")</f>
        <v/>
      </c>
      <c r="G4" s="157">
        <f t="shared" ref="G4:G15" si="1">+IFERROR($C4-E4,"")</f>
        <v>-33</v>
      </c>
      <c r="H4" s="158" t="str">
        <f t="shared" ref="H4:H15" si="2">+IFERROR(F4/ABS($D4),"")</f>
        <v/>
      </c>
      <c r="I4" s="159">
        <f t="shared" ref="I4:I15" si="3">+IFERROR(G4/ABS($E4),"")</f>
        <v>-0.41249999999999998</v>
      </c>
      <c r="J4" s="1265" t="s">
        <v>1088</v>
      </c>
      <c r="K4" s="3"/>
      <c r="L4" s="3"/>
      <c r="M4" s="3"/>
      <c r="N4" s="3"/>
      <c r="O4" s="3"/>
      <c r="P4" s="3"/>
      <c r="Q4" s="3"/>
      <c r="R4" s="3"/>
      <c r="S4" s="3"/>
      <c r="T4" s="3"/>
      <c r="U4" s="3"/>
      <c r="V4" s="3"/>
      <c r="W4" s="3"/>
    </row>
    <row r="5" spans="1:23">
      <c r="A5" s="3"/>
      <c r="B5" s="160" t="s">
        <v>287</v>
      </c>
      <c r="C5" s="161">
        <f>+Print_Mois!$L$13+Print_Mois!$L$15</f>
        <v>86291.049999999697</v>
      </c>
      <c r="D5" s="161" t="e">
        <f>+Print_Mois!$F$13+Print_Mois!$F$15</f>
        <v>#N/A</v>
      </c>
      <c r="E5" s="161">
        <f>+Print_Mois!$Q$13+Print_Mois!$Q$15</f>
        <v>198152.98000000039</v>
      </c>
      <c r="F5" s="162" t="str">
        <f t="shared" si="0"/>
        <v/>
      </c>
      <c r="G5" s="163">
        <f t="shared" si="1"/>
        <v>-111861.93000000069</v>
      </c>
      <c r="H5" s="165" t="str">
        <f t="shared" si="2"/>
        <v/>
      </c>
      <c r="I5" s="166">
        <f t="shared" si="3"/>
        <v>-0.5645230770690427</v>
      </c>
      <c r="J5" s="1266"/>
      <c r="K5" s="3"/>
      <c r="L5" s="3"/>
      <c r="M5" s="3"/>
      <c r="N5" s="3"/>
      <c r="O5" s="3"/>
      <c r="P5" s="3"/>
      <c r="Q5" s="3"/>
      <c r="R5" s="3"/>
      <c r="S5" s="3"/>
      <c r="T5" s="3"/>
      <c r="U5" s="3"/>
      <c r="V5" s="3"/>
      <c r="W5" s="3"/>
    </row>
    <row r="6" spans="1:23">
      <c r="A6" s="3"/>
      <c r="B6" s="160" t="s">
        <v>288</v>
      </c>
      <c r="C6" s="161">
        <f t="shared" ref="C6:E6" si="4">+C5/C4</f>
        <v>1835.9797872340362</v>
      </c>
      <c r="D6" s="161" t="e">
        <f t="shared" si="4"/>
        <v>#N/A</v>
      </c>
      <c r="E6" s="161">
        <f t="shared" si="4"/>
        <v>2476.9122500000049</v>
      </c>
      <c r="F6" s="162" t="str">
        <f t="shared" si="0"/>
        <v/>
      </c>
      <c r="G6" s="163">
        <f t="shared" si="1"/>
        <v>-640.93246276596869</v>
      </c>
      <c r="H6" s="165" t="str">
        <f t="shared" si="2"/>
        <v/>
      </c>
      <c r="I6" s="166">
        <f t="shared" si="3"/>
        <v>-0.25876268437283856</v>
      </c>
      <c r="J6" s="1266"/>
      <c r="K6" s="3"/>
      <c r="L6" s="3"/>
      <c r="M6" s="3"/>
      <c r="N6" s="3"/>
      <c r="O6" s="3"/>
      <c r="P6" s="3"/>
      <c r="Q6" s="3"/>
      <c r="R6" s="3"/>
      <c r="S6" s="3"/>
      <c r="T6" s="3"/>
      <c r="U6" s="3"/>
      <c r="V6" s="3"/>
      <c r="W6" s="3"/>
    </row>
    <row r="7" spans="1:23">
      <c r="A7" s="3"/>
      <c r="B7" s="160" t="s">
        <v>289</v>
      </c>
      <c r="C7" s="161">
        <f>+Print_Mois!$L$31</f>
        <v>36050.509999999951</v>
      </c>
      <c r="D7" s="161" t="e">
        <f>+Print_Mois!$F$31</f>
        <v>#N/A</v>
      </c>
      <c r="E7" s="161">
        <f>+Print_Mois!$Q$31</f>
        <v>52303.010000000009</v>
      </c>
      <c r="F7" s="162" t="str">
        <f t="shared" si="0"/>
        <v/>
      </c>
      <c r="G7" s="163">
        <f t="shared" si="1"/>
        <v>-16252.500000000058</v>
      </c>
      <c r="H7" s="165" t="str">
        <f t="shared" si="2"/>
        <v/>
      </c>
      <c r="I7" s="166">
        <f t="shared" si="3"/>
        <v>-0.31073737438820548</v>
      </c>
      <c r="J7" s="1266"/>
      <c r="K7" s="3"/>
      <c r="L7" s="3"/>
      <c r="M7" s="3"/>
      <c r="N7" s="3"/>
      <c r="O7" s="3"/>
      <c r="P7" s="3"/>
      <c r="Q7" s="3"/>
      <c r="R7" s="3"/>
      <c r="S7" s="3"/>
      <c r="T7" s="3"/>
      <c r="U7" s="3"/>
      <c r="V7" s="3"/>
      <c r="W7" s="3"/>
    </row>
    <row r="8" spans="1:23">
      <c r="A8" s="3"/>
      <c r="B8" s="160" t="s">
        <v>290</v>
      </c>
      <c r="C8" s="164">
        <f t="shared" ref="C8:E8" si="5">+C7/C5</f>
        <v>0.41777808938470534</v>
      </c>
      <c r="D8" s="164" t="e">
        <f t="shared" si="5"/>
        <v>#N/A</v>
      </c>
      <c r="E8" s="164">
        <f t="shared" si="5"/>
        <v>0.26395267938942885</v>
      </c>
      <c r="F8" s="167" t="str">
        <f t="shared" si="0"/>
        <v/>
      </c>
      <c r="G8" s="168">
        <f t="shared" si="1"/>
        <v>0.1538254099952765</v>
      </c>
      <c r="H8" s="165" t="str">
        <f t="shared" si="2"/>
        <v/>
      </c>
      <c r="I8" s="166">
        <f t="shared" si="3"/>
        <v>0.58277646717246057</v>
      </c>
      <c r="J8" s="1266"/>
      <c r="K8" s="3"/>
      <c r="L8" s="3"/>
      <c r="M8" s="3"/>
      <c r="N8" s="3"/>
      <c r="O8" s="3"/>
      <c r="P8" s="3"/>
      <c r="Q8" s="3"/>
      <c r="R8" s="3"/>
      <c r="S8" s="3"/>
      <c r="T8" s="3"/>
      <c r="U8" s="3"/>
      <c r="V8" s="3"/>
      <c r="W8" s="3"/>
    </row>
    <row r="9" spans="1:23">
      <c r="A9" s="3"/>
      <c r="B9" s="160" t="s">
        <v>291</v>
      </c>
      <c r="C9" s="161">
        <f>+Print_Mois!$L$24</f>
        <v>31140.639999999989</v>
      </c>
      <c r="D9" s="161" t="e">
        <f>+Print_Mois!$F$24</f>
        <v>#N/A</v>
      </c>
      <c r="E9" s="161">
        <f>+Print_Mois!$Q$24</f>
        <v>74736.550000000047</v>
      </c>
      <c r="F9" s="162" t="str">
        <f t="shared" si="0"/>
        <v/>
      </c>
      <c r="G9" s="163">
        <f t="shared" si="1"/>
        <v>-43595.910000000062</v>
      </c>
      <c r="H9" s="165" t="str">
        <f t="shared" si="2"/>
        <v/>
      </c>
      <c r="I9" s="166">
        <f t="shared" si="3"/>
        <v>-0.58332783624612106</v>
      </c>
      <c r="J9" s="1266"/>
      <c r="K9" s="3"/>
      <c r="L9" s="3"/>
      <c r="M9" s="3"/>
      <c r="N9" s="3"/>
      <c r="O9" s="3"/>
      <c r="P9" s="3"/>
      <c r="Q9" s="3"/>
      <c r="R9" s="3"/>
      <c r="S9" s="3"/>
      <c r="T9" s="3"/>
      <c r="U9" s="3"/>
      <c r="V9" s="3"/>
      <c r="W9" s="3"/>
    </row>
    <row r="10" spans="1:23">
      <c r="A10" s="3"/>
      <c r="B10" s="160" t="s">
        <v>292</v>
      </c>
      <c r="C10" s="161">
        <f t="shared" ref="C10:E10" si="6">+C9/C4</f>
        <v>662.566808510638</v>
      </c>
      <c r="D10" s="161" t="e">
        <f t="shared" si="6"/>
        <v>#N/A</v>
      </c>
      <c r="E10" s="161">
        <f t="shared" si="6"/>
        <v>934.20687500000054</v>
      </c>
      <c r="F10" s="162" t="str">
        <f t="shared" si="0"/>
        <v/>
      </c>
      <c r="G10" s="163">
        <f t="shared" si="1"/>
        <v>-271.64006648936254</v>
      </c>
      <c r="H10" s="165" t="str">
        <f t="shared" si="2"/>
        <v/>
      </c>
      <c r="I10" s="166">
        <f t="shared" si="3"/>
        <v>-0.29077078509978038</v>
      </c>
      <c r="J10" s="1266"/>
      <c r="K10" s="3"/>
      <c r="L10" s="3"/>
      <c r="M10" s="3"/>
      <c r="N10" s="3"/>
      <c r="O10" s="3"/>
      <c r="P10" s="3"/>
      <c r="Q10" s="3"/>
      <c r="R10" s="3"/>
      <c r="S10" s="3"/>
      <c r="T10" s="3"/>
      <c r="U10" s="3"/>
      <c r="V10" s="3"/>
      <c r="W10" s="3"/>
    </row>
    <row r="11" spans="1:23">
      <c r="A11" s="3"/>
      <c r="B11" s="160" t="s">
        <v>293</v>
      </c>
      <c r="C11" s="161">
        <f>+Print_Mois!$L$32</f>
        <v>6518.1100000000006</v>
      </c>
      <c r="D11" s="161" t="e">
        <f>+Print_Mois!$F$32</f>
        <v>#N/A</v>
      </c>
      <c r="E11" s="161">
        <f>+Print_Mois!$Q$32</f>
        <v>18030.459999999992</v>
      </c>
      <c r="F11" s="162" t="str">
        <f t="shared" si="0"/>
        <v/>
      </c>
      <c r="G11" s="163">
        <f t="shared" si="1"/>
        <v>-11512.349999999991</v>
      </c>
      <c r="H11" s="165" t="str">
        <f t="shared" si="2"/>
        <v/>
      </c>
      <c r="I11" s="166">
        <f t="shared" si="3"/>
        <v>-0.63849452537539231</v>
      </c>
      <c r="J11" s="1266"/>
      <c r="K11" s="3"/>
      <c r="L11" s="3"/>
      <c r="M11" s="3"/>
      <c r="N11" s="3"/>
      <c r="O11" s="3"/>
      <c r="P11" s="3"/>
      <c r="Q11" s="3"/>
      <c r="R11" s="3"/>
      <c r="S11" s="3"/>
      <c r="T11" s="3"/>
      <c r="U11" s="3"/>
      <c r="V11" s="3"/>
      <c r="W11" s="3"/>
    </row>
    <row r="12" spans="1:23">
      <c r="A12" s="3"/>
      <c r="B12" s="160" t="s">
        <v>294</v>
      </c>
      <c r="C12" s="164">
        <f t="shared" ref="C12:E12" si="7">+C11/C9</f>
        <v>0.20931201157073209</v>
      </c>
      <c r="D12" s="164" t="e">
        <f t="shared" si="7"/>
        <v>#N/A</v>
      </c>
      <c r="E12" s="164">
        <f t="shared" si="7"/>
        <v>0.24125357673052852</v>
      </c>
      <c r="F12" s="165" t="str">
        <f t="shared" si="0"/>
        <v/>
      </c>
      <c r="G12" s="169">
        <f t="shared" si="1"/>
        <v>-3.1941565159796431E-2</v>
      </c>
      <c r="H12" s="165" t="str">
        <f t="shared" si="2"/>
        <v/>
      </c>
      <c r="I12" s="166">
        <f t="shared" si="3"/>
        <v>-0.13239830717815221</v>
      </c>
      <c r="J12" s="1266"/>
      <c r="K12" s="3"/>
      <c r="L12" s="3"/>
      <c r="M12" s="3"/>
      <c r="N12" s="3"/>
      <c r="O12" s="3"/>
      <c r="P12" s="3"/>
      <c r="Q12" s="3"/>
      <c r="R12" s="3"/>
      <c r="S12" s="3"/>
      <c r="T12" s="3"/>
      <c r="U12" s="3"/>
      <c r="V12" s="3"/>
      <c r="W12" s="3"/>
    </row>
    <row r="13" spans="1:23">
      <c r="A13" s="3"/>
      <c r="B13" s="160" t="s">
        <v>295</v>
      </c>
      <c r="C13" s="161">
        <f>+Print_Mois!$L$41-C7-C11</f>
        <v>-98359.059999999969</v>
      </c>
      <c r="D13" s="161" t="e">
        <f>+Print_Mois!$F$41-D7-D11</f>
        <v>#N/A</v>
      </c>
      <c r="E13" s="161">
        <f>+Print_Mois!$Q$41-E7-E11</f>
        <v>-25794.989999999845</v>
      </c>
      <c r="F13" s="162" t="str">
        <f t="shared" si="0"/>
        <v/>
      </c>
      <c r="G13" s="163">
        <f t="shared" si="1"/>
        <v>-72564.070000000123</v>
      </c>
      <c r="H13" s="165" t="str">
        <f t="shared" si="2"/>
        <v/>
      </c>
      <c r="I13" s="166">
        <f t="shared" si="3"/>
        <v>-2.8131071188630257</v>
      </c>
      <c r="J13" s="1266"/>
      <c r="K13" s="3"/>
      <c r="L13" s="3"/>
      <c r="M13" s="3"/>
      <c r="N13" s="3"/>
      <c r="O13" s="3"/>
      <c r="P13" s="3"/>
      <c r="Q13" s="3"/>
      <c r="R13" s="3"/>
      <c r="S13" s="3"/>
      <c r="T13" s="3"/>
      <c r="U13" s="3"/>
      <c r="V13" s="3"/>
      <c r="W13" s="3"/>
    </row>
    <row r="14" spans="1:23">
      <c r="A14" s="3"/>
      <c r="B14" s="160" t="s">
        <v>296</v>
      </c>
      <c r="C14" s="161">
        <f t="shared" ref="C14:E14" si="8">+C13/C4</f>
        <v>-2092.745957446808</v>
      </c>
      <c r="D14" s="161" t="e">
        <f t="shared" si="8"/>
        <v>#N/A</v>
      </c>
      <c r="E14" s="161">
        <f t="shared" si="8"/>
        <v>-322.43737499999804</v>
      </c>
      <c r="F14" s="162" t="str">
        <f t="shared" si="0"/>
        <v/>
      </c>
      <c r="G14" s="163">
        <f t="shared" si="1"/>
        <v>-1770.3085824468099</v>
      </c>
      <c r="H14" s="165" t="str">
        <f t="shared" si="2"/>
        <v/>
      </c>
      <c r="I14" s="166">
        <f t="shared" si="3"/>
        <v>-5.4903950959370658</v>
      </c>
      <c r="J14" s="1266"/>
      <c r="K14" s="3"/>
      <c r="L14" s="3"/>
      <c r="M14" s="3"/>
      <c r="N14" s="3"/>
      <c r="O14" s="3"/>
      <c r="P14" s="3"/>
      <c r="Q14" s="3"/>
      <c r="R14" s="3"/>
      <c r="S14" s="3"/>
      <c r="T14" s="3"/>
      <c r="U14" s="3"/>
      <c r="V14" s="3"/>
      <c r="W14" s="3"/>
    </row>
    <row r="15" spans="1:23">
      <c r="A15" s="3"/>
      <c r="B15" s="160" t="s">
        <v>297</v>
      </c>
      <c r="C15" s="161">
        <f>+Print_Mois!$L$83</f>
        <v>48214</v>
      </c>
      <c r="D15" s="161" t="e">
        <f>+Print_Mois!$F$83</f>
        <v>#N/A</v>
      </c>
      <c r="E15" s="161">
        <f>+Print_Mois!$Q$83</f>
        <v>25446.580000000016</v>
      </c>
      <c r="F15" s="162" t="str">
        <f t="shared" si="0"/>
        <v/>
      </c>
      <c r="G15" s="163">
        <f t="shared" si="1"/>
        <v>22767.419999999984</v>
      </c>
      <c r="H15" s="165" t="str">
        <f t="shared" si="2"/>
        <v/>
      </c>
      <c r="I15" s="166">
        <f t="shared" si="3"/>
        <v>0.89471433882274043</v>
      </c>
      <c r="J15" s="126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6"/>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7"/>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5" t="s">
        <v>1089</v>
      </c>
      <c r="K21" s="3"/>
      <c r="L21" s="3"/>
      <c r="M21" s="3"/>
      <c r="N21" s="3"/>
      <c r="O21" s="3"/>
      <c r="P21" s="3"/>
      <c r="Q21" s="3"/>
      <c r="R21" s="3"/>
      <c r="S21" s="3"/>
      <c r="T21" s="3"/>
      <c r="U21" s="3"/>
      <c r="V21" s="3"/>
      <c r="W21" s="3"/>
    </row>
    <row r="22" spans="1:23" ht="15.75" customHeight="1">
      <c r="A22" s="3"/>
      <c r="B22" s="160" t="s">
        <v>287</v>
      </c>
      <c r="C22" s="161">
        <f>+Print_Mois!$L$97</f>
        <v>11181.279999999519</v>
      </c>
      <c r="D22" s="161" t="e">
        <f>+Print_Mois!$F$97</f>
        <v>#N/A</v>
      </c>
      <c r="E22" s="161">
        <f>+Print_Mois!$Q$97</f>
        <v>17364.85000000021</v>
      </c>
      <c r="F22" s="162" t="str">
        <f t="shared" si="11"/>
        <v/>
      </c>
      <c r="G22" s="163">
        <f t="shared" si="12"/>
        <v>-6183.5700000006909</v>
      </c>
      <c r="H22" s="165" t="str">
        <f t="shared" si="13"/>
        <v/>
      </c>
      <c r="I22" s="166">
        <f t="shared" si="14"/>
        <v>-0.35609694296239913</v>
      </c>
      <c r="J22" s="1266"/>
      <c r="K22" s="3"/>
      <c r="L22" s="3"/>
      <c r="M22" s="3"/>
      <c r="N22" s="3"/>
      <c r="O22" s="3"/>
      <c r="P22" s="3"/>
      <c r="Q22" s="3"/>
      <c r="R22" s="3"/>
      <c r="S22" s="3"/>
      <c r="T22" s="3"/>
      <c r="U22" s="3"/>
      <c r="V22" s="3"/>
      <c r="W22" s="3"/>
    </row>
    <row r="23" spans="1:23" ht="15.75" customHeight="1">
      <c r="A23" s="3"/>
      <c r="B23" s="160" t="s">
        <v>288</v>
      </c>
      <c r="C23" s="161">
        <f t="shared" ref="C23:E23" si="15">+C22/C21</f>
        <v>465.88666666664659</v>
      </c>
      <c r="D23" s="161" t="e">
        <f t="shared" si="15"/>
        <v>#N/A</v>
      </c>
      <c r="E23" s="161">
        <f t="shared" si="15"/>
        <v>1085.3031250000131</v>
      </c>
      <c r="F23" s="162" t="str">
        <f t="shared" si="11"/>
        <v/>
      </c>
      <c r="G23" s="163">
        <f t="shared" si="12"/>
        <v>-619.41645833336656</v>
      </c>
      <c r="H23" s="165" t="str">
        <f t="shared" si="13"/>
        <v/>
      </c>
      <c r="I23" s="166">
        <f t="shared" si="14"/>
        <v>-0.57073129530826616</v>
      </c>
      <c r="J23" s="1266"/>
      <c r="K23" s="3"/>
      <c r="L23" s="3"/>
      <c r="M23" s="3"/>
      <c r="N23" s="3"/>
      <c r="O23" s="3"/>
      <c r="P23" s="3"/>
      <c r="Q23" s="3"/>
      <c r="R23" s="3"/>
      <c r="S23" s="3"/>
      <c r="T23" s="3"/>
      <c r="U23" s="3"/>
      <c r="V23" s="3"/>
      <c r="W23" s="3"/>
    </row>
    <row r="24" spans="1:23" ht="15.75" customHeight="1">
      <c r="A24" s="3"/>
      <c r="B24" s="160" t="s">
        <v>289</v>
      </c>
      <c r="C24" s="161">
        <f>+Print_Mois!$L$113</f>
        <v>1867.75</v>
      </c>
      <c r="D24" s="161" t="e">
        <f>+Print_Mois!$F$113</f>
        <v>#N/A</v>
      </c>
      <c r="E24" s="161">
        <f>+Print_Mois!$Q$113</f>
        <v>55837.19</v>
      </c>
      <c r="F24" s="162" t="str">
        <f t="shared" si="11"/>
        <v/>
      </c>
      <c r="G24" s="163">
        <f t="shared" si="12"/>
        <v>-53969.440000000002</v>
      </c>
      <c r="H24" s="165" t="str">
        <f t="shared" si="13"/>
        <v/>
      </c>
      <c r="I24" s="166">
        <f t="shared" si="14"/>
        <v>-0.96655007173534346</v>
      </c>
      <c r="J24" s="1266"/>
      <c r="K24" s="3"/>
      <c r="L24" s="3"/>
      <c r="M24" s="3"/>
      <c r="N24" s="3"/>
      <c r="O24" s="3"/>
      <c r="P24" s="3"/>
      <c r="Q24" s="3"/>
      <c r="R24" s="3"/>
      <c r="S24" s="3"/>
      <c r="T24" s="3"/>
      <c r="U24" s="3"/>
      <c r="V24" s="3"/>
      <c r="W24" s="3"/>
    </row>
    <row r="25" spans="1:23" ht="15.75" customHeight="1">
      <c r="A25" s="3"/>
      <c r="B25" s="160" t="s">
        <v>290</v>
      </c>
      <c r="C25" s="164">
        <f t="shared" ref="C25:E25" si="16">+C24/C22</f>
        <v>0.1670425926190991</v>
      </c>
      <c r="D25" s="164" t="e">
        <f t="shared" si="16"/>
        <v>#N/A</v>
      </c>
      <c r="E25" s="164">
        <f t="shared" si="16"/>
        <v>3.2155296475350683</v>
      </c>
      <c r="F25" s="167" t="str">
        <f t="shared" si="11"/>
        <v/>
      </c>
      <c r="G25" s="168">
        <f t="shared" si="12"/>
        <v>-3.0484870549159693</v>
      </c>
      <c r="H25" s="165" t="str">
        <f t="shared" si="13"/>
        <v/>
      </c>
      <c r="I25" s="166">
        <f t="shared" si="14"/>
        <v>-0.94805129763081208</v>
      </c>
      <c r="J25" s="1266"/>
      <c r="K25" s="3"/>
      <c r="L25" s="3"/>
      <c r="M25" s="3"/>
      <c r="N25" s="3"/>
      <c r="O25" s="3"/>
      <c r="P25" s="3"/>
      <c r="Q25" s="3"/>
      <c r="R25" s="3"/>
      <c r="S25" s="3"/>
      <c r="T25" s="3"/>
      <c r="U25" s="3"/>
      <c r="V25" s="3"/>
      <c r="W25" s="3"/>
    </row>
    <row r="26" spans="1:23" ht="15.75" customHeight="1">
      <c r="A26" s="3"/>
      <c r="B26" s="160" t="s">
        <v>291</v>
      </c>
      <c r="C26" s="161">
        <f>+Print_Mois!$L$106</f>
        <v>10478</v>
      </c>
      <c r="D26" s="161" t="e">
        <f>+Print_Mois!$F$106</f>
        <v>#N/A</v>
      </c>
      <c r="E26" s="161">
        <f>+Print_Mois!$Q$106</f>
        <v>12804.59</v>
      </c>
      <c r="F26" s="162" t="str">
        <f t="shared" si="11"/>
        <v/>
      </c>
      <c r="G26" s="163">
        <f t="shared" si="12"/>
        <v>-2326.59</v>
      </c>
      <c r="H26" s="165" t="str">
        <f t="shared" si="13"/>
        <v/>
      </c>
      <c r="I26" s="166">
        <f t="shared" si="14"/>
        <v>-0.1816996873777294</v>
      </c>
      <c r="J26" s="1266"/>
      <c r="K26" s="3"/>
      <c r="L26" s="3"/>
      <c r="M26" s="3"/>
      <c r="N26" s="3"/>
      <c r="O26" s="3"/>
      <c r="P26" s="3"/>
      <c r="Q26" s="3"/>
      <c r="R26" s="3"/>
      <c r="S26" s="3"/>
      <c r="T26" s="3"/>
      <c r="U26" s="3"/>
      <c r="V26" s="3"/>
      <c r="W26" s="3"/>
    </row>
    <row r="27" spans="1:23" ht="15.75" customHeight="1">
      <c r="A27" s="3"/>
      <c r="B27" s="160" t="s">
        <v>292</v>
      </c>
      <c r="C27" s="161">
        <f t="shared" ref="C27:E27" si="17">+C26/C21</f>
        <v>436.58333333333331</v>
      </c>
      <c r="D27" s="161" t="e">
        <f t="shared" si="17"/>
        <v>#N/A</v>
      </c>
      <c r="E27" s="161">
        <f t="shared" si="17"/>
        <v>800.28687500000001</v>
      </c>
      <c r="F27" s="162" t="str">
        <f t="shared" si="11"/>
        <v/>
      </c>
      <c r="G27" s="163">
        <f t="shared" si="12"/>
        <v>-363.70354166666669</v>
      </c>
      <c r="H27" s="165" t="str">
        <f t="shared" si="13"/>
        <v/>
      </c>
      <c r="I27" s="166">
        <f t="shared" si="14"/>
        <v>-0.45446645825181964</v>
      </c>
      <c r="J27" s="1266"/>
      <c r="K27" s="3"/>
      <c r="L27" s="3"/>
      <c r="M27" s="3"/>
      <c r="N27" s="3"/>
      <c r="O27" s="3"/>
      <c r="P27" s="3"/>
      <c r="Q27" s="3"/>
      <c r="R27" s="3"/>
      <c r="S27" s="3"/>
      <c r="T27" s="3"/>
      <c r="U27" s="3"/>
      <c r="V27" s="3"/>
      <c r="W27" s="3"/>
    </row>
    <row r="28" spans="1:23" ht="15.75" customHeight="1">
      <c r="A28" s="3"/>
      <c r="B28" s="160" t="s">
        <v>293</v>
      </c>
      <c r="C28" s="161">
        <f>+Print_Mois!$L$114</f>
        <v>5471.5600000000049</v>
      </c>
      <c r="D28" s="161" t="e">
        <f>+Print_Mois!$F$114</f>
        <v>#N/A</v>
      </c>
      <c r="E28" s="161">
        <f>+Print_Mois!$Q$114</f>
        <v>3009.5499999999993</v>
      </c>
      <c r="F28" s="162" t="str">
        <f t="shared" si="11"/>
        <v/>
      </c>
      <c r="G28" s="163">
        <f t="shared" si="12"/>
        <v>2462.0100000000057</v>
      </c>
      <c r="H28" s="165" t="str">
        <f t="shared" si="13"/>
        <v/>
      </c>
      <c r="I28" s="166">
        <f t="shared" si="14"/>
        <v>0.81806582379425707</v>
      </c>
      <c r="J28" s="1266"/>
      <c r="K28" s="3"/>
      <c r="L28" s="3"/>
      <c r="M28" s="3"/>
      <c r="N28" s="3"/>
      <c r="O28" s="3"/>
      <c r="P28" s="3"/>
      <c r="Q28" s="3"/>
      <c r="R28" s="3"/>
      <c r="S28" s="3"/>
      <c r="T28" s="3"/>
      <c r="U28" s="3"/>
      <c r="V28" s="3"/>
      <c r="W28" s="3"/>
    </row>
    <row r="29" spans="1:23" ht="15.75" customHeight="1">
      <c r="A29" s="3"/>
      <c r="B29" s="160" t="s">
        <v>294</v>
      </c>
      <c r="C29" s="164">
        <f t="shared" ref="C29:E29" si="18">+C28/C26</f>
        <v>0.52219507539606846</v>
      </c>
      <c r="D29" s="164" t="e">
        <f t="shared" si="18"/>
        <v>#N/A</v>
      </c>
      <c r="E29" s="164">
        <f t="shared" si="18"/>
        <v>0.23503681101854876</v>
      </c>
      <c r="F29" s="165" t="str">
        <f t="shared" si="11"/>
        <v/>
      </c>
      <c r="G29" s="169">
        <f t="shared" si="12"/>
        <v>0.28715826437751968</v>
      </c>
      <c r="H29" s="165" t="str">
        <f t="shared" si="13"/>
        <v/>
      </c>
      <c r="I29" s="166">
        <f t="shared" si="14"/>
        <v>1.2217586816852173</v>
      </c>
      <c r="J29" s="1266"/>
      <c r="K29" s="3"/>
      <c r="L29" s="3"/>
      <c r="M29" s="3"/>
      <c r="N29" s="3"/>
      <c r="O29" s="3"/>
      <c r="P29" s="3"/>
      <c r="Q29" s="3"/>
      <c r="R29" s="3"/>
      <c r="S29" s="3"/>
      <c r="T29" s="3"/>
      <c r="U29" s="3"/>
      <c r="V29" s="3"/>
      <c r="W29" s="3"/>
    </row>
    <row r="30" spans="1:23" ht="15.75" customHeight="1">
      <c r="A30" s="3"/>
      <c r="B30" s="160" t="s">
        <v>295</v>
      </c>
      <c r="C30" s="161">
        <f>+Print_Mois!$L$123-C24-C28</f>
        <v>-1407.6299999999974</v>
      </c>
      <c r="D30" s="161" t="e">
        <f>+Print_Mois!$F$123-D24-D28</f>
        <v>#N/A</v>
      </c>
      <c r="E30" s="161">
        <f>+Print_Mois!$Q$123-E24-E28</f>
        <v>9960.4100000000217</v>
      </c>
      <c r="F30" s="162" t="str">
        <f t="shared" si="11"/>
        <v/>
      </c>
      <c r="G30" s="163">
        <f t="shared" si="12"/>
        <v>-11368.040000000019</v>
      </c>
      <c r="H30" s="165" t="str">
        <f t="shared" si="13"/>
        <v/>
      </c>
      <c r="I30" s="166">
        <f t="shared" si="14"/>
        <v>-1.1413224957607162</v>
      </c>
      <c r="J30" s="1266"/>
      <c r="K30" s="3"/>
      <c r="L30" s="3"/>
      <c r="M30" s="3"/>
      <c r="N30" s="3"/>
      <c r="O30" s="3"/>
      <c r="P30" s="3"/>
      <c r="Q30" s="3"/>
      <c r="R30" s="3"/>
      <c r="S30" s="3"/>
      <c r="T30" s="3"/>
      <c r="U30" s="3"/>
      <c r="V30" s="3"/>
      <c r="W30" s="3"/>
    </row>
    <row r="31" spans="1:23" ht="15.75" customHeight="1">
      <c r="A31" s="3"/>
      <c r="B31" s="160" t="s">
        <v>296</v>
      </c>
      <c r="C31" s="161">
        <f t="shared" ref="C31:E31" si="19">+C30/C21</f>
        <v>-58.651249999999891</v>
      </c>
      <c r="D31" s="161" t="e">
        <f t="shared" si="19"/>
        <v>#N/A</v>
      </c>
      <c r="E31" s="161">
        <f t="shared" si="19"/>
        <v>622.52562500000136</v>
      </c>
      <c r="F31" s="162" t="str">
        <f t="shared" si="11"/>
        <v/>
      </c>
      <c r="G31" s="163">
        <f t="shared" si="12"/>
        <v>-681.17687500000125</v>
      </c>
      <c r="H31" s="165" t="str">
        <f t="shared" si="13"/>
        <v/>
      </c>
      <c r="I31" s="166">
        <f t="shared" si="14"/>
        <v>-1.0942149971738107</v>
      </c>
      <c r="J31" s="126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6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66"/>
      <c r="K42" s="3"/>
      <c r="L42" s="3"/>
      <c r="M42" s="3"/>
      <c r="N42" s="3"/>
      <c r="O42" s="3"/>
      <c r="P42" s="3"/>
      <c r="Q42" s="3"/>
      <c r="R42" s="3"/>
      <c r="S42" s="3"/>
      <c r="T42" s="3"/>
      <c r="U42" s="3"/>
      <c r="V42" s="3"/>
      <c r="W42" s="3"/>
    </row>
    <row r="43" spans="1:23" ht="15.75" customHeight="1">
      <c r="A43" s="3"/>
      <c r="B43" s="160" t="s">
        <v>306</v>
      </c>
      <c r="C43" s="161">
        <f>+Print_Mois!$L$284</f>
        <v>40491.81</v>
      </c>
      <c r="D43" s="161" t="e">
        <f>+Print_Mois!$F$284</f>
        <v>#N/A</v>
      </c>
      <c r="E43" s="161">
        <f>+Print_Mois!$Q$284</f>
        <v>100507.83999999998</v>
      </c>
      <c r="F43" s="162" t="str">
        <f t="shared" si="22"/>
        <v/>
      </c>
      <c r="G43" s="163">
        <f t="shared" si="23"/>
        <v>-60016.029999999984</v>
      </c>
      <c r="H43" s="165" t="str">
        <f t="shared" si="24"/>
        <v/>
      </c>
      <c r="I43" s="166">
        <f t="shared" si="25"/>
        <v>-0.59712784594714197</v>
      </c>
      <c r="J43" s="1266"/>
      <c r="K43" s="3"/>
      <c r="L43" s="3"/>
      <c r="M43" s="3"/>
      <c r="N43" s="3"/>
      <c r="O43" s="3"/>
      <c r="P43" s="3"/>
      <c r="Q43" s="3"/>
      <c r="R43" s="3"/>
      <c r="S43" s="3"/>
      <c r="T43" s="3"/>
      <c r="U43" s="3"/>
      <c r="V43" s="3"/>
      <c r="W43" s="3"/>
    </row>
    <row r="44" spans="1:23" ht="15.75" customHeight="1">
      <c r="A44" s="3"/>
      <c r="B44" s="176" t="s">
        <v>307</v>
      </c>
      <c r="C44" s="161">
        <f>+SUM(Print_Mois!$L$272:$L$278)</f>
        <v>15394.720000000001</v>
      </c>
      <c r="D44" s="161" t="e">
        <f>+SUM(Print_Mois!$F$272:$F$278)</f>
        <v>#N/A</v>
      </c>
      <c r="E44" s="161">
        <f>+SUM(Print_Mois!$Q$272:$Q$278)</f>
        <v>67019.72</v>
      </c>
      <c r="F44" s="162" t="str">
        <f t="shared" si="22"/>
        <v/>
      </c>
      <c r="G44" s="163">
        <f t="shared" si="23"/>
        <v>-51625</v>
      </c>
      <c r="H44" s="165" t="str">
        <f t="shared" si="24"/>
        <v/>
      </c>
      <c r="I44" s="166">
        <f t="shared" si="25"/>
        <v>-0.77029566820034456</v>
      </c>
      <c r="J44" s="1266"/>
      <c r="K44" s="3"/>
      <c r="L44" s="3"/>
      <c r="M44" s="3"/>
      <c r="N44" s="3"/>
      <c r="O44" s="3"/>
      <c r="P44" s="3"/>
      <c r="Q44" s="3"/>
      <c r="R44" s="3"/>
      <c r="S44" s="3"/>
      <c r="T44" s="3"/>
      <c r="U44" s="3"/>
      <c r="V44" s="3"/>
      <c r="W44" s="3"/>
    </row>
    <row r="45" spans="1:23">
      <c r="A45" s="3"/>
      <c r="B45" s="176" t="s">
        <v>308</v>
      </c>
      <c r="C45" s="161">
        <f>+SUM(Print_Mois!$L$279:$L$283)</f>
        <v>25097.09</v>
      </c>
      <c r="D45" s="161" t="e">
        <f>+SUM(Print_Mois!$F$279:$F$283)</f>
        <v>#N/A</v>
      </c>
      <c r="E45" s="161">
        <f>+SUM(Print_Mois!$Q$279:$Q$283)</f>
        <v>33488.119999999981</v>
      </c>
      <c r="F45" s="162" t="str">
        <f t="shared" si="22"/>
        <v/>
      </c>
      <c r="G45" s="163">
        <f t="shared" si="23"/>
        <v>-8391.0299999999806</v>
      </c>
      <c r="H45" s="165" t="str">
        <f t="shared" si="24"/>
        <v/>
      </c>
      <c r="I45" s="166">
        <f t="shared" si="25"/>
        <v>-0.25056736538211122</v>
      </c>
      <c r="J45" s="1266"/>
      <c r="K45" s="3"/>
      <c r="L45" s="3"/>
      <c r="M45" s="3"/>
      <c r="N45" s="3"/>
      <c r="O45" s="3"/>
      <c r="P45" s="3"/>
      <c r="Q45" s="3"/>
      <c r="R45" s="3"/>
      <c r="S45" s="3"/>
      <c r="T45" s="3"/>
      <c r="U45" s="3"/>
      <c r="V45" s="3"/>
      <c r="W45" s="3"/>
    </row>
    <row r="46" spans="1:23">
      <c r="A46" s="3"/>
      <c r="B46" s="160" t="s">
        <v>309</v>
      </c>
      <c r="C46" s="164">
        <f t="shared" ref="C46:E46" si="26">+C43/C38</f>
        <v>0.21664700219751251</v>
      </c>
      <c r="D46" s="164" t="e">
        <f t="shared" si="26"/>
        <v>#N/A</v>
      </c>
      <c r="E46" s="164">
        <f t="shared" si="26"/>
        <v>0.46715055971194164</v>
      </c>
      <c r="F46" s="167" t="str">
        <f t="shared" si="22"/>
        <v/>
      </c>
      <c r="G46" s="168">
        <f t="shared" si="23"/>
        <v>-0.2505035575144291</v>
      </c>
      <c r="H46" s="165" t="str">
        <f t="shared" si="24"/>
        <v/>
      </c>
      <c r="I46" s="166">
        <f t="shared" si="25"/>
        <v>-0.5362373057390678</v>
      </c>
      <c r="J46" s="1266"/>
      <c r="K46" s="3"/>
      <c r="L46" s="3"/>
      <c r="M46" s="3"/>
      <c r="N46" s="3"/>
      <c r="O46" s="3"/>
      <c r="P46" s="3"/>
      <c r="Q46" s="3"/>
      <c r="R46" s="3"/>
      <c r="S46" s="3"/>
      <c r="T46" s="3"/>
      <c r="U46" s="3"/>
      <c r="V46" s="3"/>
      <c r="W46" s="3"/>
    </row>
    <row r="47" spans="1:23">
      <c r="A47" s="3"/>
      <c r="B47" s="200" t="s">
        <v>127</v>
      </c>
      <c r="C47" s="179">
        <f>+Print_Mois!$L$287</f>
        <v>1333.9499999999971</v>
      </c>
      <c r="D47" s="179" t="e">
        <f>+Print_Mois!$F$287</f>
        <v>#N/A</v>
      </c>
      <c r="E47" s="179">
        <f>+Print_Mois!$Q$287</f>
        <v>-8070.07</v>
      </c>
      <c r="F47" s="180" t="str">
        <f t="shared" si="22"/>
        <v/>
      </c>
      <c r="G47" s="181">
        <f t="shared" si="23"/>
        <v>9404.0199999999968</v>
      </c>
      <c r="H47" s="182" t="str">
        <f t="shared" si="24"/>
        <v/>
      </c>
      <c r="I47" s="183">
        <f t="shared" si="25"/>
        <v>1.1652959639755289</v>
      </c>
      <c r="J47" s="126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6"/>
      <c r="K55" s="3"/>
      <c r="L55" s="3"/>
      <c r="M55" s="3"/>
      <c r="N55" s="3"/>
      <c r="O55" s="3"/>
      <c r="P55" s="3"/>
      <c r="Q55" s="3"/>
      <c r="R55" s="3"/>
      <c r="S55" s="3"/>
      <c r="T55" s="3"/>
      <c r="U55" s="3"/>
      <c r="V55" s="3"/>
      <c r="W55" s="3"/>
    </row>
    <row r="56" spans="1:23" ht="15.75" customHeight="1">
      <c r="A56" s="3"/>
      <c r="B56" s="154" t="s">
        <v>302</v>
      </c>
      <c r="C56" s="195">
        <f>+Print_Mois!$L$390</f>
        <v>91034.830000000191</v>
      </c>
      <c r="D56" s="195" t="e">
        <f>+Print_Mois!$F$390</f>
        <v>#N/A</v>
      </c>
      <c r="E56" s="195">
        <f>+Print_Mois!$Q$390</f>
        <v>97640.879999999976</v>
      </c>
      <c r="F56" s="196" t="str">
        <f t="shared" si="27"/>
        <v/>
      </c>
      <c r="G56" s="197">
        <f t="shared" si="28"/>
        <v>-6606.0499999997846</v>
      </c>
      <c r="H56" s="198" t="str">
        <f t="shared" si="29"/>
        <v/>
      </c>
      <c r="I56" s="199">
        <f t="shared" si="30"/>
        <v>-6.7656600391145447E-2</v>
      </c>
      <c r="J56" s="126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6"/>
      <c r="K58" s="3"/>
      <c r="L58" s="3"/>
      <c r="M58" s="3"/>
      <c r="N58" s="3"/>
      <c r="O58" s="3"/>
      <c r="P58" s="3"/>
      <c r="Q58" s="3"/>
      <c r="R58" s="3"/>
      <c r="S58" s="3"/>
      <c r="T58" s="3"/>
      <c r="U58" s="3"/>
      <c r="V58" s="3"/>
      <c r="W58" s="3"/>
    </row>
    <row r="59" spans="1:23" ht="15.75" customHeight="1">
      <c r="A59" s="3"/>
      <c r="B59" s="200" t="s">
        <v>118</v>
      </c>
      <c r="C59" s="179">
        <f>+Print_Mois!$L$396</f>
        <v>9089.429999999993</v>
      </c>
      <c r="D59" s="179" t="e">
        <f>+Print_Mois!$F$396</f>
        <v>#N/A</v>
      </c>
      <c r="E59" s="179">
        <f>+Print_Mois!$Q$396</f>
        <v>17580.00999999998</v>
      </c>
      <c r="F59" s="180" t="str">
        <f t="shared" si="27"/>
        <v/>
      </c>
      <c r="G59" s="181">
        <f t="shared" si="28"/>
        <v>-8490.5799999999872</v>
      </c>
      <c r="H59" s="182" t="str">
        <f t="shared" si="29"/>
        <v/>
      </c>
      <c r="I59" s="183">
        <f t="shared" si="30"/>
        <v>-0.48296787089427123</v>
      </c>
      <c r="J59" s="126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0.28944660310186476</v>
      </c>
      <c r="D62" s="164" t="e">
        <f>+Print_Mois!$Z$520/Print_Mois!$Z$494</f>
        <v>#N/A</v>
      </c>
      <c r="E62" s="164">
        <f>+Print_Mois!$AL$520/Print_Mois!$AL$494</f>
        <v>0.41600824761487926</v>
      </c>
      <c r="F62" s="167" t="str">
        <f t="shared" ref="F62:G67" si="32">+IFERROR($C62-D62,"")</f>
        <v/>
      </c>
      <c r="G62" s="168">
        <f t="shared" si="32"/>
        <v>-0.12656164451301449</v>
      </c>
      <c r="H62" s="165" t="str">
        <f t="shared" ref="H62:H67" si="33">+IFERROR(F62/ABS($D62),"")</f>
        <v/>
      </c>
      <c r="I62" s="166">
        <f t="shared" ref="I62:I67" si="34">+IFERROR(G62/ABS($E62),"")</f>
        <v>-0.30422869074985087</v>
      </c>
      <c r="J62" s="126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6"/>
      <c r="K63" s="3"/>
      <c r="L63" s="3"/>
      <c r="M63" s="3"/>
      <c r="N63" s="3"/>
      <c r="O63" s="3"/>
      <c r="P63" s="3"/>
      <c r="Q63" s="3"/>
      <c r="R63" s="3"/>
      <c r="S63" s="3"/>
      <c r="T63" s="3"/>
      <c r="U63" s="3"/>
      <c r="V63" s="3"/>
      <c r="W63" s="3"/>
    </row>
    <row r="64" spans="1:23" ht="15.75" customHeight="1">
      <c r="A64" s="3"/>
      <c r="B64" s="176" t="s">
        <v>319</v>
      </c>
      <c r="C64" s="161">
        <f>N17+Print_Mois!$AF$501+Print_Mois!$AF$521</f>
        <v>16508.520000000004</v>
      </c>
      <c r="D64" s="161" t="e">
        <f>+Print_Mois!$Z$501+Print_Mois!$Z$521</f>
        <v>#N/A</v>
      </c>
      <c r="E64" s="161">
        <f>+Print_Mois!$AL$501+Print_Mois!$AL$521</f>
        <v>21157.120000000006</v>
      </c>
      <c r="F64" s="162" t="str">
        <f t="shared" si="32"/>
        <v/>
      </c>
      <c r="G64" s="163">
        <f t="shared" si="32"/>
        <v>-4648.6000000000022</v>
      </c>
      <c r="H64" s="165" t="str">
        <f t="shared" si="33"/>
        <v/>
      </c>
      <c r="I64" s="166">
        <f t="shared" si="34"/>
        <v>-0.21971799564401964</v>
      </c>
      <c r="J64" s="1266"/>
      <c r="K64" s="3"/>
      <c r="L64" s="3"/>
      <c r="M64" s="3"/>
      <c r="N64" s="3"/>
      <c r="O64" s="3"/>
      <c r="P64" s="3"/>
      <c r="Q64" s="3"/>
      <c r="R64" s="3"/>
      <c r="S64" s="3"/>
      <c r="T64" s="3"/>
      <c r="U64" s="3"/>
      <c r="V64" s="3"/>
      <c r="W64" s="3"/>
    </row>
    <row r="65" spans="1:23" ht="15.75" customHeight="1">
      <c r="A65" s="3"/>
      <c r="B65" s="176" t="s">
        <v>320</v>
      </c>
      <c r="C65" s="161">
        <f>+Print_Mois!$AF$539-Print_Mois!$AF$521</f>
        <v>69526.170000000013</v>
      </c>
      <c r="D65" s="161" t="e">
        <f>+Print_Mois!$Z$539-Print_Mois!$Z$521</f>
        <v>#N/A</v>
      </c>
      <c r="E65" s="161">
        <f>+Print_Mois!$AL$539-Print_Mois!$AL$521</f>
        <v>79903.709999999992</v>
      </c>
      <c r="F65" s="162" t="str">
        <f t="shared" si="32"/>
        <v/>
      </c>
      <c r="G65" s="163">
        <f t="shared" si="32"/>
        <v>-10377.539999999979</v>
      </c>
      <c r="H65" s="165" t="str">
        <f t="shared" si="33"/>
        <v/>
      </c>
      <c r="I65" s="166">
        <f t="shared" si="34"/>
        <v>-0.12987557148472806</v>
      </c>
      <c r="J65" s="1266"/>
      <c r="K65" s="3"/>
      <c r="L65" s="3"/>
      <c r="M65" s="3"/>
      <c r="N65" s="3"/>
      <c r="O65" s="3"/>
      <c r="P65" s="3"/>
      <c r="Q65" s="3"/>
      <c r="R65" s="3"/>
      <c r="S65" s="3"/>
      <c r="T65" s="3"/>
      <c r="U65" s="3"/>
      <c r="V65" s="3"/>
      <c r="W65" s="3"/>
    </row>
    <row r="66" spans="1:23" ht="15.75" customHeight="1">
      <c r="A66" s="3"/>
      <c r="B66" s="176" t="s">
        <v>321</v>
      </c>
      <c r="C66" s="161">
        <f>+Print_Mois!$AF$502</f>
        <v>-42142.19</v>
      </c>
      <c r="D66" s="161" t="e">
        <f>+Print_Mois!$Z$502</f>
        <v>#N/A</v>
      </c>
      <c r="E66" s="161">
        <f>+Print_Mois!$AL$502</f>
        <v>97213.13</v>
      </c>
      <c r="F66" s="162" t="str">
        <f t="shared" si="32"/>
        <v/>
      </c>
      <c r="G66" s="163">
        <f t="shared" si="32"/>
        <v>-139355.32</v>
      </c>
      <c r="H66" s="165" t="str">
        <f t="shared" si="33"/>
        <v/>
      </c>
      <c r="I66" s="166">
        <f t="shared" si="34"/>
        <v>-1.4335030669211042</v>
      </c>
      <c r="J66" s="1266"/>
      <c r="K66" s="3"/>
      <c r="L66" s="3"/>
      <c r="M66" s="3"/>
      <c r="N66" s="3"/>
      <c r="O66" s="3"/>
      <c r="P66" s="3"/>
      <c r="Q66" s="3"/>
      <c r="R66" s="3"/>
      <c r="S66" s="3"/>
      <c r="T66" s="3"/>
      <c r="U66" s="3"/>
      <c r="V66" s="3"/>
      <c r="W66" s="3"/>
    </row>
    <row r="67" spans="1:23">
      <c r="A67" s="3"/>
      <c r="B67" s="178" t="s">
        <v>322</v>
      </c>
      <c r="C67" s="179">
        <f>+Print_Mois!$AF$568-C32-C15</f>
        <v>6.680000000000291</v>
      </c>
      <c r="D67" s="179" t="e">
        <f>+Print_Mois!$Z$568-D32-D15</f>
        <v>#N/A</v>
      </c>
      <c r="E67" s="179">
        <f>+Print_Mois!$AL$568-E32-E15</f>
        <v>-19182.250000000036</v>
      </c>
      <c r="F67" s="180" t="str">
        <f t="shared" si="32"/>
        <v/>
      </c>
      <c r="G67" s="181">
        <f t="shared" si="32"/>
        <v>19188.930000000037</v>
      </c>
      <c r="H67" s="182" t="str">
        <f t="shared" si="33"/>
        <v/>
      </c>
      <c r="I67" s="183">
        <f t="shared" si="34"/>
        <v>1.000348238606003</v>
      </c>
      <c r="J67" s="126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9154.5499999999975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-12085.000000000173</v>
      </c>
      <c r="H70" s="165" t="str">
        <f t="shared" ref="H70:H77" si="36">+IFERROR(F70/ABS($D70),"")</f>
        <v/>
      </c>
      <c r="I70" s="166">
        <f t="shared" ref="I70:I77" si="37">+IFERROR(G70/ABS($E70),"")</f>
        <v>-0.56898568943316008</v>
      </c>
      <c r="J70" s="1265" t="s">
        <v>1092</v>
      </c>
      <c r="K70" s="3"/>
      <c r="L70" s="3"/>
      <c r="M70" s="3"/>
      <c r="N70" s="3"/>
      <c r="O70" s="3"/>
      <c r="P70" s="3"/>
      <c r="Q70" s="3"/>
      <c r="R70" s="3"/>
      <c r="S70" s="3"/>
      <c r="T70" s="3"/>
      <c r="U70" s="3"/>
      <c r="V70" s="3"/>
      <c r="W70" s="3"/>
    </row>
    <row r="71" spans="1:23" ht="15.75" customHeight="1">
      <c r="A71" s="3"/>
      <c r="B71" s="176" t="s">
        <v>325</v>
      </c>
      <c r="C71" s="164">
        <f>+C70/Print_Mois!$AF$494</f>
        <v>1.9899841165159089E-2</v>
      </c>
      <c r="D71" s="164" t="e">
        <f>+D70/Print_Mois!$Z$494</f>
        <v>#N/A</v>
      </c>
      <c r="E71" s="164">
        <f>+E70/Print_Mois!$AL$494</f>
        <v>2.6914321346648406E-2</v>
      </c>
      <c r="F71" s="167" t="str">
        <f t="shared" si="35"/>
        <v/>
      </c>
      <c r="G71" s="168">
        <f t="shared" si="35"/>
        <v>-7.0144801814893167E-3</v>
      </c>
      <c r="H71" s="165" t="str">
        <f t="shared" si="36"/>
        <v/>
      </c>
      <c r="I71" s="166">
        <f t="shared" si="37"/>
        <v>-0.26062259163606283</v>
      </c>
      <c r="J71" s="126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317913.81</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-290566.75999999995</v>
      </c>
      <c r="H72" s="165" t="str">
        <f t="shared" si="36"/>
        <v/>
      </c>
      <c r="I72" s="166">
        <f t="shared" si="37"/>
        <v>-0.47752841146595687</v>
      </c>
      <c r="J72" s="1266"/>
      <c r="K72" s="3"/>
      <c r="L72" s="3"/>
      <c r="M72" s="3"/>
      <c r="N72" s="3"/>
      <c r="O72" s="3"/>
      <c r="P72" s="3"/>
      <c r="Q72" s="3"/>
      <c r="R72" s="3"/>
      <c r="S72" s="3"/>
      <c r="T72" s="3"/>
      <c r="U72" s="3"/>
      <c r="V72" s="3"/>
      <c r="W72" s="3"/>
    </row>
    <row r="73" spans="1:23" ht="15.75" customHeight="1">
      <c r="A73" s="3"/>
      <c r="B73" s="176" t="s">
        <v>327</v>
      </c>
      <c r="C73" s="164">
        <f>+C72/Print_Mois!$AF$494</f>
        <v>0.69106994043514614</v>
      </c>
      <c r="D73" s="164" t="e">
        <f>+D72/Print_Mois!$Z$494</f>
        <v>#N/A</v>
      </c>
      <c r="E73" s="164">
        <f>+E72/Print_Mois!$AL$494</f>
        <v>0.77105407573002527</v>
      </c>
      <c r="F73" s="167" t="str">
        <f t="shared" si="35"/>
        <v/>
      </c>
      <c r="G73" s="168">
        <f t="shared" si="35"/>
        <v>-7.9984135294879133E-2</v>
      </c>
      <c r="H73" s="165" t="str">
        <f t="shared" si="36"/>
        <v/>
      </c>
      <c r="I73" s="166">
        <f t="shared" si="37"/>
        <v>-0.10373349653738755</v>
      </c>
      <c r="J73" s="1266"/>
      <c r="K73" s="3"/>
      <c r="L73" s="3"/>
      <c r="M73" s="3"/>
      <c r="N73" s="3"/>
      <c r="O73" s="3"/>
      <c r="P73" s="3"/>
      <c r="Q73" s="3"/>
      <c r="R73" s="3"/>
      <c r="S73" s="3"/>
      <c r="T73" s="3"/>
      <c r="U73" s="3"/>
      <c r="V73" s="3"/>
      <c r="W73" s="3"/>
    </row>
    <row r="74" spans="1:23" ht="15.75" customHeight="1">
      <c r="A74" s="1"/>
      <c r="B74" s="206" t="s">
        <v>328</v>
      </c>
      <c r="C74" s="195">
        <f>+Print_Mois!$AF$570+Print_Mois!$AF$502</f>
        <v>184951.77999999674</v>
      </c>
      <c r="D74" s="195" t="e">
        <f>+Print_Mois!$Z$570+Print_Mois!$Z$502</f>
        <v>#N/A</v>
      </c>
      <c r="E74" s="195">
        <f>+Print_Mois!$AL$570+Print_Mois!$AL$502</f>
        <v>165698.41999998913</v>
      </c>
      <c r="F74" s="196" t="str">
        <f t="shared" si="35"/>
        <v/>
      </c>
      <c r="G74" s="197">
        <f t="shared" si="35"/>
        <v>19253.360000007611</v>
      </c>
      <c r="H74" s="198" t="str">
        <f t="shared" si="36"/>
        <v/>
      </c>
      <c r="I74" s="199">
        <f t="shared" si="37"/>
        <v>0.11619519365368043</v>
      </c>
      <c r="J74" s="1266"/>
      <c r="K74" s="1"/>
      <c r="L74" s="1"/>
      <c r="M74" s="1"/>
      <c r="N74" s="1"/>
      <c r="O74" s="1"/>
      <c r="P74" s="1"/>
      <c r="Q74" s="1"/>
      <c r="R74" s="1"/>
      <c r="S74" s="1"/>
      <c r="T74" s="1"/>
      <c r="U74" s="1"/>
      <c r="V74" s="1"/>
      <c r="W74" s="1"/>
    </row>
    <row r="75" spans="1:23" ht="15.75" customHeight="1">
      <c r="A75" s="3"/>
      <c r="B75" s="160" t="s">
        <v>329</v>
      </c>
      <c r="C75" s="222">
        <f>+C74/Print_Mois!$AF$493</f>
        <v>1.3954270762452774E-2</v>
      </c>
      <c r="D75" s="222" t="e">
        <f>+D74/Print_Mois!$Z$493</f>
        <v>#N/A</v>
      </c>
      <c r="E75" s="222">
        <f>+E74/Print_Mois!$AL$493</f>
        <v>8.8212394626782011E-3</v>
      </c>
      <c r="F75" s="167" t="str">
        <f t="shared" si="35"/>
        <v/>
      </c>
      <c r="G75" s="168">
        <f t="shared" si="35"/>
        <v>5.1330312997745729E-3</v>
      </c>
      <c r="H75" s="165" t="str">
        <f t="shared" si="36"/>
        <v/>
      </c>
      <c r="I75" s="166">
        <f t="shared" si="37"/>
        <v>0.58189456498623859</v>
      </c>
      <c r="J75" s="1266"/>
      <c r="K75" s="3"/>
      <c r="L75" s="3"/>
      <c r="M75" s="3"/>
      <c r="N75" s="3"/>
      <c r="O75" s="3"/>
      <c r="P75" s="3"/>
      <c r="Q75" s="3"/>
      <c r="R75" s="3"/>
      <c r="S75" s="3"/>
      <c r="T75" s="3"/>
      <c r="U75" s="3"/>
      <c r="V75" s="3"/>
      <c r="W75" s="3"/>
    </row>
    <row r="76" spans="1:23" ht="15.75" customHeight="1">
      <c r="A76" s="1"/>
      <c r="B76" s="206" t="s">
        <v>330</v>
      </c>
      <c r="C76" s="195">
        <f>N9+Print_Mois!$AF$585</f>
        <v>216283.96999999674</v>
      </c>
      <c r="D76" s="195" t="e">
        <f>+Print_Mois!$Z$585</f>
        <v>#N/A</v>
      </c>
      <c r="E76" s="195">
        <f>+Print_Mois!$AL$585</f>
        <v>57695.159999989126</v>
      </c>
      <c r="F76" s="196" t="str">
        <f t="shared" si="35"/>
        <v/>
      </c>
      <c r="G76" s="197">
        <f t="shared" si="35"/>
        <v>158588.81000000762</v>
      </c>
      <c r="H76" s="198" t="str">
        <f t="shared" si="36"/>
        <v/>
      </c>
      <c r="I76" s="199">
        <f t="shared" si="37"/>
        <v>2.7487368091194742</v>
      </c>
      <c r="J76" s="1266"/>
      <c r="K76" s="1"/>
      <c r="L76" s="1"/>
      <c r="M76" s="1"/>
      <c r="N76" s="1"/>
      <c r="O76" s="1"/>
      <c r="P76" s="1"/>
      <c r="Q76" s="1"/>
      <c r="R76" s="1"/>
      <c r="S76" s="1"/>
      <c r="T76" s="1"/>
      <c r="U76" s="1"/>
      <c r="V76" s="1"/>
      <c r="W76" s="1"/>
    </row>
    <row r="77" spans="1:23" ht="15.75" customHeight="1">
      <c r="A77" s="3"/>
      <c r="B77" s="178" t="s">
        <v>331</v>
      </c>
      <c r="C77" s="223">
        <f>+C76/Print_Mois!$AF$493</f>
        <v>1.6318226723517994E-2</v>
      </c>
      <c r="D77" s="223" t="e">
        <f>+D76/Print_Mois!$Z$493</f>
        <v>#N/A</v>
      </c>
      <c r="E77" s="223">
        <f>+E76/Print_Mois!$AL$493</f>
        <v>3.0715007553932636E-3</v>
      </c>
      <c r="F77" s="224" t="str">
        <f t="shared" si="35"/>
        <v/>
      </c>
      <c r="G77" s="225">
        <f t="shared" si="35"/>
        <v>1.3246725968124731E-2</v>
      </c>
      <c r="H77" s="182" t="str">
        <f t="shared" si="36"/>
        <v/>
      </c>
      <c r="I77" s="183">
        <f t="shared" si="37"/>
        <v>4.3127861664577933</v>
      </c>
      <c r="J77" s="126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125426.77999999674</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239805.96999999674</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216283.96999999674</v>
      </c>
      <c r="D87" s="662">
        <f>+Print_AAD!AF585</f>
        <v>2077646.0499999989</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B154" zoomScale="80" zoomScaleNormal="80" workbookViewId="0">
      <selection activeCell="U177" sqref="U177"/>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226"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0" t="s">
        <v>339</v>
      </c>
      <c r="E3" s="1271"/>
      <c r="F3" s="1272"/>
      <c r="G3" s="1275"/>
      <c r="H3" s="1271"/>
      <c r="I3" s="1272"/>
      <c r="J3" s="1275" t="s">
        <v>340</v>
      </c>
      <c r="K3" s="1271"/>
      <c r="L3" s="1272"/>
      <c r="M3" s="1275" t="s">
        <v>668</v>
      </c>
      <c r="N3" s="1272"/>
      <c r="O3" s="1270" t="s">
        <v>341</v>
      </c>
      <c r="P3" s="1271"/>
      <c r="Q3" s="1272"/>
      <c r="R3" s="1273" t="s">
        <v>670</v>
      </c>
      <c r="S3" s="1274"/>
      <c r="T3" s="38"/>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5267984.0699999956</v>
      </c>
      <c r="M5" s="242"/>
      <c r="N5" s="950"/>
      <c r="O5" s="238"/>
      <c r="P5" s="949"/>
      <c r="Q5" s="286">
        <f>-SUMIFS(BV_Data_An_Prec!$AM:$AM,BV_Data_An_Prec!$AS:$AS,"Oui",BV_Data_An_Prec!$AP:$AP,$B5)</f>
        <v>8048046.4199999925</v>
      </c>
      <c r="R5" s="242"/>
      <c r="S5" s="962"/>
      <c r="T5" s="38"/>
      <c r="U5" s="35"/>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8"/>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23</v>
      </c>
      <c r="K7" s="281">
        <f t="shared" si="0"/>
        <v>2498.5926086956424</v>
      </c>
      <c r="L7" s="266">
        <f>-SUMIFS(BV_Data_An_Cour!$AM:$AM,BV_Data_An_Cour!$AP:$AP,$B7,BV_Data_An_Cour!$AQ:$AQ,$C7,BV_Data_An_Cour!$AR:$AR,L$2)</f>
        <v>57467.629999999772</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-44</v>
      </c>
      <c r="S7" s="266">
        <f>L7-Q7</f>
        <v>-119660.73999999982</v>
      </c>
      <c r="T7" s="38"/>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8"/>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24</v>
      </c>
      <c r="K9" s="281">
        <f t="shared" si="0"/>
        <v>1200.9758333333302</v>
      </c>
      <c r="L9" s="266">
        <f>-SUMIFS(BV_Data_An_Cour!$AM:$AM,BV_Data_An_Cour!$AP:$AP,$B9,BV_Data_An_Cour!$AQ:$AQ,$C9,BV_Data_An_Cour!$AR:$AR,L$2)</f>
        <v>28823.419999999925</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13</v>
      </c>
      <c r="S9" s="266">
        <f t="shared" ref="S9:S12" si="5">L9-Q9</f>
        <v>18920.809999999125</v>
      </c>
      <c r="T9" s="38"/>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8"/>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8"/>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8"/>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47</v>
      </c>
      <c r="K13" s="355">
        <f>IF(J13&lt;=0,0,L13/J13)</f>
        <v>1835.9797872340362</v>
      </c>
      <c r="L13" s="356">
        <f>+SUM(L6:L12)</f>
        <v>86291.049999999697</v>
      </c>
      <c r="M13" s="252" t="e">
        <f>+SUM(M6:M12)</f>
        <v>#N/A</v>
      </c>
      <c r="N13" s="251" t="e">
        <f>+SUM(N6:N12)</f>
        <v>#N/A</v>
      </c>
      <c r="O13" s="252">
        <f>+SUM(O6:O12)</f>
        <v>80</v>
      </c>
      <c r="P13" s="355">
        <f>IF(O13&lt;=0,0,Q13/O13)</f>
        <v>2476.9122500000049</v>
      </c>
      <c r="Q13" s="356">
        <f>+SUM(Q6:Q12)</f>
        <v>198152.98000000039</v>
      </c>
      <c r="R13" s="252">
        <f>+SUM(R6:R12)</f>
        <v>-33</v>
      </c>
      <c r="S13" s="356">
        <f>+SUM(S6:S12)</f>
        <v>-111861.93000000069</v>
      </c>
      <c r="T13" s="35">
        <v>42</v>
      </c>
      <c r="U13" s="1238">
        <v>83068</v>
      </c>
      <c r="V13" s="1239">
        <f>L13-U13</f>
        <v>3223.0499999996973</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-0.41249999999999998</v>
      </c>
      <c r="S14" s="255">
        <f>IF(Q13=0,0,(S13/Q13))</f>
        <v>-0.5645230770690427</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36</v>
      </c>
      <c r="K17" s="281">
        <f>IF(J17=0,0,L17/J17)</f>
        <v>580.02055555561356</v>
      </c>
      <c r="L17" s="266">
        <f>-SUMIFS(BV_Data_An_Cour!$AM:$AM,BV_Data_An_Cour!$AP:$AP,$B17,BV_Data_An_Cour!$AQ:$AQ,$C17,BV_Data_An_Cour!$AR:$AR,L$2)</f>
        <v>20880.740000002086</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-18</v>
      </c>
      <c r="S17" s="266">
        <f>L17-Q17</f>
        <v>-12485.659999988973</v>
      </c>
      <c r="T17" s="35">
        <v>31</v>
      </c>
      <c r="U17" s="1238">
        <v>17317</v>
      </c>
      <c r="V17" s="1239">
        <f>L17-U17</f>
        <v>3563.7400000020862</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8"/>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8"/>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8"/>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212.43127659574469</v>
      </c>
      <c r="L21" s="266">
        <f>-SUMIFS(BV_Data_An_Cour!$AM:$AM,BV_Data_An_Cour!$AP:$AP,$B21,BV_Data_An_Cour!$AQ:$AQ,$C21,BV_Data_An_Cour!$AR:$AR,L$2)</f>
        <v>9984.27</v>
      </c>
      <c r="M21" s="245"/>
      <c r="N21" s="246" t="e">
        <f>L21-F21</f>
        <v>#N/A</v>
      </c>
      <c r="O21" s="245"/>
      <c r="P21" s="281">
        <f>IF(O13=0,0,Q21/(O13+O15))</f>
        <v>1.3224999999999909</v>
      </c>
      <c r="Q21" s="266">
        <f>-SUMIFS(BV_Data_An_Prec!$AM:$AM,BV_Data_An_Prec!$AP:$AP,$B21,BV_Data_An_Prec!$AQ:$AQ,$C21,BV_Data_An_Prec!$AR:$AR,Q$2)</f>
        <v>105.79999999999927</v>
      </c>
      <c r="R21" s="267">
        <f>P21-K21</f>
        <v>-211.1087765957447</v>
      </c>
      <c r="S21" s="266">
        <f t="shared" ref="S21:S23" si="7">L21-Q21</f>
        <v>9878.4700000000012</v>
      </c>
      <c r="T21" s="38"/>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548.09808510638288</v>
      </c>
      <c r="L22" s="266">
        <f>-SUMIFS(BV_Data_An_Cour!$AM:$AM,BV_Data_An_Cour!$AP:$AP,$B22,BV_Data_An_Cour!$AQ:$AQ,$C22,BV_Data_An_Cour!$AR:$AR,L$2)</f>
        <v>25760.609999999993</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204.53578989361756</v>
      </c>
      <c r="S22" s="266">
        <f t="shared" si="7"/>
        <v>-34450.100000000042</v>
      </c>
      <c r="T22" s="38"/>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-97.962553191489377</v>
      </c>
      <c r="L23" s="266">
        <f>-SUMIFS(BV_Data_An_Cour!$AM:$AM,BV_Data_An_Cour!$AP:$AP,$B23,BV_Data_An_Cour!$AQ:$AQ,$C23,BV_Data_An_Cour!$AR:$AR,L$2)</f>
        <v>-4604.2400000000007</v>
      </c>
      <c r="M23" s="257"/>
      <c r="N23" s="246" t="e">
        <f>L23-F23</f>
        <v>#N/A</v>
      </c>
      <c r="O23" s="245"/>
      <c r="P23" s="281">
        <f>IF(O13=0,0,Q23/(O13+O15))</f>
        <v>180.25050000000002</v>
      </c>
      <c r="Q23" s="266">
        <f>-SUMIFS(BV_Data_An_Prec!$AM:$AM,BV_Data_An_Prec!$AP:$AP,$B23,BV_Data_An_Prec!$AQ:$AQ,$C23,BV_Data_An_Prec!$AR:$AR,Q$2)</f>
        <v>14420.04</v>
      </c>
      <c r="R23" s="267">
        <f t="shared" si="8"/>
        <v>278.21305319148939</v>
      </c>
      <c r="S23" s="266">
        <f t="shared" si="7"/>
        <v>-19024.280000000002</v>
      </c>
      <c r="T23" s="38"/>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47</v>
      </c>
      <c r="K24" s="355">
        <f>IF(J24&lt;=0,0,L24/J24)</f>
        <v>662.566808510638</v>
      </c>
      <c r="L24" s="356">
        <f>L21+L22+L23</f>
        <v>31140.639999999989</v>
      </c>
      <c r="M24" s="265" t="e">
        <f>J24-D24</f>
        <v>#N/A</v>
      </c>
      <c r="N24" s="251" t="e">
        <f>L24-F24</f>
        <v>#N/A</v>
      </c>
      <c r="O24" s="252">
        <f>+O15+O13</f>
        <v>80</v>
      </c>
      <c r="P24" s="355">
        <f>IF(O24&lt;=0,0,Q24/O24)</f>
        <v>934.20687500000054</v>
      </c>
      <c r="Q24" s="356">
        <f>Q21+Q22+Q23</f>
        <v>74736.550000000047</v>
      </c>
      <c r="R24" s="337">
        <f>P24-K24</f>
        <v>271.64006648936254</v>
      </c>
      <c r="S24" s="356">
        <f>L24-Q24</f>
        <v>-43595.910000000062</v>
      </c>
      <c r="T24" s="38"/>
      <c r="U24" s="1238">
        <v>20086</v>
      </c>
      <c r="V24" s="1239">
        <f>L24-U24</f>
        <v>11054.639999999989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-0.58332783624612106</v>
      </c>
      <c r="T25" s="38"/>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8"/>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83</v>
      </c>
      <c r="K27" s="269">
        <f>IF(J27&lt;=0,0,L27/J27)</f>
        <v>1666.4148192771297</v>
      </c>
      <c r="L27" s="271">
        <f>L13+L17+L24+L19+L15</f>
        <v>138312.43000000177</v>
      </c>
      <c r="M27" s="272" t="e">
        <f>J27-D27</f>
        <v>#N/A</v>
      </c>
      <c r="N27" s="271" t="e">
        <f>L27-F27</f>
        <v>#N/A</v>
      </c>
      <c r="O27" s="272">
        <f>+O13+O15+O17</f>
        <v>134</v>
      </c>
      <c r="P27" s="269">
        <f>IF(O27&lt;=0,0,Q27/O27)</f>
        <v>2285.4920149253098</v>
      </c>
      <c r="Q27" s="271">
        <f>Q13+Q17+Q24+Q19+Q15</f>
        <v>306255.92999999149</v>
      </c>
      <c r="R27" s="272">
        <f>J27-O27</f>
        <v>-51</v>
      </c>
      <c r="S27" s="271">
        <f>L27-Q27</f>
        <v>-167943.49999998973</v>
      </c>
      <c r="T27" s="38"/>
      <c r="U27" s="1238">
        <f>SUM(U13:U26)</f>
        <v>120471</v>
      </c>
      <c r="V27" s="1239">
        <f>L27-U27</f>
        <v>17841.430000001768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-0.38059701492537312</v>
      </c>
      <c r="S28" s="326">
        <f>IF(Q27=0,0,S27/Q27)</f>
        <v>-0.54837632041931206</v>
      </c>
      <c r="T28" s="38"/>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8"/>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8"/>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0.33638059045201496</v>
      </c>
      <c r="K31" s="281">
        <f>IF(L31=0,0,L31/J$24)</f>
        <v>767.03212765957346</v>
      </c>
      <c r="L31" s="266">
        <f>SUMIFS(BV_Data_An_Cour!$AM:$AM,BV_Data_An_Cour!$AP:$AP,$B31,BV_Data_An_Cour!$AQ:$AQ,$C31,BV_Data_An_Cour!$AR:$AR,L$2)</f>
        <v>36050.509999999951</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-16252.500000000058</v>
      </c>
      <c r="T31" s="38"/>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0.20931201157073209</v>
      </c>
      <c r="K32" s="284">
        <f t="shared" ref="K32:K39" si="11">IF(L32=0,0,L32/J$24)</f>
        <v>138.68319148936172</v>
      </c>
      <c r="L32" s="266">
        <f>SUMIFS(BV_Data_An_Cour!$AM:$AM,BV_Data_An_Cour!$AP:$AP,$B32,BV_Data_An_Cour!$AQ:$AQ,$C32,BV_Data_An_Cour!$AR:$AR,L$2)</f>
        <v>6518.1100000000006</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-11512.349999999991</v>
      </c>
      <c r="T32" s="38"/>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-144.40042553191444</v>
      </c>
      <c r="L33" s="952">
        <f>SUMIFS(BV_Data_An_Cour!$AM:$AM,BV_Data_An_Cour!$AP:$AP,$B33,BV_Data_An_Cour!$AQ:$AQ,$C33,BV_Data_An_Cour!$AR:$AR,L$2)</f>
        <v>-6786.8199999999779</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2341.9200000000237</v>
      </c>
      <c r="T33" s="38"/>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8"/>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61.996382978723403</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8"/>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190.43319148936172</v>
      </c>
      <c r="L36" s="952">
        <f>SUMIFS(BV_Data_An_Cour!$AM:$AM,BV_Data_An_Cour!$AP:$AP,$B36,BV_Data_An_Cour!$AQ:$AQ,$C36,BV_Data_An_Cour!$AR:$AR,L$2)</f>
        <v>8950.36</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-5782.4300000000039</v>
      </c>
      <c r="T36" s="38"/>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-792.54659574468087</v>
      </c>
      <c r="L37" s="266">
        <f>SUMIFS(BV_Data_An_Cour!$AM:$AM,BV_Data_An_Cour!$AP:$AP,$B37,BV_Data_An_Cour!$AQ:$AQ,$C37,BV_Data_An_Cour!$AR:$AR,L$2)</f>
        <v>-37249.69</v>
      </c>
      <c r="M37" s="243"/>
      <c r="N37" s="658" t="e">
        <f t="shared" si="10"/>
        <v>#N/A</v>
      </c>
      <c r="O37" s="243"/>
      <c r="P37" s="281">
        <f t="shared" si="12"/>
        <v>944.36874999999998</v>
      </c>
      <c r="Q37" s="266">
        <f>SUMIFS(BV_Data_An_Prec!$AM:$AM,BV_Data_An_Prec!$AP:$AP,$B37,BV_Data_An_Prec!$AQ:$AQ,$C37,BV_Data_An_Prec!$AR:$AR,Q$2)</f>
        <v>75549.5</v>
      </c>
      <c r="R37" s="243"/>
      <c r="S37" s="266">
        <f t="shared" si="13"/>
        <v>-112799.19</v>
      </c>
      <c r="T37" s="1050"/>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-1408.2285106382976</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0</v>
      </c>
      <c r="L39" s="266">
        <f>SUMIFS(BV_Data_An_Cour!$AM:$AM,BV_Data_An_Cour!$AP:$AP,$B39,BV_Data_An_Cour!$AQ:$AQ,$C39,BV_Data_An_Cour!$AR:$AR,L$2)</f>
        <v>0</v>
      </c>
      <c r="M39" s="38"/>
      <c r="N39" s="266" t="e">
        <f t="shared" si="10"/>
        <v>#N/A</v>
      </c>
      <c r="O39" s="243"/>
      <c r="P39" s="281">
        <f t="shared" si="12"/>
        <v>0</v>
      </c>
      <c r="Q39" s="266">
        <f>SUMIFS(BV_Data_An_Prec!$AM:$AM,BV_Data_An_Prec!$AP:$AP,$B39,BV_Data_An_Prec!$AQ:$AQ,$C39,BV_Data_An_Prec!$AR:$AR,Q$2)</f>
        <v>0</v>
      </c>
      <c r="R39" s="243"/>
      <c r="S39" s="266">
        <f t="shared" si="13"/>
        <v>0</v>
      </c>
      <c r="T39" s="35">
        <v>-11259</v>
      </c>
      <c r="U39" s="1247">
        <f>L39+L121+L194</f>
        <v>0</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8"/>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-0.40336533744652814</v>
      </c>
      <c r="L41" s="294">
        <f>SUM(L31:L40)</f>
        <v>-55790.440000000017</v>
      </c>
      <c r="M41" s="296"/>
      <c r="N41" s="294" t="e">
        <f t="shared" si="10"/>
        <v>#N/A</v>
      </c>
      <c r="O41" s="295" t="s">
        <v>115</v>
      </c>
      <c r="P41" s="293">
        <f>Q41/Q$27</f>
        <v>0.14542895544912843</v>
      </c>
      <c r="Q41" s="294">
        <f>SUM(Q31:Q40)</f>
        <v>44538.480000000156</v>
      </c>
      <c r="R41" s="297"/>
      <c r="S41" s="294">
        <f t="shared" si="16"/>
        <v>-100328.92000000017</v>
      </c>
      <c r="T41" s="38"/>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2880</v>
      </c>
      <c r="M42" s="243"/>
      <c r="N42" s="266" t="e">
        <f t="shared" si="10"/>
        <v>#N/A</v>
      </c>
      <c r="O42" s="243"/>
      <c r="P42" s="38"/>
      <c r="Q42" s="281">
        <f>SUMIFS(BV_Data_An_Prec!$AM:$AM,BV_Data_An_Prec!$AP:$AP,$B42,BV_Data_An_Prec!$AQ:$AQ,$C42,BV_Data_An_Prec!$AR:$AR,Q$2)</f>
        <v>12759.149999999994</v>
      </c>
      <c r="R42" s="243"/>
      <c r="S42" s="266">
        <f t="shared" si="16"/>
        <v>-9879.1499999999942</v>
      </c>
      <c r="T42" s="38"/>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6122.0899999999965</v>
      </c>
      <c r="M43" s="243"/>
      <c r="N43" s="266" t="e">
        <f t="shared" si="10"/>
        <v>#N/A</v>
      </c>
      <c r="O43" s="243"/>
      <c r="P43" s="38"/>
      <c r="Q43" s="286">
        <f>SUMIFS(BV_Data_An_Prec!$AM:$AM,BV_Data_An_Prec!$AP:$AP,$B43,BV_Data_An_Prec!$AQ:$AQ,$C43,BV_Data_An_Prec!$AR:$AR,Q$2)</f>
        <v>27510.700000000012</v>
      </c>
      <c r="R43" s="243"/>
      <c r="S43" s="266">
        <f t="shared" si="16"/>
        <v>-21388.610000000015</v>
      </c>
      <c r="T43" s="38"/>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1824.8799999999974</v>
      </c>
      <c r="M44" s="233"/>
      <c r="N44" s="303" t="e">
        <f t="shared" si="10"/>
        <v>#N/A</v>
      </c>
      <c r="O44" s="233"/>
      <c r="P44" s="301"/>
      <c r="Q44" s="281">
        <f>SUMIFS(BV_Data_An_Prec!$AM:$AM,BV_Data_An_Prec!$AP:$AP,$B44,BV_Data_An_Prec!$AQ:$AQ,$C44,BV_Data_An_Prec!$AR:$AR,Q$2)</f>
        <v>5112.2000000000007</v>
      </c>
      <c r="R44" s="233"/>
      <c r="S44" s="303">
        <f t="shared" si="16"/>
        <v>-3287.3200000000033</v>
      </c>
      <c r="T44" s="38"/>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8"/>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8"/>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8"/>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8"/>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1568.8199999999997</v>
      </c>
      <c r="M49" s="243"/>
      <c r="N49" s="266" t="e">
        <f t="shared" si="10"/>
        <v>#N/A</v>
      </c>
      <c r="O49" s="243"/>
      <c r="P49" s="38"/>
      <c r="Q49" s="286">
        <f>SUMIFS(BV_Data_An_Prec!$AM:$AM,BV_Data_An_Prec!$AP:$AP,$B49,BV_Data_An_Prec!$AQ:$AQ,$C49,BV_Data_An_Prec!$AR:$AR,Q$2)</f>
        <v>6372</v>
      </c>
      <c r="R49" s="243"/>
      <c r="S49" s="266">
        <f t="shared" si="16"/>
        <v>-4803.18</v>
      </c>
      <c r="T49" s="38"/>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5207.7899999999936</v>
      </c>
      <c r="M50" s="233"/>
      <c r="N50" s="303" t="e">
        <f t="shared" si="10"/>
        <v>#N/A</v>
      </c>
      <c r="O50" s="233"/>
      <c r="P50" s="301"/>
      <c r="Q50" s="281">
        <f>SUMIFS(BV_Data_An_Prec!$AM:$AM,BV_Data_An_Prec!$AP:$AP,$B50,BV_Data_An_Prec!$AQ:$AQ,$C50,BV_Data_An_Prec!$AR:$AR,Q$2)</f>
        <v>14274.209999999992</v>
      </c>
      <c r="R50" s="233"/>
      <c r="S50" s="303">
        <f t="shared" si="16"/>
        <v>-9066.4199999999983</v>
      </c>
      <c r="T50" s="38"/>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712.09999999999854</v>
      </c>
      <c r="M51" s="243"/>
      <c r="N51" s="266" t="e">
        <f t="shared" si="10"/>
        <v>#N/A</v>
      </c>
      <c r="O51" s="243"/>
      <c r="P51" s="38"/>
      <c r="Q51" s="281">
        <f>SUMIFS(BV_Data_An_Prec!$AM:$AM,BV_Data_An_Prec!$AP:$AP,$B51,BV_Data_An_Prec!$AQ:$AQ,$C51,BV_Data_An_Prec!$AR:$AR,Q$2)</f>
        <v>4465.4700000000012</v>
      </c>
      <c r="R51" s="243"/>
      <c r="S51" s="266">
        <f t="shared" si="16"/>
        <v>-3753.3700000000026</v>
      </c>
      <c r="T51" s="38"/>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3484.5499999999993</v>
      </c>
      <c r="M52" s="243"/>
      <c r="N52" s="266" t="e">
        <f t="shared" si="10"/>
        <v>#N/A</v>
      </c>
      <c r="O52" s="243"/>
      <c r="P52" s="38"/>
      <c r="Q52" s="281">
        <f>SUMIFS(BV_Data_An_Prec!$AM:$AM,BV_Data_An_Prec!$AP:$AP,$B52,BV_Data_An_Prec!$AQ:$AQ,$C52,BV_Data_An_Prec!$AR:$AR,Q$2)</f>
        <v>36.039999999999964</v>
      </c>
      <c r="R52" s="243"/>
      <c r="S52" s="266">
        <f t="shared" si="16"/>
        <v>3448.5099999999993</v>
      </c>
      <c r="T52" s="38"/>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8"/>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0.15761584117927582</v>
      </c>
      <c r="L54" s="294">
        <f>+SUM(L42:L53)</f>
        <v>21800.229999999985</v>
      </c>
      <c r="M54" s="296"/>
      <c r="N54" s="294" t="e">
        <f>+SUM(N42:N53)</f>
        <v>#N/A</v>
      </c>
      <c r="O54" s="295" t="s">
        <v>115</v>
      </c>
      <c r="P54" s="293">
        <f>Q54/Q$27</f>
        <v>0.23029683049729666</v>
      </c>
      <c r="Q54" s="294">
        <f>+SUM(Q42:Q53)</f>
        <v>70529.76999999999</v>
      </c>
      <c r="R54" s="297"/>
      <c r="S54" s="294">
        <f>+SUM(S42:S53)</f>
        <v>-48729.540000000015</v>
      </c>
      <c r="T54" s="38"/>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28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28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-561.34999999999127</v>
      </c>
      <c r="M57" s="238"/>
      <c r="N57" s="286" t="e">
        <f t="shared" si="17"/>
        <v>#N/A</v>
      </c>
      <c r="O57" s="238"/>
      <c r="P57" s="304"/>
      <c r="Q57" s="286">
        <f>SUMIFS(BV_Data_An_Prec!$AM:$AM,BV_Data_An_Prec!$AP:$AP,$B57,BV_Data_An_Prec!$AQ:$AQ,$C57,BV_Data_An_Prec!$AR:$AR,Q$2)</f>
        <v>8310.1300000000047</v>
      </c>
      <c r="R57" s="238"/>
      <c r="S57" s="286">
        <f t="shared" si="18"/>
        <v>-8871.4799999999959</v>
      </c>
      <c r="T57" s="305"/>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4206.7199999999975</v>
      </c>
      <c r="M58" s="243"/>
      <c r="N58" s="266" t="e">
        <f t="shared" si="17"/>
        <v>#N/A</v>
      </c>
      <c r="O58" s="243"/>
      <c r="P58" s="38"/>
      <c r="Q58" s="266">
        <f>SUMIFS(BV_Data_An_Prec!$AM:$AM,BV_Data_An_Prec!$AP:$AP,$B58,BV_Data_An_Prec!$AQ:$AQ,$C58,BV_Data_An_Prec!$AR:$AR,Q$2)</f>
        <v>5512.4599999999991</v>
      </c>
      <c r="R58" s="243"/>
      <c r="S58" s="266">
        <f t="shared" si="18"/>
        <v>-1305.7400000000016</v>
      </c>
      <c r="T58" s="28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485.27999999999884</v>
      </c>
      <c r="M59" s="243"/>
      <c r="N59" s="266" t="e">
        <f t="shared" si="17"/>
        <v>#N/A</v>
      </c>
      <c r="O59" s="243"/>
      <c r="P59" s="38"/>
      <c r="Q59" s="266">
        <f>SUMIFS(BV_Data_An_Prec!$AM:$AM,BV_Data_An_Prec!$AP:$AP,$B59,BV_Data_An_Prec!$AQ:$AQ,$C59,BV_Data_An_Prec!$AR:$AR,Q$2)</f>
        <v>1258.0199999999995</v>
      </c>
      <c r="R59" s="243"/>
      <c r="S59" s="266">
        <f t="shared" si="18"/>
        <v>-772.74000000000069</v>
      </c>
      <c r="T59" s="38"/>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3380.7000000000007</v>
      </c>
      <c r="M60" s="238"/>
      <c r="N60" s="286" t="e">
        <f t="shared" si="17"/>
        <v>#N/A</v>
      </c>
      <c r="O60" s="238"/>
      <c r="P60" s="304"/>
      <c r="Q60" s="286">
        <f>SUMIFS(BV_Data_An_Prec!$AM:$AM,BV_Data_An_Prec!$AP:$AP,$B60,BV_Data_An_Prec!$AQ:$AQ,$C60,BV_Data_An_Prec!$AR:$AR,Q$2)</f>
        <v>7441.3499999999949</v>
      </c>
      <c r="R60" s="238"/>
      <c r="S60" s="286">
        <f t="shared" si="18"/>
        <v>-4060.6499999999942</v>
      </c>
      <c r="T60" s="38"/>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8"/>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8"/>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918.09000000000015</v>
      </c>
      <c r="M63" s="243"/>
      <c r="N63" s="266" t="e">
        <f t="shared" si="17"/>
        <v>#N/A</v>
      </c>
      <c r="O63" s="243"/>
      <c r="P63" s="38"/>
      <c r="Q63" s="266">
        <f>SUMIFS(BV_Data_An_Prec!$AM:$AM,BV_Data_An_Prec!$AP:$AP,$B63,BV_Data_An_Prec!$AQ:$AQ,$C63,BV_Data_An_Prec!$AR:$AR,Q$2)</f>
        <v>1513.0300000000007</v>
      </c>
      <c r="R63" s="243"/>
      <c r="S63" s="266">
        <f t="shared" si="18"/>
        <v>-594.94000000000051</v>
      </c>
      <c r="T63" s="38"/>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476.36999999999989</v>
      </c>
      <c r="M64" s="243"/>
      <c r="N64" s="266" t="e">
        <f t="shared" si="17"/>
        <v>#N/A</v>
      </c>
      <c r="O64" s="243"/>
      <c r="P64" s="38"/>
      <c r="Q64" s="266">
        <f>SUMIFS(BV_Data_An_Prec!$AM:$AM,BV_Data_An_Prec!$AP:$AP,$B64,BV_Data_An_Prec!$AQ:$AQ,$C64,BV_Data_An_Prec!$AR:$AR,Q$2)</f>
        <v>969.77999999999975</v>
      </c>
      <c r="R64" s="243"/>
      <c r="S64" s="266">
        <f t="shared" si="18"/>
        <v>-493.40999999999985</v>
      </c>
      <c r="T64" s="38"/>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8"/>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3455.3999999999996</v>
      </c>
      <c r="M66" s="243"/>
      <c r="N66" s="266" t="e">
        <f t="shared" si="17"/>
        <v>#N/A</v>
      </c>
      <c r="O66" s="243"/>
      <c r="P66" s="38"/>
      <c r="Q66" s="266">
        <f>SUMIFS(BV_Data_An_Prec!$AM:$AM,BV_Data_An_Prec!$AP:$AP,$B66,BV_Data_An_Prec!$AQ:$AQ,$C66,BV_Data_An_Prec!$AR:$AR,Q$2)</f>
        <v>3531.24</v>
      </c>
      <c r="R66" s="243"/>
      <c r="S66" s="266">
        <f t="shared" si="18"/>
        <v>-75.840000000000146</v>
      </c>
      <c r="T66" s="38"/>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8"/>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255.18000000000029</v>
      </c>
      <c r="M68" s="243"/>
      <c r="N68" s="658" t="e">
        <f t="shared" si="17"/>
        <v>#N/A</v>
      </c>
      <c r="O68" s="243"/>
      <c r="P68" s="38"/>
      <c r="Q68" s="266">
        <f>SUMIFS(BV_Data_An_Prec!$AM:$AM,BV_Data_An_Prec!$AP:$AP,$B68,BV_Data_An_Prec!$AQ:$AQ,$C68,BV_Data_An_Prec!$AR:$AR,Q$2)</f>
        <v>299.37999999999965</v>
      </c>
      <c r="R68" s="243"/>
      <c r="S68" s="266">
        <f t="shared" si="18"/>
        <v>-44.199999999999363</v>
      </c>
      <c r="T68" s="38"/>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0.10025642670004301</v>
      </c>
      <c r="L72" s="294">
        <f>+SUM(L55:L71)</f>
        <v>13866.710000000006</v>
      </c>
      <c r="M72" s="296"/>
      <c r="N72" s="294" t="e">
        <f>+SUM(N55:N71)</f>
        <v>#N/A</v>
      </c>
      <c r="O72" s="295" t="s">
        <v>115</v>
      </c>
      <c r="P72" s="293">
        <f>Q72/Q$27</f>
        <v>0.10252761473059761</v>
      </c>
      <c r="Q72" s="294">
        <f>+SUM(Q55:Q71)</f>
        <v>31399.69</v>
      </c>
      <c r="R72" s="297"/>
      <c r="S72" s="294">
        <f>+SUM(S55:S71)</f>
        <v>-17532.979999999996</v>
      </c>
      <c r="T72" s="38"/>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8"/>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-0.14549306956720934</v>
      </c>
      <c r="L74" s="294">
        <f>L41+L54+L72</f>
        <v>-20123.500000000029</v>
      </c>
      <c r="M74" s="296"/>
      <c r="N74" s="294" t="e">
        <f t="shared" ref="N74:N82" si="19">L74-F74</f>
        <v>#N/A</v>
      </c>
      <c r="O74" s="295" t="s">
        <v>115</v>
      </c>
      <c r="P74" s="293">
        <f>Q74/Q$27</f>
        <v>0.47825340067702271</v>
      </c>
      <c r="Q74" s="294">
        <f>Q41+Q54+Q72</f>
        <v>146467.94000000015</v>
      </c>
      <c r="R74" s="297"/>
      <c r="S74" s="294">
        <f>L74-Q74</f>
        <v>-166591.44000000018</v>
      </c>
      <c r="T74" s="38"/>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34175</v>
      </c>
      <c r="M75" s="243"/>
      <c r="N75" s="266" t="e">
        <f t="shared" si="19"/>
        <v>#N/A</v>
      </c>
      <c r="O75" s="243"/>
      <c r="P75" s="38"/>
      <c r="Q75" s="266">
        <f>-SUMIFS(BV_Data_An_Prec!$AM:$AM,BV_Data_An_Prec!$AP:$AP,$B75,BV_Data_An_Prec!$AQ:$AQ,$C75,BV_Data_An_Prec!$AR:$AR,Q$2)-Q157</f>
        <v>25446.580000000016</v>
      </c>
      <c r="R75" s="243"/>
      <c r="S75" s="266">
        <f t="shared" ref="S75:S82" si="20">L75-Q75</f>
        <v>8728.4199999999837</v>
      </c>
      <c r="T75" s="38"/>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8"/>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8"/>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8"/>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8"/>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8"/>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8"/>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0.42732779350439837</v>
      </c>
      <c r="K82" s="307">
        <f>+L82/J24</f>
        <v>298.70212765957444</v>
      </c>
      <c r="L82" s="266">
        <f>-SUMIFS(BV_Data_An_Cour!$AM:$AM,BV_Data_An_Cour!$AP:$AP,$B82,BV_Data_An_Cour!$AQ:$AQ,$C82,BV_Data_An_Cour!$AR:$AR,L$2)</f>
        <v>14039</v>
      </c>
      <c r="M82" s="243"/>
      <c r="N82" s="266" t="e">
        <f t="shared" si="19"/>
        <v>#N/A</v>
      </c>
      <c r="O82" s="744">
        <f>P82/699</f>
        <v>0</v>
      </c>
      <c r="P82" s="307">
        <f>+Q82/O24</f>
        <v>0</v>
      </c>
      <c r="Q82" s="266">
        <f>-SUMIFS(BV_Data_An_Prec!$AM:$AM,BV_Data_An_Prec!$AP:$AP,$B82,BV_Data_An_Prec!$AQ:$AQ,$C82,BV_Data_An_Prec!$AR:$AR,Q$2)</f>
        <v>0</v>
      </c>
      <c r="R82" s="243"/>
      <c r="S82" s="266">
        <f t="shared" si="20"/>
        <v>14039</v>
      </c>
      <c r="T82" s="38"/>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48214</v>
      </c>
      <c r="M83" s="296"/>
      <c r="N83" s="294" t="e">
        <f>+SUM(N75:N82)</f>
        <v>#N/A</v>
      </c>
      <c r="O83" s="295"/>
      <c r="P83" s="293"/>
      <c r="Q83" s="294">
        <f>+SUM(Q75:Q82)</f>
        <v>25446.580000000016</v>
      </c>
      <c r="R83" s="297"/>
      <c r="S83" s="294">
        <f>+SUM(S75:S82)</f>
        <v>22767.419999999984</v>
      </c>
      <c r="T83" s="38"/>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8"/>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206649.9300000018</v>
      </c>
      <c r="M85" s="958"/>
      <c r="N85" s="956" t="e">
        <f>N27-N41-N54-N72+N83</f>
        <v>#N/A</v>
      </c>
      <c r="O85" s="957"/>
      <c r="P85" s="955"/>
      <c r="Q85" s="956">
        <f>Q27-Q74+Q83</f>
        <v>185234.56999999136</v>
      </c>
      <c r="R85" s="959"/>
      <c r="S85" s="956">
        <f>S27-S41-S54-S72+S83</f>
        <v>21415.360000010442</v>
      </c>
      <c r="T85" s="38"/>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33"/>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1"/>
      <c r="F91" s="1272"/>
      <c r="G91" s="1275"/>
      <c r="H91" s="1271"/>
      <c r="I91" s="1272"/>
      <c r="J91" s="1275" t="s">
        <v>340</v>
      </c>
      <c r="K91" s="1271"/>
      <c r="L91" s="1272"/>
      <c r="M91" s="1275" t="s">
        <v>668</v>
      </c>
      <c r="N91" s="1272"/>
      <c r="O91" s="1270" t="s">
        <v>341</v>
      </c>
      <c r="P91" s="1271"/>
      <c r="Q91" s="1272"/>
      <c r="R91" s="1273" t="s">
        <v>670</v>
      </c>
      <c r="S91" s="1274"/>
      <c r="T91" s="38"/>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1730248.1599999992</v>
      </c>
      <c r="M93" s="320"/>
      <c r="N93" s="321"/>
      <c r="O93" s="238"/>
      <c r="P93" s="284"/>
      <c r="Q93" s="286">
        <f>-SUMIFS(BV_Data_An_Prec!$AM:$AM,BV_Data_An_Prec!$AS:$AS,"Oui",BV_Data_An_Prec!$AP:$AP,$B93)</f>
        <v>3574806.149999998</v>
      </c>
      <c r="R93" s="963"/>
      <c r="S93" s="962"/>
      <c r="T93" s="38"/>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8"/>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20</v>
      </c>
      <c r="K95" s="281">
        <f t="shared" si="21"/>
        <v>656.0119999999763</v>
      </c>
      <c r="L95" s="266">
        <f>-SUMIFS(BV_Data_An_Cour!$AM:$AM,BV_Data_An_Cour!$AP:$AP,$B95,BV_Data_An_Cour!$AQ:$AQ,$C95,BV_Data_An_Cour!$AR:$AR,$L2)</f>
        <v>13120.239999999525</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4</v>
      </c>
      <c r="S95" s="266">
        <f t="shared" si="24"/>
        <v>-4244.6100000006845</v>
      </c>
      <c r="T95" s="38"/>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4</v>
      </c>
      <c r="K96" s="966">
        <f t="shared" ref="K96" si="26">IF(J96=0,0,L96/J96)</f>
        <v>-484.7400000000016</v>
      </c>
      <c r="L96" s="658">
        <f>-SUMIFS(BV_Data_An_Cour!$AM:$AM,BV_Data_An_Cour!$AP:$AP,$B96,BV_Data_An_Cour!$AQ:$AQ,$C96,BV_Data_An_Cour!$AR:$AR,$L2)</f>
        <v>-1938.9600000000064</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4</v>
      </c>
      <c r="S96" s="658">
        <f>L96-Q96</f>
        <v>-1938.9600000000064</v>
      </c>
      <c r="T96" s="38"/>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6">
        <f>+J94+J95+J96</f>
        <v>24</v>
      </c>
      <c r="K97" s="305">
        <f>IF(J97&lt;=0,0,L97/J97)</f>
        <v>465.88666666664659</v>
      </c>
      <c r="L97" s="1257">
        <f>+L94+L95+L96</f>
        <v>11181.279999999519</v>
      </c>
      <c r="M97" s="252" t="e">
        <f>J97-D97</f>
        <v>#N/A</v>
      </c>
      <c r="N97" s="251" t="e">
        <f>L97-F97</f>
        <v>#N/A</v>
      </c>
      <c r="O97" s="250">
        <f>+O94+O95+O96</f>
        <v>16</v>
      </c>
      <c r="P97" s="305">
        <f>IF(O97&lt;=0,0,Q97/O97)</f>
        <v>1085.3031250000131</v>
      </c>
      <c r="Q97" s="356">
        <f>+Q94+Q95+Q96</f>
        <v>17364.85000000021</v>
      </c>
      <c r="R97" s="252">
        <f>R94+R95</f>
        <v>4</v>
      </c>
      <c r="S97" s="356">
        <f>S94+S95</f>
        <v>-4244.6100000006845</v>
      </c>
      <c r="T97" s="35">
        <v>24</v>
      </c>
      <c r="U97" s="1238">
        <v>18857</v>
      </c>
      <c r="V97" s="1239">
        <f>L97-U97</f>
        <v>-7675.7200000004814</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0.25</v>
      </c>
      <c r="S98" s="255">
        <f>IF(Q97=0,0,(S97/Q97))</f>
        <v>-0.24443689407052946</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34</v>
      </c>
      <c r="K101" s="281">
        <f>IF(J101=0,0,L101/J101)</f>
        <v>-159.59617647061961</v>
      </c>
      <c r="L101" s="266">
        <f>-SUMIFS(BV_Data_An_Cour!$AM:$AM,BV_Data_An_Cour!$AP:$AP,$B101,BV_Data_An_Cour!$AQ:$AQ,$C101,BV_Data_An_Cour!$AR:$AR,L$2)</f>
        <v>-5426.2700000010664</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-48</v>
      </c>
      <c r="S101" s="266">
        <f>L101-Q101</f>
        <v>-8748.5299999989802</v>
      </c>
      <c r="T101" s="35">
        <v>36</v>
      </c>
      <c r="U101" s="1238">
        <v>-12152.99</v>
      </c>
      <c r="V101" s="1239">
        <f>L101-U101</f>
        <v>6726.7199999989334</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8"/>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105.04166666666667</v>
      </c>
      <c r="L103" s="266">
        <f>-SUMIFS(BV_Data_An_Cour!$AM:$AM,BV_Data_An_Cour!$AP:$AP,$B103,BV_Data_An_Cour!$AQ:$AQ,$C103,BV_Data_An_Cour!$AR:$AR,$L2)</f>
        <v>2521</v>
      </c>
      <c r="M103" s="245"/>
      <c r="N103" s="246" t="e">
        <f>L103-F103</f>
        <v>#N/A</v>
      </c>
      <c r="O103" s="245"/>
      <c r="P103" s="281">
        <f>IF(O97=0,0,Q103/O97)</f>
        <v>458.09249999999997</v>
      </c>
      <c r="Q103" s="266">
        <f>-SUMIFS(BV_Data_An_Prec!$AM:$AM,BV_Data_An_Prec!$AP:$AP,$B103,BV_Data_An_Prec!$AQ:$AQ,$C103,BV_Data_An_Prec!$AR:$AR,$L2)</f>
        <v>7329.48</v>
      </c>
      <c r="R103" s="267">
        <f>P103-K103</f>
        <v>353.05083333333329</v>
      </c>
      <c r="S103" s="266">
        <f t="shared" ref="S103:S105" si="29">L103-Q103</f>
        <v>-4808.4799999999996</v>
      </c>
      <c r="T103" s="38"/>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331.54166666666669</v>
      </c>
      <c r="L104" s="266">
        <f>-SUMIFS(BV_Data_An_Cour!$AM:$AM,BV_Data_An_Cour!$AP:$AP,$B104,BV_Data_An_Cour!$AQ:$AQ,$C104,BV_Data_An_Cour!$AR:$AR,$L2)</f>
        <v>7957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10.652708333333294</v>
      </c>
      <c r="S104" s="266">
        <f t="shared" si="29"/>
        <v>2481.8900000000003</v>
      </c>
      <c r="T104" s="38"/>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8"/>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436.58333333333331</v>
      </c>
      <c r="L106" s="1257">
        <f>L103+L104+L105</f>
        <v>10478</v>
      </c>
      <c r="M106" s="265" t="e">
        <f>J106-D106</f>
        <v>#N/A</v>
      </c>
      <c r="N106" s="251" t="e">
        <f>L106-F106</f>
        <v>#N/A</v>
      </c>
      <c r="O106" s="252">
        <f>O97</f>
        <v>16</v>
      </c>
      <c r="P106" s="355">
        <f>IF(O106&lt;=0,0,Q106/O106)</f>
        <v>800.28687500000001</v>
      </c>
      <c r="Q106" s="356">
        <f>Q103+Q104+Q105</f>
        <v>12804.59</v>
      </c>
      <c r="R106" s="357">
        <f t="shared" si="30"/>
        <v>363.70354166666669</v>
      </c>
      <c r="S106" s="356">
        <f>L106-Q106</f>
        <v>-2326.59</v>
      </c>
      <c r="T106" s="38"/>
      <c r="U106" s="1238">
        <v>9811</v>
      </c>
      <c r="V106" s="1239">
        <f>L106-U106</f>
        <v>667</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-0.1816996873777294</v>
      </c>
      <c r="T107" s="38"/>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8"/>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58</v>
      </c>
      <c r="K109" s="269">
        <f>IF(J109&lt;=0,0,L109/J109)</f>
        <v>279.87948275859401</v>
      </c>
      <c r="L109" s="271">
        <f>L97+L106+L101+L99</f>
        <v>16233.009999998452</v>
      </c>
      <c r="M109" s="272" t="e">
        <f>J109-D109</f>
        <v>#N/A</v>
      </c>
      <c r="N109" s="271" t="e">
        <f>L109-F109</f>
        <v>#N/A</v>
      </c>
      <c r="O109" s="272">
        <f>O97+O101</f>
        <v>98</v>
      </c>
      <c r="P109" s="269">
        <f>IF(O109&lt;=0,0,Q109/O109)</f>
        <v>341.75204081630733</v>
      </c>
      <c r="Q109" s="271">
        <f>Q97+Q106+Q101+Q99</f>
        <v>33491.69999999812</v>
      </c>
      <c r="R109" s="272">
        <f>J109-O109</f>
        <v>-40</v>
      </c>
      <c r="S109" s="271">
        <f>L109-Q109</f>
        <v>-17258.689999999668</v>
      </c>
      <c r="T109" s="38"/>
      <c r="U109" s="1238">
        <f>SUM(U97:U107)</f>
        <v>16515.010000000002</v>
      </c>
      <c r="V109" s="1239">
        <f>L109-U109</f>
        <v>-282.00000000154978</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-2.4500000000000002</v>
      </c>
      <c r="S110" s="326">
        <f>IF(Q109=0,0,(S109/Q109))</f>
        <v>-0.5153124505474681</v>
      </c>
      <c r="T110" s="38"/>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8"/>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8"/>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0.1670425926190991</v>
      </c>
      <c r="K113" s="281">
        <f>IF($J$97=0,0,L113/(J$94+J$95+J96))</f>
        <v>77.822916666666671</v>
      </c>
      <c r="L113" s="266">
        <f>SUMIFS(BV_Data_An_Cour!$AM:$AM,BV_Data_An_Cour!$AP:$AP,$B113,BV_Data_An_Cour!$AQ:$AQ,$C113,BV_Data_An_Cour!$AR:$AR,$L$2)</f>
        <v>1867.75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-53969.440000000002</v>
      </c>
      <c r="T113" s="38"/>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0.52219507539606846</v>
      </c>
      <c r="K114" s="284">
        <f>IF($J$97=0,0,L114/(J$94+J$95+J96))</f>
        <v>227.98166666666688</v>
      </c>
      <c r="L114" s="266">
        <f>SUMIFS(BV_Data_An_Cour!$AM:$AM,BV_Data_An_Cour!$AP:$AP,$B114,BV_Data_An_Cour!$AQ:$AQ,$C114,BV_Data_An_Cour!$AR:$AR,$L$2)</f>
        <v>5471.5600000000049</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2462.0100000000057</v>
      </c>
      <c r="T114" s="38"/>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-143.54166666666666</v>
      </c>
      <c r="L115" s="303">
        <f>SUMIFS(BV_Data_An_Cour!$AM:$AM,BV_Data_An_Cour!$AP:$AP,$B115,BV_Data_An_Cour!$AQ:$AQ,$C115,BV_Data_An_Cour!$AR:$AR,$L$2)</f>
        <v>-3445</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5722.119999999999</v>
      </c>
      <c r="T115" s="38"/>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8"/>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8"/>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205.25916666666672</v>
      </c>
      <c r="L118" s="266">
        <f>SUMIFS(BV_Data_An_Cour!$AM:$AM,BV_Data_An_Cour!$AP:$AP,$B118,BV_Data_An_Cour!$AQ:$AQ,$C118,BV_Data_An_Cour!$AR:$AR,$L$2)</f>
        <v>4926.2200000000012</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1543.0699999999988</v>
      </c>
      <c r="T118" s="38"/>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-166.35416666666666</v>
      </c>
      <c r="L119" s="658">
        <f>SUMIFS(BV_Data_An_Cour!$AM:$AM,BV_Data_An_Cour!$AP:$AP,$B119,BV_Data_An_Cour!$AQ:$AQ,$C119,BV_Data_An_Cour!$AR:$AR,$L$2)</f>
        <v>-3992.5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-19492.880000000005</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0</v>
      </c>
      <c r="L121" s="266">
        <f>SUMIFS(BV_Data_An_Cour!$AM:$AM,BV_Data_An_Cour!$AP:$AP,$B121,BV_Data_An_Cour!$AQ:$AQ,$C121,BV_Data_An_Cour!$AR:$AR,$L$2)</f>
        <v>0</v>
      </c>
      <c r="M121" s="243"/>
      <c r="N121" s="266" t="e">
        <f t="shared" si="32"/>
        <v>#N/A</v>
      </c>
      <c r="O121" s="243"/>
      <c r="P121" s="281">
        <f>IF($J$97=0,0,Q121/(O$94+O$95))</f>
        <v>0</v>
      </c>
      <c r="Q121" s="266">
        <f>SUMIFS(BV_Data_An_Prec!$AM:$AM,BV_Data_An_Prec!$AP:$AP,$B121,BV_Data_An_Prec!$AQ:$AQ,$C121,BV_Data_An_Prec!$AR:$AR,$L$2)</f>
        <v>0</v>
      </c>
      <c r="R121" s="243"/>
      <c r="S121" s="266">
        <f t="shared" si="33"/>
        <v>0</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8"/>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0.36540851019007398</v>
      </c>
      <c r="L123" s="294">
        <f>SUM(L113:L122)</f>
        <v>5931.6800000000076</v>
      </c>
      <c r="M123" s="296"/>
      <c r="N123" s="294" t="e">
        <f t="shared" si="32"/>
        <v>#N/A</v>
      </c>
      <c r="O123" s="295" t="s">
        <v>115</v>
      </c>
      <c r="P123" s="293">
        <f>Q123/Q$109</f>
        <v>2.0544537900436195</v>
      </c>
      <c r="Q123" s="294">
        <f>SUM(Q113:Q122)</f>
        <v>68807.150000000023</v>
      </c>
      <c r="R123" s="297"/>
      <c r="S123" s="294">
        <f t="shared" si="33"/>
        <v>-62875.470000000016</v>
      </c>
      <c r="T123" s="38"/>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2307.6800000000003</v>
      </c>
      <c r="M124" s="243"/>
      <c r="N124" s="266" t="e">
        <f t="shared" si="32"/>
        <v>#N/A</v>
      </c>
      <c r="O124" s="243"/>
      <c r="P124" s="38"/>
      <c r="Q124" s="266">
        <f>SUMIFS(BV_Data_An_Prec!$AM:$AM,BV_Data_An_Prec!$AP:$AP,$B124,BV_Data_An_Prec!$AQ:$AQ,$C124,BV_Data_An_Prec!$AR:$AR,$L$2)</f>
        <v>22393.14</v>
      </c>
      <c r="R124" s="243"/>
      <c r="S124" s="266">
        <f t="shared" si="33"/>
        <v>-20085.46</v>
      </c>
      <c r="T124" s="38"/>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4081.4000000000015</v>
      </c>
      <c r="M125" s="243"/>
      <c r="N125" s="266" t="e">
        <f t="shared" si="32"/>
        <v>#N/A</v>
      </c>
      <c r="O125" s="243"/>
      <c r="P125" s="38"/>
      <c r="Q125" s="266">
        <f>SUMIFS(BV_Data_An_Prec!$AM:$AM,BV_Data_An_Prec!$AP:$AP,$B125,BV_Data_An_Prec!$AQ:$AQ,$C125,BV_Data_An_Prec!$AR:$AR,$L$2)</f>
        <v>4606.1400000000031</v>
      </c>
      <c r="R125" s="243"/>
      <c r="S125" s="266">
        <f t="shared" si="33"/>
        <v>-524.7400000000016</v>
      </c>
      <c r="T125" s="38"/>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591.57999999999993</v>
      </c>
      <c r="M126" s="233"/>
      <c r="N126" s="303" t="e">
        <f t="shared" si="32"/>
        <v>#N/A</v>
      </c>
      <c r="O126" s="233"/>
      <c r="P126" s="301"/>
      <c r="Q126" s="303">
        <f>SUMIFS(BV_Data_An_Prec!$AM:$AM,BV_Data_An_Prec!$AP:$AP,$B126,BV_Data_An_Prec!$AQ:$AQ,$C126,BV_Data_An_Prec!$AR:$AR,$L$2)</f>
        <v>657.71999999999935</v>
      </c>
      <c r="R126" s="233"/>
      <c r="S126" s="303">
        <f t="shared" si="33"/>
        <v>-66.139999999999418</v>
      </c>
      <c r="T126" s="38"/>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8"/>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8"/>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8"/>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8"/>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895.32999999999811</v>
      </c>
      <c r="M131" s="243"/>
      <c r="N131" s="266" t="e">
        <f t="shared" si="32"/>
        <v>#N/A</v>
      </c>
      <c r="O131" s="243"/>
      <c r="P131" s="38"/>
      <c r="Q131" s="266">
        <f>SUMIFS(BV_Data_An_Prec!$AM:$AM,BV_Data_An_Prec!$AP:$AP,$B131,BV_Data_An_Prec!$AQ:$AQ,$C131,BV_Data_An_Prec!$AR:$AR,$L$2)</f>
        <v>259.63000000000102</v>
      </c>
      <c r="R131" s="243"/>
      <c r="S131" s="266">
        <f t="shared" si="33"/>
        <v>635.69999999999709</v>
      </c>
      <c r="T131" s="38"/>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3657.2799999999988</v>
      </c>
      <c r="M132" s="233"/>
      <c r="N132" s="303" t="e">
        <f t="shared" si="32"/>
        <v>#N/A</v>
      </c>
      <c r="O132" s="233"/>
      <c r="P132" s="301"/>
      <c r="Q132" s="303">
        <f>SUMIFS(BV_Data_An_Prec!$AM:$AM,BV_Data_An_Prec!$AP:$AP,$B132,BV_Data_An_Prec!$AQ:$AQ,$C132,BV_Data_An_Prec!$AR:$AR,$L$2)</f>
        <v>3143.0699999999997</v>
      </c>
      <c r="R132" s="233"/>
      <c r="S132" s="303">
        <f t="shared" si="33"/>
        <v>514.20999999999913</v>
      </c>
      <c r="T132" s="38"/>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321.23999999999796</v>
      </c>
      <c r="M133" s="243"/>
      <c r="N133" s="266" t="e">
        <f t="shared" si="32"/>
        <v>#N/A</v>
      </c>
      <c r="O133" s="243"/>
      <c r="P133" s="38"/>
      <c r="Q133" s="266">
        <f>SUMIFS(BV_Data_An_Prec!$AM:$AM,BV_Data_An_Prec!$AP:$AP,$B133,BV_Data_An_Prec!$AQ:$AQ,$C133,BV_Data_An_Prec!$AR:$AR,$L$2)</f>
        <v>2068.2799999999988</v>
      </c>
      <c r="R133" s="243"/>
      <c r="S133" s="266">
        <f t="shared" si="33"/>
        <v>-1747.0400000000009</v>
      </c>
      <c r="T133" s="38"/>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2379.9799999999996</v>
      </c>
      <c r="M134" s="243"/>
      <c r="N134" s="266" t="e">
        <f t="shared" si="32"/>
        <v>#N/A</v>
      </c>
      <c r="O134" s="243"/>
      <c r="P134" s="38"/>
      <c r="Q134" s="266">
        <f>SUMIFS(BV_Data_An_Prec!$AM:$AM,BV_Data_An_Prec!$AP:$AP,$B134,BV_Data_An_Prec!$AQ:$AQ,$C134,BV_Data_An_Prec!$AR:$AR,$L$2)</f>
        <v>12.640000000000015</v>
      </c>
      <c r="R134" s="243"/>
      <c r="S134" s="266">
        <f t="shared" si="33"/>
        <v>2367.3399999999997</v>
      </c>
      <c r="T134" s="38"/>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8"/>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0.87688543283108633</v>
      </c>
      <c r="L136" s="294">
        <f>SUM(L124:L135)</f>
        <v>14234.489999999996</v>
      </c>
      <c r="M136" s="296"/>
      <c r="N136" s="294" t="e">
        <f t="shared" si="32"/>
        <v>#N/A</v>
      </c>
      <c r="O136" s="295" t="s">
        <v>115</v>
      </c>
      <c r="P136" s="293">
        <f>Q136/Q$109</f>
        <v>0.98951740281926137</v>
      </c>
      <c r="Q136" s="294">
        <f>SUM(Q124:Q135)</f>
        <v>33140.619999999995</v>
      </c>
      <c r="R136" s="297"/>
      <c r="S136" s="294">
        <f t="shared" si="33"/>
        <v>-18906.129999999997</v>
      </c>
      <c r="T136" s="38"/>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8"/>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8"/>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-45.889999999999418</v>
      </c>
      <c r="M139" s="238"/>
      <c r="N139" s="286" t="e">
        <f t="shared" si="32"/>
        <v>#N/A</v>
      </c>
      <c r="O139" s="238"/>
      <c r="P139" s="304"/>
      <c r="Q139" s="286">
        <f>SUMIFS(BV_Data_An_Prec!$AM:$AM,BV_Data_An_Prec!$AP:$AP,$B139,BV_Data_An_Prec!$AQ:$AQ,$C139,BV_Data_An_Prec!$AR:$AR,$L$2)</f>
        <v>1215.6599999999999</v>
      </c>
      <c r="R139" s="238"/>
      <c r="S139" s="286">
        <f t="shared" si="33"/>
        <v>-1261.5499999999993</v>
      </c>
      <c r="T139" s="38"/>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1589.1499999999996</v>
      </c>
      <c r="M140" s="243"/>
      <c r="N140" s="266" t="e">
        <f t="shared" si="32"/>
        <v>#N/A</v>
      </c>
      <c r="O140" s="243"/>
      <c r="P140" s="38"/>
      <c r="Q140" s="266">
        <f>SUMIFS(BV_Data_An_Prec!$AM:$AM,BV_Data_An_Prec!$AP:$AP,$B140,BV_Data_An_Prec!$AQ:$AQ,$C140,BV_Data_An_Prec!$AR:$AR,$L$2)</f>
        <v>2486.8500000000004</v>
      </c>
      <c r="R140" s="243"/>
      <c r="S140" s="266">
        <f t="shared" si="33"/>
        <v>-897.70000000000073</v>
      </c>
      <c r="T140" s="38"/>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307.79999999999927</v>
      </c>
      <c r="M141" s="243"/>
      <c r="N141" s="266" t="e">
        <f t="shared" si="32"/>
        <v>#N/A</v>
      </c>
      <c r="O141" s="243"/>
      <c r="P141" s="38"/>
      <c r="Q141" s="266">
        <f>SUMIFS(BV_Data_An_Prec!$AM:$AM,BV_Data_An_Prec!$AP:$AP,$B141,BV_Data_An_Prec!$AQ:$AQ,$C141,BV_Data_An_Prec!$AR:$AR,$L$2)</f>
        <v>300</v>
      </c>
      <c r="R141" s="243"/>
      <c r="S141" s="266">
        <f t="shared" si="33"/>
        <v>7.7999999999992724</v>
      </c>
      <c r="T141" s="327"/>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8"/>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8"/>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8"/>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409.60000000000036</v>
      </c>
      <c r="M145" s="243"/>
      <c r="N145" s="266" t="e">
        <f t="shared" si="32"/>
        <v>#N/A</v>
      </c>
      <c r="O145" s="243"/>
      <c r="P145" s="38"/>
      <c r="Q145" s="266">
        <f>SUMIFS(BV_Data_An_Prec!$AM:$AM,BV_Data_An_Prec!$AP:$AP,$B145,BV_Data_An_Prec!$AQ:$AQ,$C145,BV_Data_An_Prec!$AR:$AR,$L$2)</f>
        <v>670.91000000000076</v>
      </c>
      <c r="R145" s="243"/>
      <c r="S145" s="266">
        <f t="shared" si="33"/>
        <v>-261.3100000000004</v>
      </c>
      <c r="T145" s="38"/>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317.57999999999993</v>
      </c>
      <c r="M146" s="243"/>
      <c r="N146" s="266" t="e">
        <f t="shared" si="32"/>
        <v>#N/A</v>
      </c>
      <c r="O146" s="243"/>
      <c r="P146" s="38"/>
      <c r="Q146" s="266">
        <f>SUMIFS(BV_Data_An_Prec!$AM:$AM,BV_Data_An_Prec!$AP:$AP,$B146,BV_Data_An_Prec!$AQ:$AQ,$C146,BV_Data_An_Prec!$AR:$AR,$L$2)</f>
        <v>646.51999999999953</v>
      </c>
      <c r="R146" s="243"/>
      <c r="S146" s="266">
        <f t="shared" si="33"/>
        <v>-328.9399999999996</v>
      </c>
      <c r="T146" s="38"/>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8"/>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8"/>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245.94999999999982</v>
      </c>
      <c r="M150" s="243"/>
      <c r="N150" s="658" t="e">
        <f t="shared" si="32"/>
        <v>#N/A</v>
      </c>
      <c r="O150" s="243"/>
      <c r="P150" s="38"/>
      <c r="Q150" s="658">
        <f>SUMIFS(BV_Data_An_Prec!$AM:$AM,BV_Data_An_Prec!$AP:$AP,$B150,BV_Data_An_Prec!$AQ:$AQ,$C150,BV_Data_An_Prec!$AR:$AR,$L$2)</f>
        <v>191.58999999999992</v>
      </c>
      <c r="R150" s="243"/>
      <c r="S150" s="266">
        <f t="shared" si="33"/>
        <v>54.3599999999999</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0.45129276702230192</v>
      </c>
      <c r="L154" s="294">
        <f>+SUM(L137:L153)</f>
        <v>7325.8399999999992</v>
      </c>
      <c r="M154" s="296"/>
      <c r="N154" s="294" t="e">
        <f t="shared" si="32"/>
        <v>#N/A</v>
      </c>
      <c r="O154" s="295" t="s">
        <v>115</v>
      </c>
      <c r="P154" s="293">
        <f>Q154/Q$109</f>
        <v>0.4206567597345251</v>
      </c>
      <c r="Q154" s="294">
        <f>+SUM(Q137:Q153)</f>
        <v>14088.510000000004</v>
      </c>
      <c r="R154" s="297"/>
      <c r="S154" s="294">
        <f t="shared" si="33"/>
        <v>-6762.6700000000046</v>
      </c>
      <c r="T154" s="38"/>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305"/>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1.6935867100434625</v>
      </c>
      <c r="L156" s="294">
        <f>L123+L136+L154</f>
        <v>27492.010000000006</v>
      </c>
      <c r="M156" s="296"/>
      <c r="N156" s="294" t="e">
        <f t="shared" ref="N156:N163" si="34">L156-F156</f>
        <v>#N/A</v>
      </c>
      <c r="O156" s="295" t="s">
        <v>115</v>
      </c>
      <c r="P156" s="293">
        <f>Q156/Q$109</f>
        <v>3.464627952597406</v>
      </c>
      <c r="Q156" s="294">
        <f>Q123+Q136+Q154</f>
        <v>116036.28000000003</v>
      </c>
      <c r="R156" s="297"/>
      <c r="S156" s="294">
        <f t="shared" si="33"/>
        <v>-88544.270000000019</v>
      </c>
      <c r="T156" s="38"/>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305"/>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305"/>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305"/>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305"/>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305"/>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305"/>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305"/>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8"/>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-4134.6600000015569</v>
      </c>
      <c r="M166" s="958"/>
      <c r="N166" s="956" t="e">
        <f>L166-F166</f>
        <v>#N/A</v>
      </c>
      <c r="O166" s="957"/>
      <c r="P166" s="955"/>
      <c r="Q166" s="956">
        <f>Q109-Q156+Q164</f>
        <v>-82544.580000001908</v>
      </c>
      <c r="R166" s="959"/>
      <c r="S166" s="956">
        <f t="shared" si="33"/>
        <v>78409.920000000347</v>
      </c>
      <c r="T166" s="38"/>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33"/>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8"/>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5513157.6399999969</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75</v>
      </c>
      <c r="K175" s="281">
        <f t="shared" ref="K175:K179" si="35">IF(J175=0,0,L175/J175)</f>
        <v>-889.18626666670048</v>
      </c>
      <c r="L175" s="266">
        <f>-SUMIFS(BV_Data_An_Cour!$AM:$AM,BV_Data_An_Cour!$AP:$AP,$B175,BV_Data_An_Cour!$AQ:$AQ,$C175,BV_Data_An_Cour!$AR:$AR,$L2)</f>
        <v>-66688.970000002533</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31</v>
      </c>
      <c r="S175" s="266">
        <f t="shared" ref="S175:S177" si="38">L175-Q175</f>
        <v>-41829.440000004135</v>
      </c>
      <c r="T175" s="35"/>
      <c r="U175" s="1240"/>
      <c r="V175" s="1239">
        <f>L175-U175</f>
        <v>-66688.970000002533</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0.70454545454545459</v>
      </c>
      <c r="S176" s="986">
        <f>IF(Q175=0,0,(S175/Q175))</f>
        <v>1.6826319725275107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28</v>
      </c>
      <c r="K177" s="281">
        <f t="shared" si="35"/>
        <v>902.34107142853156</v>
      </c>
      <c r="L177" s="266">
        <f>-SUMIFS(BV_Data_An_Cour!$AM:$AM,BV_Data_An_Cour!$AP:$AP,$B177,BV_Data_An_Cour!$AQ:$AQ,$C177,BV_Data_An_Cour!$AR:$AR,$L2)</f>
        <v>25265.549999998882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28</v>
      </c>
      <c r="S177" s="266">
        <f t="shared" si="38"/>
        <v>25265.549999998882</v>
      </c>
      <c r="T177" s="35">
        <v>28</v>
      </c>
      <c r="U177" s="1238">
        <v>26760.55</v>
      </c>
      <c r="V177" s="1239">
        <f>L177-U177</f>
        <v>-1495.0000000011169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8">
        <v>7</v>
      </c>
      <c r="U179" s="1240">
        <v>19435</v>
      </c>
      <c r="V179" s="1239">
        <f>L179-U179</f>
        <v>2200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8"/>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8"/>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111</v>
      </c>
      <c r="K182" s="269">
        <f>IF(J182&lt;=0,0,L182/J182)</f>
        <v>-178.27405405408695</v>
      </c>
      <c r="L182" s="271">
        <f>L175+L179+L177</f>
        <v>-19788.420000003651</v>
      </c>
      <c r="M182" s="272" t="e">
        <f>J182-D182</f>
        <v>#N/A</v>
      </c>
      <c r="N182" s="271" t="e">
        <f>L182-F182</f>
        <v>#REF!</v>
      </c>
      <c r="O182" s="272">
        <f>O175+O177+O179</f>
        <v>65</v>
      </c>
      <c r="P182" s="269">
        <f>IF(O182&lt;=0,0,Q182/O182)</f>
        <v>1081.6995384615345</v>
      </c>
      <c r="Q182" s="271">
        <f>Q175+Q179+Q177</f>
        <v>70310.469999999739</v>
      </c>
      <c r="R182" s="272">
        <f>J182-O182</f>
        <v>46</v>
      </c>
      <c r="S182" s="271">
        <f>L182-Q182</f>
        <v>-90098.89000000339</v>
      </c>
      <c r="T182" s="38"/>
      <c r="U182" s="1238">
        <f>SUM(U175:U181)</f>
        <v>46195.55</v>
      </c>
      <c r="V182" s="1239">
        <f>L182-U182</f>
        <v>-65983.970000003654</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1.4130434782608696</v>
      </c>
      <c r="S183" s="326">
        <f>IF(Q182=0,0,(S182/Q182))</f>
        <v>-1.2814434322513237</v>
      </c>
      <c r="T183" s="38"/>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8"/>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8"/>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-0.4244401523718645</v>
      </c>
      <c r="K186" s="281">
        <f>IF($J$97=0,0,L186/(J$94+J$95+J182))</f>
        <v>64.114503816793899</v>
      </c>
      <c r="L186" s="266">
        <f>SUMIFS(BV_Data_An_Cour!$AM:$AM,BV_Data_An_Cour!$AP:$AP,$B186,BV_Data_An_Cour!$AQ:$AQ,$C186,BV_Data_An_Cour!$AR:$AR,$L$2)</f>
        <v>8399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8399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4.3427480916030508</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0.13358778625954199</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-6.8702290076335881</v>
      </c>
      <c r="L192" s="658">
        <f>SUMIFS(BV_Data_An_Cour!$AM:$AM,BV_Data_An_Cour!$AP:$AP,$B192,BV_Data_An_Cour!$AQ:$AQ,$C192,BV_Data_An_Cour!$AR:$AR,$L$2)</f>
        <v>-900</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-7063.25</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8"/>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0</v>
      </c>
      <c r="L194" s="266">
        <f>SUMIFS(BV_Data_An_Cour!$AM:$AM,BV_Data_An_Cour!$AP:$AP,$B194,BV_Data_An_Cour!$AQ:$AQ,$C194,BV_Data_An_Cour!$AR:$AR,$L$2)</f>
        <v>0</v>
      </c>
      <c r="M194" s="243"/>
      <c r="N194" s="266" t="e">
        <f t="shared" si="40"/>
        <v>#N/A</v>
      </c>
      <c r="O194" s="243"/>
      <c r="P194" s="281">
        <f>IF($J$97=0,0,Q194/(O$94+O$95))</f>
        <v>0</v>
      </c>
      <c r="Q194" s="246">
        <f>SUMIFS(BV_Data_An_Prec!$AM:$AM,BV_Data_An_Prec!$AP:$AP,$B194,BV_Data_An_Prec!$AQ:$AQ,$C194,BV_Data_An_Prec!$AR:$AR,$L$2)</f>
        <v>0</v>
      </c>
      <c r="R194" s="243"/>
      <c r="S194" s="266">
        <f t="shared" si="41"/>
        <v>0</v>
      </c>
      <c r="T194" s="38">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8"/>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0.49808384273777756</v>
      </c>
      <c r="L196" s="294">
        <f>SUM(L186:L195)</f>
        <v>8085.4</v>
      </c>
      <c r="M196" s="296"/>
      <c r="N196" s="294" t="e">
        <f t="shared" si="40"/>
        <v>#N/A</v>
      </c>
      <c r="O196" s="295" t="s">
        <v>115</v>
      </c>
      <c r="P196" s="293">
        <f>Q196/Q$109</f>
        <v>4.4869027251530504E-2</v>
      </c>
      <c r="Q196" s="294">
        <f>SUM(Q186:Q195)</f>
        <v>1502.7399999999998</v>
      </c>
      <c r="R196" s="297"/>
      <c r="S196" s="294">
        <f t="shared" si="41"/>
        <v>6582.66</v>
      </c>
      <c r="T196" s="38"/>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0</v>
      </c>
      <c r="M197" s="243"/>
      <c r="N197" s="266" t="e">
        <f t="shared" si="40"/>
        <v>#N/A</v>
      </c>
      <c r="O197" s="243"/>
      <c r="P197" s="38"/>
      <c r="Q197" s="266">
        <f>SUMIFS(BV_Data_An_Prec!$AM:$AM,BV_Data_An_Prec!$AP:$AP,$B197,BV_Data_An_Prec!$AQ:$AQ,$C197,BV_Data_An_Prec!$AR:$AR,$L$2)</f>
        <v>1288.1200000000536</v>
      </c>
      <c r="R197" s="243"/>
      <c r="S197" s="266">
        <f t="shared" si="41"/>
        <v>-1288.1200000000536</v>
      </c>
      <c r="T197" s="38"/>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-7424.1399999999994</v>
      </c>
      <c r="M198" s="243"/>
      <c r="N198" s="266" t="e">
        <f t="shared" si="40"/>
        <v>#N/A</v>
      </c>
      <c r="O198" s="243"/>
      <c r="P198" s="38"/>
      <c r="Q198" s="266">
        <f>SUMIFS(BV_Data_An_Prec!$AM:$AM,BV_Data_An_Prec!$AP:$AP,$B198,BV_Data_An_Prec!$AQ:$AQ,$C198,BV_Data_An_Prec!$AR:$AR,$L$2)</f>
        <v>10049.380000000005</v>
      </c>
      <c r="R198" s="243"/>
      <c r="S198" s="266">
        <f t="shared" si="41"/>
        <v>-17473.520000000004</v>
      </c>
      <c r="T198" s="38"/>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8"/>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8"/>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8"/>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8"/>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8"/>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893.67000000000007</v>
      </c>
      <c r="M204" s="243"/>
      <c r="N204" s="266" t="e">
        <f t="shared" si="40"/>
        <v>#N/A</v>
      </c>
      <c r="O204" s="243"/>
      <c r="P204" s="38"/>
      <c r="Q204" s="266">
        <f>SUMIFS(BV_Data_An_Prec!$AM:$AM,BV_Data_An_Prec!$AP:$AP,$B204,BV_Data_An_Prec!$AQ:$AQ,$C204,BV_Data_An_Prec!$AR:$AR,$L$2)</f>
        <v>2656.8000000000029</v>
      </c>
      <c r="R204" s="243"/>
      <c r="S204" s="266">
        <f t="shared" si="41"/>
        <v>-1763.1300000000028</v>
      </c>
      <c r="T204" s="38"/>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-1345.5299999999988</v>
      </c>
      <c r="M205" s="233"/>
      <c r="N205" s="303" t="e">
        <f t="shared" si="40"/>
        <v>#N/A</v>
      </c>
      <c r="O205" s="233"/>
      <c r="P205" s="301"/>
      <c r="Q205" s="303">
        <f>SUMIFS(BV_Data_An_Prec!$AM:$AM,BV_Data_An_Prec!$AP:$AP,$B205,BV_Data_An_Prec!$AQ:$AQ,$C205,BV_Data_An_Prec!$AR:$AR,$L$2)</f>
        <v>3644.630000000001</v>
      </c>
      <c r="R205" s="233"/>
      <c r="S205" s="303">
        <f t="shared" si="41"/>
        <v>-4990.16</v>
      </c>
      <c r="T205" s="38"/>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406.10999999999967</v>
      </c>
      <c r="M206" s="243"/>
      <c r="N206" s="266" t="e">
        <f t="shared" si="40"/>
        <v>#N/A</v>
      </c>
      <c r="O206" s="243"/>
      <c r="P206" s="38"/>
      <c r="Q206" s="266">
        <f>SUMIFS(BV_Data_An_Prec!$AM:$AM,BV_Data_An_Prec!$AP:$AP,$B206,BV_Data_An_Prec!$AQ:$AQ,$C206,BV_Data_An_Prec!$AR:$AR,$L$2)</f>
        <v>296.78000000000065</v>
      </c>
      <c r="R206" s="243"/>
      <c r="S206" s="266">
        <f t="shared" si="41"/>
        <v>109.32999999999902</v>
      </c>
      <c r="T206" s="38"/>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204.42000000000007</v>
      </c>
      <c r="M207" s="243"/>
      <c r="N207" s="266" t="e">
        <f t="shared" si="40"/>
        <v>#N/A</v>
      </c>
      <c r="O207" s="243"/>
      <c r="P207" s="38"/>
      <c r="Q207" s="266">
        <f>SUMIFS(BV_Data_An_Prec!$AM:$AM,BV_Data_An_Prec!$AP:$AP,$B207,BV_Data_An_Prec!$AQ:$AQ,$C207,BV_Data_An_Prec!$AR:$AR,$L$2)</f>
        <v>0</v>
      </c>
      <c r="R207" s="243"/>
      <c r="S207" s="266">
        <f t="shared" si="41"/>
        <v>204.42000000000007</v>
      </c>
      <c r="T207" s="38"/>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8"/>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-0.44757380177802458</v>
      </c>
      <c r="L209" s="294">
        <f>SUM(L197:L208)</f>
        <v>-7265.4699999999984</v>
      </c>
      <c r="M209" s="296"/>
      <c r="N209" s="294" t="e">
        <f t="shared" si="40"/>
        <v>#N/A</v>
      </c>
      <c r="O209" s="295" t="s">
        <v>115</v>
      </c>
      <c r="P209" s="293">
        <f>Q209/Q$109</f>
        <v>1.7298527694922419</v>
      </c>
      <c r="Q209" s="294">
        <f>SUM(Q197:Q208)</f>
        <v>57935.710000000065</v>
      </c>
      <c r="R209" s="297"/>
      <c r="S209" s="294">
        <f t="shared" si="41"/>
        <v>-65201.180000000066</v>
      </c>
      <c r="T209" s="38"/>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8"/>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8"/>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8"/>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8"/>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327"/>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8"/>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8"/>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8"/>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8"/>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8"/>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8"/>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8"/>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3.8487624907522333E-2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8"/>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305"/>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8.8997665867275297E-2</v>
      </c>
      <c r="L229" s="294">
        <f>L196+L209+L227</f>
        <v>1444.7000000000007</v>
      </c>
      <c r="M229" s="296"/>
      <c r="N229" s="294" t="e">
        <f t="shared" ref="N229:N236" si="42">L229-F229</f>
        <v>#N/A</v>
      </c>
      <c r="O229" s="295" t="s">
        <v>115</v>
      </c>
      <c r="P229" s="293">
        <f>Q229/Q$109</f>
        <v>1.778395244194932</v>
      </c>
      <c r="Q229" s="294">
        <f>Q196+Q209+Q227</f>
        <v>59561.480000000061</v>
      </c>
      <c r="R229" s="297"/>
      <c r="S229" s="294">
        <f t="shared" ref="S229:S236" si="43">L229-Q229</f>
        <v>-58116.780000000057</v>
      </c>
      <c r="T229" s="38"/>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305"/>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305"/>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305"/>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305"/>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305"/>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305"/>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305"/>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-21233.120000003652</v>
      </c>
      <c r="M239" s="958"/>
      <c r="N239" s="956" t="e">
        <f>L239-F239</f>
        <v>#REF!</v>
      </c>
      <c r="O239" s="957"/>
      <c r="P239" s="955"/>
      <c r="Q239" s="956">
        <f>Q182-Q229+Q237</f>
        <v>10748.989999999678</v>
      </c>
      <c r="R239" s="959"/>
      <c r="S239" s="956">
        <f>L239-Q239</f>
        <v>-31982.110000003329</v>
      </c>
      <c r="T239" s="38"/>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226"/>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1"/>
      <c r="F244" s="1272"/>
      <c r="G244" s="1275"/>
      <c r="H244" s="1271"/>
      <c r="I244" s="1272"/>
      <c r="J244" s="1275" t="s">
        <v>340</v>
      </c>
      <c r="K244" s="1271"/>
      <c r="L244" s="1272"/>
      <c r="M244" s="1275" t="s">
        <v>668</v>
      </c>
      <c r="N244" s="1272"/>
      <c r="O244" s="1270" t="s">
        <v>341</v>
      </c>
      <c r="P244" s="1271"/>
      <c r="Q244" s="1272"/>
      <c r="R244" s="1273" t="s">
        <v>670</v>
      </c>
      <c r="S244" s="1274"/>
      <c r="T244" s="329"/>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28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28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28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8"/>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28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28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28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28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8"/>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305"/>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305"/>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305"/>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305"/>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305"/>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305"/>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305"/>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305"/>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8"/>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8"/>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1"/>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8"/>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1576.9199999999983</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-14548.329999999994</v>
      </c>
      <c r="T272" s="38"/>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4595.3999999999942</v>
      </c>
      <c r="M273" s="243"/>
      <c r="N273" s="266" t="e">
        <f t="shared" si="49"/>
        <v>#N/A</v>
      </c>
      <c r="O273" s="243"/>
      <c r="P273" s="38"/>
      <c r="Q273" s="266">
        <f>SUMIFS(BV_Data_An_Prec!$AM:$AM,BV_Data_An_Prec!$AP:$AP,$B273,BV_Data_An_Prec!$AQ:$AQ,$C273,BV_Data_An_Prec!$AR:$AR,$L$2)</f>
        <v>23476.550000000017</v>
      </c>
      <c r="R273" s="243"/>
      <c r="S273" s="266">
        <f t="shared" si="50"/>
        <v>-18881.150000000023</v>
      </c>
      <c r="T273" s="38"/>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3552.4000000000087</v>
      </c>
      <c r="M274" s="233"/>
      <c r="N274" s="303" t="e">
        <f t="shared" si="49"/>
        <v>#N/A</v>
      </c>
      <c r="O274" s="233"/>
      <c r="P274" s="301"/>
      <c r="Q274" s="303">
        <f>SUMIFS(BV_Data_An_Prec!$AM:$AM,BV_Data_An_Prec!$AP:$AP,$B274,BV_Data_An_Prec!$AQ:$AQ,$C274,BV_Data_An_Prec!$AR:$AR,$L$2)</f>
        <v>27417.919999999984</v>
      </c>
      <c r="R274" s="233"/>
      <c r="S274" s="303">
        <f t="shared" si="50"/>
        <v>-23865.519999999975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5670</v>
      </c>
      <c r="M275" s="243"/>
      <c r="N275" s="266" t="e">
        <f t="shared" si="49"/>
        <v>#N/A</v>
      </c>
      <c r="O275" s="243"/>
      <c r="P275" s="745"/>
      <c r="Q275" s="266">
        <f>SUMIFS(BV_Data_An_Prec!$AM:$AM,BV_Data_An_Prec!$AP:$AP,$B275,BV_Data_An_Prec!$AQ:$AQ,$C275,BV_Data_An_Prec!$AR:$AR,$L$2)</f>
        <v>0</v>
      </c>
      <c r="R275" s="243"/>
      <c r="S275" s="266">
        <f t="shared" si="50"/>
        <v>5670</v>
      </c>
      <c r="T275" s="38"/>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8"/>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8"/>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8"/>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4902.3799999999901</v>
      </c>
      <c r="M279" s="243"/>
      <c r="N279" s="266" t="e">
        <f t="shared" si="49"/>
        <v>#N/A</v>
      </c>
      <c r="O279" s="243"/>
      <c r="P279" s="38"/>
      <c r="Q279" s="266">
        <f>SUMIFS(BV_Data_An_Prec!$AM:$AM,BV_Data_An_Prec!$AP:$AP,$B279,BV_Data_An_Prec!$AQ:$AQ,$C279,BV_Data_An_Prec!$AR:$AR,$L$2)</f>
        <v>6063.6399999999994</v>
      </c>
      <c r="R279" s="243"/>
      <c r="S279" s="266">
        <f t="shared" si="50"/>
        <v>-1161.2600000000093</v>
      </c>
      <c r="T279" s="38"/>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12618.260000000009</v>
      </c>
      <c r="M280" s="233"/>
      <c r="N280" s="303" t="e">
        <f t="shared" si="49"/>
        <v>#N/A</v>
      </c>
      <c r="O280" s="233"/>
      <c r="P280" s="301"/>
      <c r="Q280" s="303">
        <f>SUMIFS(BV_Data_An_Prec!$AM:$AM,BV_Data_An_Prec!$AP:$AP,$B280,BV_Data_An_Prec!$AQ:$AQ,$C280,BV_Data_An_Prec!$AR:$AR,$L$2)</f>
        <v>16394.299999999988</v>
      </c>
      <c r="R280" s="233"/>
      <c r="S280" s="303">
        <f t="shared" si="50"/>
        <v>-3776.039999999979</v>
      </c>
      <c r="T280" s="38"/>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3485.260000000002</v>
      </c>
      <c r="M281" s="243"/>
      <c r="N281" s="266" t="e">
        <f t="shared" si="49"/>
        <v>#N/A</v>
      </c>
      <c r="O281" s="243"/>
      <c r="P281" s="38"/>
      <c r="Q281" s="266">
        <f>SUMIFS(BV_Data_An_Prec!$AM:$AM,BV_Data_An_Prec!$AP:$AP,$B281,BV_Data_An_Prec!$AQ:$AQ,$C281,BV_Data_An_Prec!$AR:$AR,$L$2)</f>
        <v>10201.849999999991</v>
      </c>
      <c r="R281" s="243"/>
      <c r="S281" s="266">
        <f t="shared" si="50"/>
        <v>-6716.5899999999892</v>
      </c>
      <c r="T281" s="38"/>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4091.1899999999987</v>
      </c>
      <c r="M282" s="243"/>
      <c r="N282" s="266" t="e">
        <f t="shared" si="49"/>
        <v>#N/A</v>
      </c>
      <c r="O282" s="243"/>
      <c r="P282" s="38"/>
      <c r="Q282" s="266">
        <f>SUMIFS(BV_Data_An_Prec!$AM:$AM,BV_Data_An_Prec!$AP:$AP,$B282,BV_Data_An_Prec!$AQ:$AQ,$C282,BV_Data_An_Prec!$AR:$AR,$L$2)</f>
        <v>828.33000000000084</v>
      </c>
      <c r="R282" s="243"/>
      <c r="S282" s="266">
        <f t="shared" si="50"/>
        <v>3262.8599999999979</v>
      </c>
      <c r="T282" s="38"/>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8"/>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0.34353088318274738</v>
      </c>
      <c r="L284" s="294">
        <f>+SUM(L272:L283)</f>
        <v>40491.81</v>
      </c>
      <c r="M284" s="296"/>
      <c r="N284" s="294" t="e">
        <f t="shared" si="49"/>
        <v>#N/A</v>
      </c>
      <c r="O284" s="295" t="s">
        <v>171</v>
      </c>
      <c r="P284" s="293">
        <f>Q284/Q$268</f>
        <v>0.6962947814248307</v>
      </c>
      <c r="Q284" s="294">
        <f>+SUM(Q272:Q283)</f>
        <v>100507.83999999998</v>
      </c>
      <c r="R284" s="297"/>
      <c r="S284" s="294">
        <f t="shared" si="50"/>
        <v>-60016.029999999984</v>
      </c>
      <c r="T284" s="38"/>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1528.9300000000003</v>
      </c>
      <c r="M285" s="243"/>
      <c r="N285" s="266" t="e">
        <f t="shared" si="49"/>
        <v>#N/A</v>
      </c>
      <c r="O285" s="243"/>
      <c r="P285" s="38"/>
      <c r="Q285" s="266">
        <f>SUMIFS(BV_Data_An_Prec!$AM:$AM,BV_Data_An_Prec!$AP:$AP,$B285,BV_Data_An_Prec!$AQ:$AQ,$C285,BV_Data_An_Prec!$AR:$AR,$L$2)</f>
        <v>1140.6199999999999</v>
      </c>
      <c r="R285" s="243"/>
      <c r="S285" s="266">
        <f t="shared" si="50"/>
        <v>388.3100000000004</v>
      </c>
      <c r="T285" s="38"/>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3819.3100000000013</v>
      </c>
      <c r="M286" s="243"/>
      <c r="N286" s="266" t="e">
        <f t="shared" si="49"/>
        <v>#N/A</v>
      </c>
      <c r="O286" s="243"/>
      <c r="P286" s="38"/>
      <c r="Q286" s="266">
        <f>SUMIFS(BV_Data_An_Prec!$AM:$AM,BV_Data_An_Prec!$AP:$AP,$B286,BV_Data_An_Prec!$AQ:$AQ,$C286,BV_Data_An_Prec!$AR:$AR,$L$2)</f>
        <v>104.22999999999956</v>
      </c>
      <c r="R286" s="243"/>
      <c r="S286" s="266">
        <f t="shared" si="50"/>
        <v>3715.0800000000017</v>
      </c>
      <c r="T286" s="38"/>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1333.9499999999971</v>
      </c>
      <c r="M287" s="238"/>
      <c r="N287" s="286" t="e">
        <f t="shared" si="49"/>
        <v>#N/A</v>
      </c>
      <c r="O287" s="238"/>
      <c r="P287" s="304"/>
      <c r="Q287" s="266">
        <f>SUMIFS(BV_Data_An_Prec!$AM:$AM,BV_Data_An_Prec!$AP:$AP,$B287,BV_Data_An_Prec!$AQ:$AQ,$C287,BV_Data_An_Prec!$AR:$AR,$L$2)</f>
        <v>-8070.07</v>
      </c>
      <c r="R287" s="238"/>
      <c r="S287" s="286">
        <f t="shared" si="50"/>
        <v>9404.0199999999968</v>
      </c>
      <c r="T287" s="38"/>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2510.7200000000012</v>
      </c>
      <c r="M288" s="243"/>
      <c r="N288" s="266" t="e">
        <f t="shared" si="49"/>
        <v>#N/A</v>
      </c>
      <c r="O288" s="243"/>
      <c r="P288" s="38"/>
      <c r="Q288" s="303">
        <f>SUMIFS(BV_Data_An_Prec!$AM:$AM,BV_Data_An_Prec!$AP:$AP,$B288,BV_Data_An_Prec!$AQ:$AQ,$C288,BV_Data_An_Prec!$AR:$AR,$L$2)</f>
        <v>2846.3300000000017</v>
      </c>
      <c r="R288" s="243"/>
      <c r="S288" s="266">
        <f t="shared" si="50"/>
        <v>-335.61000000000058</v>
      </c>
      <c r="T288" s="38"/>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461.70000000000073</v>
      </c>
      <c r="M289" s="243"/>
      <c r="N289" s="266" t="e">
        <f t="shared" si="49"/>
        <v>#N/A</v>
      </c>
      <c r="O289" s="243"/>
      <c r="P289" s="38"/>
      <c r="Q289" s="266">
        <f>SUMIFS(BV_Data_An_Prec!$AM:$AM,BV_Data_An_Prec!$AP:$AP,$B289,BV_Data_An_Prec!$AQ:$AQ,$C289,BV_Data_An_Prec!$AR:$AR,$L$2)</f>
        <v>480.54</v>
      </c>
      <c r="R289" s="243"/>
      <c r="S289" s="266">
        <f t="shared" si="50"/>
        <v>-18.839999999999293</v>
      </c>
      <c r="T289" s="38"/>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8"/>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8"/>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8"/>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1028.7800000000007</v>
      </c>
      <c r="M294" s="243"/>
      <c r="N294" s="266" t="e">
        <f t="shared" si="49"/>
        <v>#N/A</v>
      </c>
      <c r="O294" s="243"/>
      <c r="P294" s="281"/>
      <c r="Q294" s="266">
        <f>SUMIFS(BV_Data_An_Prec!$AM:$AM,BV_Data_An_Prec!$AP:$AP,$B294,BV_Data_An_Prec!$AQ:$AQ,$C294,BV_Data_An_Prec!$AR:$AR,$L$2)</f>
        <v>2013.92</v>
      </c>
      <c r="R294" s="243"/>
      <c r="S294" s="266">
        <f t="shared" si="50"/>
        <v>-985.13999999999942</v>
      </c>
      <c r="T294" s="38"/>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531.37000000000035</v>
      </c>
      <c r="M295" s="243"/>
      <c r="N295" s="266" t="e">
        <f t="shared" si="49"/>
        <v>#N/A</v>
      </c>
      <c r="O295" s="243"/>
      <c r="P295" s="38"/>
      <c r="Q295" s="266">
        <f>SUMIFS(BV_Data_An_Prec!$AM:$AM,BV_Data_An_Prec!$AP:$AP,$B295,BV_Data_An_Prec!$AQ:$AQ,$C295,BV_Data_An_Prec!$AR:$AR,$L$2)</f>
        <v>1024.7799999999997</v>
      </c>
      <c r="R295" s="243"/>
      <c r="S295" s="266">
        <f t="shared" si="50"/>
        <v>-493.4099999999994</v>
      </c>
      <c r="T295" s="38"/>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8"/>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8"/>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255.97999999999956</v>
      </c>
      <c r="M299" s="243"/>
      <c r="N299" s="266" t="e">
        <f t="shared" si="49"/>
        <v>#N/A</v>
      </c>
      <c r="O299" s="243"/>
      <c r="P299" s="38"/>
      <c r="Q299" s="266">
        <f>SUMIFS(BV_Data_An_Prec!$AM:$AM,BV_Data_An_Prec!$AP:$AP,$B299,BV_Data_An_Prec!$AQ:$AQ,$C299,BV_Data_An_Prec!$AR:$AR,$L$2)</f>
        <v>312.42999999999984</v>
      </c>
      <c r="R299" s="243"/>
      <c r="S299" s="266">
        <f t="shared" si="50"/>
        <v>-56.450000000000273</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8"/>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8"/>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8"/>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0.22242592209400422</v>
      </c>
      <c r="L303" s="294">
        <f>+SUM(L285:L302)</f>
        <v>26217.23</v>
      </c>
      <c r="M303" s="296"/>
      <c r="N303" s="294" t="e">
        <f t="shared" si="49"/>
        <v>#N/A</v>
      </c>
      <c r="O303" s="295" t="s">
        <v>171</v>
      </c>
      <c r="P303" s="293">
        <f>Q303/Q$268</f>
        <v>9.5839405520099202E-2</v>
      </c>
      <c r="Q303" s="294">
        <f>+SUM(Q285:Q302)</f>
        <v>13834.099999999993</v>
      </c>
      <c r="R303" s="297"/>
      <c r="S303" s="294">
        <f t="shared" si="50"/>
        <v>12383.130000000006</v>
      </c>
      <c r="T303" s="38"/>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0.56595680527675152</v>
      </c>
      <c r="L305" s="294">
        <f>L284+L303</f>
        <v>66709.039999999994</v>
      </c>
      <c r="M305" s="296"/>
      <c r="N305" s="294" t="e">
        <f>L305-F305</f>
        <v>#N/A</v>
      </c>
      <c r="O305" s="295" t="s">
        <v>115</v>
      </c>
      <c r="P305" s="293">
        <f>Q305/Q$268</f>
        <v>0.79213418694492999</v>
      </c>
      <c r="Q305" s="294">
        <f>Q284+Q303</f>
        <v>114341.93999999997</v>
      </c>
      <c r="R305" s="297"/>
      <c r="S305" s="294">
        <f>L305-Q305</f>
        <v>-47632.89999999998</v>
      </c>
      <c r="T305" s="38"/>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51160.449999999968</v>
      </c>
      <c r="M307" s="958"/>
      <c r="N307" s="956" t="e">
        <f>L307-F307</f>
        <v>#N/A</v>
      </c>
      <c r="O307" s="957"/>
      <c r="P307" s="955"/>
      <c r="Q307" s="956">
        <f>Q268-Q305</f>
        <v>30004.74000000002</v>
      </c>
      <c r="R307" s="959"/>
      <c r="S307" s="956">
        <f>L307-Q307</f>
        <v>21155.709999999948</v>
      </c>
      <c r="T307" s="38"/>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226"/>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1"/>
      <c r="F312" s="1272"/>
      <c r="G312" s="1275"/>
      <c r="H312" s="1271"/>
      <c r="I312" s="1272"/>
      <c r="J312" s="1275" t="s">
        <v>340</v>
      </c>
      <c r="K312" s="1271"/>
      <c r="L312" s="1272"/>
      <c r="M312" s="1275" t="s">
        <v>668</v>
      </c>
      <c r="N312" s="1272"/>
      <c r="O312" s="1270" t="s">
        <v>341</v>
      </c>
      <c r="P312" s="1271"/>
      <c r="Q312" s="1272"/>
      <c r="R312" s="1273" t="s">
        <v>670</v>
      </c>
      <c r="S312" s="1274"/>
      <c r="T312" s="329"/>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36"/>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36"/>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36"/>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36"/>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327"/>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327"/>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327"/>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327"/>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327"/>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327"/>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327"/>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8"/>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8"/>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8"/>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8"/>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10048.099999999999</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-2316.989999999998</v>
      </c>
      <c r="T330" s="38"/>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4791.4199999999983</v>
      </c>
      <c r="M331" s="243"/>
      <c r="N331" s="266" t="e">
        <f t="shared" si="53"/>
        <v>#N/A</v>
      </c>
      <c r="O331" s="243"/>
      <c r="P331" s="38"/>
      <c r="Q331" s="266">
        <f>SUMIFS(BV_Data_An_Prec!$AM:$AM,BV_Data_An_Prec!$AP:$AP,$B331,BV_Data_An_Prec!$AQ:$AQ,$C331,BV_Data_An_Prec!$AR:$AR,$L$2)</f>
        <v>6518.8700000000026</v>
      </c>
      <c r="R331" s="243"/>
      <c r="S331" s="266">
        <f t="shared" si="54"/>
        <v>-1727.4500000000044</v>
      </c>
      <c r="T331" s="38"/>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1.7999999999997272</v>
      </c>
      <c r="M332" s="233"/>
      <c r="N332" s="303" t="e">
        <f t="shared" si="53"/>
        <v>#N/A</v>
      </c>
      <c r="O332" s="233"/>
      <c r="P332" s="301"/>
      <c r="Q332" s="303">
        <f>SUMIFS(BV_Data_An_Prec!$AM:$AM,BV_Data_An_Prec!$AP:$AP,$B332,BV_Data_An_Prec!$AQ:$AQ,$C332,BV_Data_An_Prec!$AR:$AR,$L$2)</f>
        <v>0</v>
      </c>
      <c r="R332" s="233"/>
      <c r="S332" s="303">
        <f t="shared" si="54"/>
        <v>1.7999999999997272</v>
      </c>
      <c r="T332" s="38"/>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8"/>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8"/>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8"/>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8"/>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2356.2400000000016</v>
      </c>
      <c r="M337" s="243"/>
      <c r="N337" s="266" t="e">
        <f t="shared" si="53"/>
        <v>#N/A</v>
      </c>
      <c r="O337" s="243"/>
      <c r="P337" s="38"/>
      <c r="Q337" s="266">
        <f>SUMIFS(BV_Data_An_Prec!$AM:$AM,BV_Data_An_Prec!$AP:$AP,$B337,BV_Data_An_Prec!$AQ:$AQ,$C337,BV_Data_An_Prec!$AR:$AR,$L$2)</f>
        <v>1160.2599999999984</v>
      </c>
      <c r="R337" s="243"/>
      <c r="S337" s="266">
        <f t="shared" si="54"/>
        <v>1195.9800000000032</v>
      </c>
      <c r="T337" s="38"/>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3802.8600000000006</v>
      </c>
      <c r="M338" s="233"/>
      <c r="N338" s="303" t="e">
        <f t="shared" si="53"/>
        <v>#N/A</v>
      </c>
      <c r="O338" s="233"/>
      <c r="P338" s="301"/>
      <c r="Q338" s="303">
        <f>SUMIFS(BV_Data_An_Prec!$AM:$AM,BV_Data_An_Prec!$AP:$AP,$B338,BV_Data_An_Prec!$AQ:$AQ,$C338,BV_Data_An_Prec!$AR:$AR,$L$2)</f>
        <v>4550.2700000000004</v>
      </c>
      <c r="R338" s="233"/>
      <c r="S338" s="303">
        <f t="shared" si="54"/>
        <v>-747.40999999999985</v>
      </c>
      <c r="T338" s="38"/>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840.69000000000051</v>
      </c>
      <c r="M339" s="243"/>
      <c r="N339" s="266" t="e">
        <f t="shared" si="53"/>
        <v>#N/A</v>
      </c>
      <c r="O339" s="243"/>
      <c r="P339" s="38"/>
      <c r="Q339" s="266">
        <f>SUMIFS(BV_Data_An_Prec!$AM:$AM,BV_Data_An_Prec!$AP:$AP,$B339,BV_Data_An_Prec!$AQ:$AQ,$C339,BV_Data_An_Prec!$AR:$AR,$L$2)</f>
        <v>2780.4700000000012</v>
      </c>
      <c r="R339" s="243"/>
      <c r="S339" s="266">
        <f t="shared" si="54"/>
        <v>-1939.7800000000007</v>
      </c>
      <c r="T339" s="38"/>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1451.8400000000001</v>
      </c>
      <c r="M340" s="243"/>
      <c r="N340" s="266" t="e">
        <f t="shared" si="53"/>
        <v>#N/A</v>
      </c>
      <c r="O340" s="243"/>
      <c r="P340" s="38"/>
      <c r="Q340" s="266">
        <f>SUMIFS(BV_Data_An_Prec!$AM:$AM,BV_Data_An_Prec!$AP:$AP,$B340,BV_Data_An_Prec!$AQ:$AQ,$C340,BV_Data_An_Prec!$AR:$AR,$L$2)</f>
        <v>34.680000000000007</v>
      </c>
      <c r="R340" s="243"/>
      <c r="S340" s="266">
        <f t="shared" si="54"/>
        <v>1417.16</v>
      </c>
      <c r="T340" s="38"/>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8"/>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0.36163365049250629</v>
      </c>
      <c r="L342" s="294">
        <f>+SUM(L330:L341)</f>
        <v>23292.95</v>
      </c>
      <c r="M342" s="296"/>
      <c r="N342" s="294" t="e">
        <f t="shared" si="53"/>
        <v>#N/A</v>
      </c>
      <c r="O342" s="295" t="s">
        <v>115</v>
      </c>
      <c r="P342" s="293">
        <f>IF(Q326=0,0,Q342/Q$326)</f>
        <v>0.30809381281947879</v>
      </c>
      <c r="Q342" s="294">
        <f>+SUM(Q330:Q341)</f>
        <v>27409.64</v>
      </c>
      <c r="R342" s="297"/>
      <c r="S342" s="294">
        <f t="shared" si="54"/>
        <v>-4116.6899999999987</v>
      </c>
      <c r="T342" s="38"/>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0</v>
      </c>
      <c r="M343" s="243"/>
      <c r="N343" s="266" t="e">
        <f t="shared" si="53"/>
        <v>#N/A</v>
      </c>
      <c r="O343" s="243"/>
      <c r="P343" s="38"/>
      <c r="Q343" s="266">
        <f>SUMIFS(BV_Data_An_Prec!$AM:$AM,BV_Data_An_Prec!$AP:$AP,$B343,BV_Data_An_Prec!$AQ:$AQ,$C343,BV_Data_An_Prec!$AR:$AR,$L$2)</f>
        <v>955.95</v>
      </c>
      <c r="R343" s="243"/>
      <c r="S343" s="266">
        <f t="shared" si="54"/>
        <v>-955.95</v>
      </c>
      <c r="T343" s="38"/>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8"/>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1194.7600000000002</v>
      </c>
      <c r="M345" s="238"/>
      <c r="N345" s="286" t="e">
        <f t="shared" si="53"/>
        <v>#N/A</v>
      </c>
      <c r="O345" s="238"/>
      <c r="P345" s="304"/>
      <c r="Q345" s="266">
        <f>SUMIFS(BV_Data_An_Prec!$AM:$AM,BV_Data_An_Prec!$AP:$AP,$B345,BV_Data_An_Prec!$AQ:$AQ,$C345,BV_Data_An_Prec!$AR:$AR,$L$2)</f>
        <v>-3839.2400000000007</v>
      </c>
      <c r="R345" s="238"/>
      <c r="S345" s="286">
        <f t="shared" si="54"/>
        <v>5034.0000000000009</v>
      </c>
      <c r="T345" s="38"/>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1676.5700000000015</v>
      </c>
      <c r="M346" s="243"/>
      <c r="N346" s="266" t="e">
        <f t="shared" si="53"/>
        <v>#N/A</v>
      </c>
      <c r="O346" s="243"/>
      <c r="P346" s="38"/>
      <c r="Q346" s="303">
        <f>SUMIFS(BV_Data_An_Prec!$AM:$AM,BV_Data_An_Prec!$AP:$AP,$B346,BV_Data_An_Prec!$AQ:$AQ,$C346,BV_Data_An_Prec!$AR:$AR,$L$2)</f>
        <v>1609.2700000000004</v>
      </c>
      <c r="R346" s="243"/>
      <c r="S346" s="266">
        <f t="shared" si="54"/>
        <v>67.300000000001091</v>
      </c>
      <c r="T346" s="38"/>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153.90000000000055</v>
      </c>
      <c r="M347" s="243"/>
      <c r="N347" s="266" t="e">
        <f t="shared" si="53"/>
        <v>#N/A</v>
      </c>
      <c r="O347" s="243"/>
      <c r="P347" s="38"/>
      <c r="Q347" s="266">
        <f>SUMIFS(BV_Data_An_Prec!$AM:$AM,BV_Data_An_Prec!$AP:$AP,$B347,BV_Data_An_Prec!$AQ:$AQ,$C347,BV_Data_An_Prec!$AR:$AR,$L$2)</f>
        <v>150</v>
      </c>
      <c r="R347" s="243"/>
      <c r="S347" s="266">
        <f t="shared" si="54"/>
        <v>3.9000000000005457</v>
      </c>
      <c r="T347" s="38"/>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8"/>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8"/>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8"/>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8"/>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204.80000000000018</v>
      </c>
      <c r="M352" s="243"/>
      <c r="N352" s="266" t="e">
        <f t="shared" si="53"/>
        <v>#N/A</v>
      </c>
      <c r="O352" s="243"/>
      <c r="P352" s="38"/>
      <c r="Q352" s="266">
        <f>SUMIFS(BV_Data_An_Prec!$AM:$AM,BV_Data_An_Prec!$AP:$AP,$B352,BV_Data_An_Prec!$AQ:$AQ,$C352,BV_Data_An_Prec!$AR:$AR,$L$2)</f>
        <v>335.48</v>
      </c>
      <c r="R352" s="243"/>
      <c r="S352" s="266">
        <f t="shared" si="54"/>
        <v>-130.67999999999984</v>
      </c>
      <c r="T352" s="38"/>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158.78999999999996</v>
      </c>
      <c r="M353" s="243"/>
      <c r="N353" s="266" t="e">
        <f t="shared" si="53"/>
        <v>#N/A</v>
      </c>
      <c r="O353" s="243"/>
      <c r="P353" s="38"/>
      <c r="Q353" s="266">
        <f>SUMIFS(BV_Data_An_Prec!$AM:$AM,BV_Data_An_Prec!$AP:$AP,$B353,BV_Data_An_Prec!$AQ:$AQ,$C353,BV_Data_An_Prec!$AR:$AR,$L$2)</f>
        <v>323.25</v>
      </c>
      <c r="R353" s="243"/>
      <c r="S353" s="266">
        <f t="shared" si="54"/>
        <v>-164.46000000000004</v>
      </c>
      <c r="T353" s="38"/>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8"/>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8"/>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79.230000000000018</v>
      </c>
      <c r="M357" s="243"/>
      <c r="N357" s="266" t="e">
        <f t="shared" si="53"/>
        <v>#N/A</v>
      </c>
      <c r="O357" s="243"/>
      <c r="P357" s="38"/>
      <c r="Q357" s="266">
        <f>SUMIFS(BV_Data_An_Prec!$AM:$AM,BV_Data_An_Prec!$AP:$AP,$B357,BV_Data_An_Prec!$AQ:$AQ,$C357,BV_Data_An_Prec!$AR:$AR,$L$2)</f>
        <v>95.789999999999964</v>
      </c>
      <c r="R357" s="243"/>
      <c r="S357" s="266">
        <f t="shared" si="54"/>
        <v>-16.559999999999945</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0.2670299105656157</v>
      </c>
      <c r="L361" s="294">
        <f>+SUM(L343:L360)</f>
        <v>17199.490000000005</v>
      </c>
      <c r="M361" s="296"/>
      <c r="N361" s="294" t="e">
        <f>+SUM(N343:N360)</f>
        <v>#N/A</v>
      </c>
      <c r="O361" s="295" t="s">
        <v>115</v>
      </c>
      <c r="P361" s="293">
        <f>Q361/Q$326</f>
        <v>0.123060197443406</v>
      </c>
      <c r="Q361" s="294">
        <f>+SUM(Q343:Q360)</f>
        <v>10948.079999999998</v>
      </c>
      <c r="R361" s="297"/>
      <c r="S361" s="294">
        <f t="shared" si="54"/>
        <v>6251.4100000000071</v>
      </c>
      <c r="T361" s="38"/>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0.62866356105812193</v>
      </c>
      <c r="L363" s="294">
        <f>L342+L361</f>
        <v>40492.44</v>
      </c>
      <c r="M363" s="296"/>
      <c r="N363" s="294" t="e">
        <f>L363-F363</f>
        <v>#N/A</v>
      </c>
      <c r="O363" s="295" t="s">
        <v>115</v>
      </c>
      <c r="P363" s="293">
        <f>Q363/Q$326</f>
        <v>0.4311540102628848</v>
      </c>
      <c r="Q363" s="294">
        <f>Q342+Q361</f>
        <v>38357.72</v>
      </c>
      <c r="R363" s="297"/>
      <c r="S363" s="294">
        <f>L363-Q363</f>
        <v>2134.7200000000012</v>
      </c>
      <c r="T363" s="38"/>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23917.909999999996</v>
      </c>
      <c r="M365" s="958"/>
      <c r="N365" s="956" t="e">
        <f>L365-F365</f>
        <v>#N/A</v>
      </c>
      <c r="O365" s="957"/>
      <c r="P365" s="955"/>
      <c r="Q365" s="956">
        <f>Q326-Q363</f>
        <v>50607.519999999975</v>
      </c>
      <c r="R365" s="959"/>
      <c r="S365" s="956">
        <f>L365-Q365</f>
        <v>-26689.609999999979</v>
      </c>
      <c r="T365" s="38"/>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8"/>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1"/>
      <c r="F369" s="1272"/>
      <c r="G369" s="1275"/>
      <c r="H369" s="1271"/>
      <c r="I369" s="1272"/>
      <c r="J369" s="1275" t="s">
        <v>340</v>
      </c>
      <c r="K369" s="1271"/>
      <c r="L369" s="1272"/>
      <c r="M369" s="1275" t="s">
        <v>668</v>
      </c>
      <c r="N369" s="1272"/>
      <c r="O369" s="1270" t="s">
        <v>341</v>
      </c>
      <c r="P369" s="1271"/>
      <c r="Q369" s="1272"/>
      <c r="R369" s="1273" t="s">
        <v>670</v>
      </c>
      <c r="S369" s="1274"/>
      <c r="T369" s="38"/>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8"/>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8"/>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8"/>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8"/>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8"/>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8"/>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8"/>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8"/>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192.78000000000065</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182.35000000000036</v>
      </c>
      <c r="T379" s="38"/>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0.26547532808830671</v>
      </c>
      <c r="L380" s="356">
        <f>SUM(L371:L379)</f>
        <v>85227.010000000184</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-6305.8699999997916</v>
      </c>
      <c r="T380" s="38"/>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-6.8891856128636977E-2</v>
      </c>
      <c r="T381" s="38"/>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8"/>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8"/>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8"/>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0.25768155572639106</v>
      </c>
      <c r="L385" s="356">
        <f>L380+L383+L384</f>
        <v>91034.830000000191</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-6606.0499999997846</v>
      </c>
      <c r="T385" s="38"/>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-6.7656600391145447E-2</v>
      </c>
      <c r="T386" s="38"/>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8"/>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8"/>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8"/>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0.25768155572639106</v>
      </c>
      <c r="L390" s="271">
        <f>L385+L388</f>
        <v>91034.830000000191</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-6606.0499999997846</v>
      </c>
      <c r="T390" s="38"/>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-6.7656600391145447E-2</v>
      </c>
      <c r="T391" s="38"/>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8"/>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8"/>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4413.510000000002</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-69.909999999996217</v>
      </c>
      <c r="T394" s="38"/>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1531.7900000000009</v>
      </c>
      <c r="M395" s="243"/>
      <c r="N395" s="246" t="e">
        <f t="shared" si="71"/>
        <v>#N/A</v>
      </c>
      <c r="O395" s="243"/>
      <c r="P395" s="38"/>
      <c r="Q395" s="266">
        <f>SUMIFS(BV_Data_An_Prec!$AM:$AM,BV_Data_An_Prec!$AP:$AP,$B395,BV_Data_An_Prec!$AQ:$AQ,$C395,BV_Data_An_Prec!$AR:$AR,$L$2)</f>
        <v>2434.4900000000016</v>
      </c>
      <c r="R395" s="243"/>
      <c r="S395" s="266">
        <f t="shared" si="72"/>
        <v>-902.70000000000073</v>
      </c>
      <c r="T395" s="38"/>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9089.429999999993</v>
      </c>
      <c r="M396" s="233"/>
      <c r="N396" s="262" t="e">
        <f t="shared" si="71"/>
        <v>#N/A</v>
      </c>
      <c r="O396" s="233"/>
      <c r="P396" s="301"/>
      <c r="Q396" s="303">
        <f>SUMIFS(BV_Data_An_Prec!$AM:$AM,BV_Data_An_Prec!$AP:$AP,$B396,BV_Data_An_Prec!$AQ:$AQ,$C396,BV_Data_An_Prec!$AR:$AR,$L$2)</f>
        <v>17580.00999999998</v>
      </c>
      <c r="R396" s="233"/>
      <c r="S396" s="303">
        <f t="shared" si="72"/>
        <v>-8490.5799999999872</v>
      </c>
      <c r="T396" s="38"/>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8"/>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8"/>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8"/>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8"/>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1248.2199999999975</v>
      </c>
      <c r="M401" s="243"/>
      <c r="N401" s="246" t="e">
        <f t="shared" si="71"/>
        <v>#N/A</v>
      </c>
      <c r="O401" s="243"/>
      <c r="P401" s="38"/>
      <c r="Q401" s="266">
        <f>SUMIFS(BV_Data_An_Prec!$AM:$AM,BV_Data_An_Prec!$AP:$AP,$B401,BV_Data_An_Prec!$AQ:$AQ,$C401,BV_Data_An_Prec!$AR:$AR,$L$2)</f>
        <v>1134.9199999999983</v>
      </c>
      <c r="R401" s="243"/>
      <c r="S401" s="266">
        <f t="shared" si="72"/>
        <v>113.29999999999927</v>
      </c>
      <c r="T401" s="38"/>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2295.8900000000031</v>
      </c>
      <c r="M402" s="233"/>
      <c r="N402" s="262" t="e">
        <f t="shared" si="71"/>
        <v>#N/A</v>
      </c>
      <c r="O402" s="233"/>
      <c r="P402" s="301"/>
      <c r="Q402" s="303">
        <f>SUMIFS(BV_Data_An_Prec!$AM:$AM,BV_Data_An_Prec!$AP:$AP,$B402,BV_Data_An_Prec!$AQ:$AQ,$C402,BV_Data_An_Prec!$AR:$AR,$L$2)</f>
        <v>3052.8999999999978</v>
      </c>
      <c r="R402" s="233"/>
      <c r="S402" s="303">
        <f t="shared" si="72"/>
        <v>-757.00999999999476</v>
      </c>
      <c r="T402" s="38"/>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261.32999999999993</v>
      </c>
      <c r="M403" s="243"/>
      <c r="N403" s="246" t="e">
        <f t="shared" si="71"/>
        <v>#N/A</v>
      </c>
      <c r="O403" s="243"/>
      <c r="P403" s="38"/>
      <c r="Q403" s="266">
        <f>SUMIFS(BV_Data_An_Prec!$AM:$AM,BV_Data_An_Prec!$AP:$AP,$B403,BV_Data_An_Prec!$AQ:$AQ,$C403,BV_Data_An_Prec!$AR:$AR,$L$2)</f>
        <v>1428.4499999999989</v>
      </c>
      <c r="R403" s="243"/>
      <c r="S403" s="266">
        <f t="shared" si="72"/>
        <v>-1167.119999999999</v>
      </c>
      <c r="T403" s="38"/>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1103.6300000000001</v>
      </c>
      <c r="M404" s="243"/>
      <c r="N404" s="246" t="e">
        <f t="shared" si="71"/>
        <v>#N/A</v>
      </c>
      <c r="O404" s="243"/>
      <c r="P404" s="38"/>
      <c r="Q404" s="266">
        <f>SUMIFS(BV_Data_An_Prec!$AM:$AM,BV_Data_An_Prec!$AP:$AP,$B404,BV_Data_An_Prec!$AQ:$AQ,$C404,BV_Data_An_Prec!$AR:$AR,$L$2)</f>
        <v>183.91000000000008</v>
      </c>
      <c r="R404" s="243"/>
      <c r="S404" s="266">
        <f t="shared" si="72"/>
        <v>919.72</v>
      </c>
      <c r="T404" s="38"/>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8"/>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0.21907878555932886</v>
      </c>
      <c r="L406" s="294">
        <f>+SUM(L394:L405)</f>
        <v>19943.8</v>
      </c>
      <c r="M406" s="296"/>
      <c r="N406" s="294" t="e">
        <f t="shared" si="71"/>
        <v>#N/A</v>
      </c>
      <c r="O406" s="295" t="s">
        <v>115</v>
      </c>
      <c r="P406" s="293">
        <f>Q406/Q$390</f>
        <v>0.31030138196214518</v>
      </c>
      <c r="Q406" s="294">
        <f>+SUM(Q394:Q405)</f>
        <v>30298.099999999973</v>
      </c>
      <c r="R406" s="297"/>
      <c r="S406" s="294">
        <f t="shared" si="72"/>
        <v>-10354.299999999974</v>
      </c>
      <c r="T406" s="38"/>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1103.0100000000002</v>
      </c>
      <c r="M407" s="243"/>
      <c r="N407" s="266" t="e">
        <f t="shared" si="71"/>
        <v>#N/A</v>
      </c>
      <c r="O407" s="243"/>
      <c r="P407" s="38"/>
      <c r="Q407" s="266">
        <f>SUMIFS(BV_Data_An_Prec!$AM:$AM,BV_Data_An_Prec!$AP:$AP,$B407,BV_Data_An_Prec!$AQ:$AQ,$C407,BV_Data_An_Prec!$AR:$AR,$L$2)</f>
        <v>944.61000000000058</v>
      </c>
      <c r="R407" s="243"/>
      <c r="S407" s="266">
        <f t="shared" si="72"/>
        <v>158.39999999999964</v>
      </c>
      <c r="T407" s="38"/>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8"/>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241.71000000000095</v>
      </c>
      <c r="M409" s="238"/>
      <c r="N409" s="286" t="e">
        <f t="shared" si="71"/>
        <v>#N/A</v>
      </c>
      <c r="O409" s="238"/>
      <c r="P409" s="304"/>
      <c r="Q409" s="286">
        <f>SUMIFS(BV_Data_An_Prec!$AM:$AM,BV_Data_An_Prec!$AP:$AP,$B409,BV_Data_An_Prec!$AQ:$AQ,$C409,BV_Data_An_Prec!$AR:$AR,$L$2)</f>
        <v>2359.1100000000006</v>
      </c>
      <c r="R409" s="238"/>
      <c r="S409" s="286">
        <f t="shared" si="72"/>
        <v>-2117.3999999999996</v>
      </c>
      <c r="T409" s="38"/>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1778.8700000000008</v>
      </c>
      <c r="M410" s="243"/>
      <c r="N410" s="266" t="e">
        <f t="shared" si="71"/>
        <v>#N/A</v>
      </c>
      <c r="O410" s="243"/>
      <c r="P410" s="38"/>
      <c r="Q410" s="266">
        <f>SUMIFS(BV_Data_An_Prec!$AM:$AM,BV_Data_An_Prec!$AP:$AP,$B410,BV_Data_An_Prec!$AQ:$AQ,$C410,BV_Data_An_Prec!$AR:$AR,$L$2)</f>
        <v>1828.7899999999991</v>
      </c>
      <c r="R410" s="243"/>
      <c r="S410" s="266">
        <f t="shared" si="72"/>
        <v>-49.919999999998254</v>
      </c>
      <c r="T410" s="38"/>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153.89000000000033</v>
      </c>
      <c r="M411" s="243"/>
      <c r="N411" s="266" t="e">
        <f t="shared" si="71"/>
        <v>#N/A</v>
      </c>
      <c r="O411" s="243"/>
      <c r="P411" s="38"/>
      <c r="Q411" s="266">
        <f>SUMIFS(BV_Data_An_Prec!$AM:$AM,BV_Data_An_Prec!$AP:$AP,$B411,BV_Data_An_Prec!$AQ:$AQ,$C411,BV_Data_An_Prec!$AR:$AR,$L$2)</f>
        <v>150</v>
      </c>
      <c r="R411" s="243"/>
      <c r="S411" s="266">
        <f t="shared" si="72"/>
        <v>3.8900000000003274</v>
      </c>
      <c r="T411" s="38"/>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8"/>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8"/>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8"/>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8"/>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332.13999999999987</v>
      </c>
      <c r="M416" s="243"/>
      <c r="N416" s="266" t="e">
        <f t="shared" si="71"/>
        <v>#N/A</v>
      </c>
      <c r="O416" s="243"/>
      <c r="P416" s="38"/>
      <c r="Q416" s="266">
        <f>SUMIFS(BV_Data_An_Prec!$AM:$AM,BV_Data_An_Prec!$AP:$AP,$B416,BV_Data_An_Prec!$AQ:$AQ,$C416,BV_Data_An_Prec!$AR:$AR,$L$2)</f>
        <v>1021.8500000000004</v>
      </c>
      <c r="R416" s="243"/>
      <c r="S416" s="266">
        <f t="shared" si="72"/>
        <v>-689.71000000000049</v>
      </c>
      <c r="T416" s="38"/>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158.76</v>
      </c>
      <c r="M417" s="243"/>
      <c r="N417" s="266" t="e">
        <f t="shared" si="71"/>
        <v>#N/A</v>
      </c>
      <c r="O417" s="243"/>
      <c r="P417" s="38"/>
      <c r="Q417" s="266">
        <f>SUMIFS(BV_Data_An_Prec!$AM:$AM,BV_Data_An_Prec!$AP:$AP,$B417,BV_Data_An_Prec!$AQ:$AQ,$C417,BV_Data_An_Prec!$AR:$AR,$L$2)</f>
        <v>323.27</v>
      </c>
      <c r="R417" s="243"/>
      <c r="S417" s="266">
        <f t="shared" si="72"/>
        <v>-164.51</v>
      </c>
      <c r="T417" s="38"/>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8"/>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8"/>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79.209999999999582</v>
      </c>
      <c r="M421" s="243"/>
      <c r="N421" s="266" t="e">
        <f t="shared" si="71"/>
        <v>#N/A</v>
      </c>
      <c r="O421" s="243"/>
      <c r="P421" s="38"/>
      <c r="Q421" s="266">
        <f>SUMIFS(BV_Data_An_Prec!$AM:$AM,BV_Data_An_Prec!$AP:$AP,$B421,BV_Data_An_Prec!$AQ:$AQ,$C421,BV_Data_An_Prec!$AR:$AR,$L$2)</f>
        <v>95.799999999999955</v>
      </c>
      <c r="R421" s="243"/>
      <c r="S421" s="266">
        <f t="shared" si="72"/>
        <v>-16.590000000000373</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7.605956972732289E-2</v>
      </c>
      <c r="L425" s="294">
        <f>+SUM(L407:L424)</f>
        <v>6924.07</v>
      </c>
      <c r="M425" s="296"/>
      <c r="N425" s="294" t="e">
        <f>+SUM(N407:N424)</f>
        <v>#N/A</v>
      </c>
      <c r="O425" s="295" t="s">
        <v>115</v>
      </c>
      <c r="P425" s="293">
        <f>Q425/Q$390</f>
        <v>0.12854738711900182</v>
      </c>
      <c r="Q425" s="294">
        <f>+SUM(Q407:Q424)</f>
        <v>12551.48</v>
      </c>
      <c r="R425" s="297"/>
      <c r="S425" s="294">
        <f>+SUM(S407:S424)</f>
        <v>-5627.4100000000017</v>
      </c>
      <c r="T425" s="38"/>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0.29513835528665172</v>
      </c>
      <c r="L427" s="294">
        <f>L406+L425</f>
        <v>26867.87</v>
      </c>
      <c r="M427" s="296"/>
      <c r="N427" s="294" t="e">
        <f>L427-F427</f>
        <v>#N/A</v>
      </c>
      <c r="O427" s="295" t="s">
        <v>115</v>
      </c>
      <c r="P427" s="293">
        <f>Q427/Q$390</f>
        <v>0.43884876908114701</v>
      </c>
      <c r="Q427" s="294">
        <f>Q406+Q425</f>
        <v>42849.579999999973</v>
      </c>
      <c r="R427" s="297"/>
      <c r="S427" s="294">
        <f>L427-Q427</f>
        <v>-15981.709999999974</v>
      </c>
      <c r="T427" s="38"/>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64166.960000000196</v>
      </c>
      <c r="M429" s="958"/>
      <c r="N429" s="956" t="e">
        <f>L429-F429</f>
        <v>#N/A</v>
      </c>
      <c r="O429" s="957"/>
      <c r="P429" s="955"/>
      <c r="Q429" s="956">
        <f>Q390-Q427</f>
        <v>54791.3</v>
      </c>
      <c r="R429" s="959"/>
      <c r="S429" s="956">
        <f>L429-Q429</f>
        <v>9375.6600000001927</v>
      </c>
      <c r="T429" s="38"/>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1"/>
      <c r="F434" s="1272"/>
      <c r="G434" s="1275"/>
      <c r="H434" s="1271"/>
      <c r="I434" s="1272"/>
      <c r="J434" s="1275" t="s">
        <v>340</v>
      </c>
      <c r="K434" s="1271"/>
      <c r="L434" s="1272"/>
      <c r="M434" s="1275"/>
      <c r="N434" s="1272"/>
      <c r="O434" s="1270" t="s">
        <v>341</v>
      </c>
      <c r="P434" s="1271"/>
      <c r="Q434" s="1272"/>
      <c r="R434" s="1275" t="s">
        <v>342</v>
      </c>
      <c r="S434" s="127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8"/>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8"/>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3050.1000000000022</v>
      </c>
      <c r="M453" s="243"/>
      <c r="N453" s="266"/>
      <c r="O453" s="243"/>
      <c r="P453" s="38"/>
      <c r="Q453" s="286">
        <f>SUMIFS(BV_Data_An_Prec!$AM:$AM,BV_Data_An_Prec!$AP:$AP,$B453,BV_Data_An_Prec!$AQ:$AQ,$C453,BV_Data_An_Prec!$AR:$AR,$L$2)</f>
        <v>0</v>
      </c>
      <c r="R453" s="243"/>
      <c r="S453" s="266">
        <f t="shared" si="73"/>
        <v>3050.1000000000022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2013.2200000000012</v>
      </c>
      <c r="M459" s="243"/>
      <c r="N459" s="266"/>
      <c r="O459" s="243"/>
      <c r="P459" s="38"/>
      <c r="Q459" s="286">
        <f>SUMIFS(BV_Data_An_Prec!$AM:$AM,BV_Data_An_Prec!$AP:$AP,$B459,BV_Data_An_Prec!$AQ:$AQ,$C459,BV_Data_An_Prec!$AR:$AR,$L$2)</f>
        <v>0</v>
      </c>
      <c r="R459" s="243"/>
      <c r="S459" s="266">
        <f t="shared" si="73"/>
        <v>2013.2200000000012</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3566.4299999999985</v>
      </c>
      <c r="M460" s="233"/>
      <c r="N460" s="303"/>
      <c r="O460" s="233"/>
      <c r="P460" s="301"/>
      <c r="Q460" s="266">
        <f>SUMIFS(BV_Data_An_Prec!$AM:$AM,BV_Data_An_Prec!$AP:$AP,$B460,BV_Data_An_Prec!$AQ:$AQ,$C460,BV_Data_An_Prec!$AR:$AR,$L$2)</f>
        <v>0</v>
      </c>
      <c r="R460" s="233"/>
      <c r="S460" s="303">
        <f t="shared" si="73"/>
        <v>3566.4299999999985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936.05000000000018</v>
      </c>
      <c r="M461" s="243"/>
      <c r="N461" s="266"/>
      <c r="O461" s="243"/>
      <c r="P461" s="38"/>
      <c r="Q461" s="266">
        <f>SUMIFS(BV_Data_An_Prec!$AM:$AM,BV_Data_An_Prec!$AP:$AP,$B461,BV_Data_An_Prec!$AQ:$AQ,$C461,BV_Data_An_Prec!$AR:$AR,$L$2)</f>
        <v>0</v>
      </c>
      <c r="R461" s="243"/>
      <c r="S461" s="266">
        <f t="shared" si="73"/>
        <v>936.05000000000018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619.72</v>
      </c>
      <c r="M462" s="243"/>
      <c r="N462" s="266"/>
      <c r="O462" s="243"/>
      <c r="P462" s="38"/>
      <c r="Q462" s="266">
        <f>SUMIFS(BV_Data_An_Prec!$AM:$AM,BV_Data_An_Prec!$AP:$AP,$B462,BV_Data_An_Prec!$AQ:$AQ,$C462,BV_Data_An_Prec!$AR:$AR,$L$2)</f>
        <v>0</v>
      </c>
      <c r="R462" s="243"/>
      <c r="S462" s="266">
        <f t="shared" si="73"/>
        <v>619.72</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0.20324475044274767</v>
      </c>
      <c r="L464" s="294">
        <f>+SUM(L452:L463)</f>
        <v>10560.520000000002</v>
      </c>
      <c r="M464" s="296"/>
      <c r="N464" s="294"/>
      <c r="O464" s="295" t="s">
        <v>115</v>
      </c>
      <c r="P464" s="293">
        <f>IFERROR(Q464/Q$448,0)</f>
        <v>0</v>
      </c>
      <c r="Q464" s="294">
        <f>+SUM(Q452:Q463)</f>
        <v>0</v>
      </c>
      <c r="R464" s="297"/>
      <c r="S464" s="294">
        <f t="shared" si="73"/>
        <v>10560.520000000002</v>
      </c>
      <c r="T464" s="38"/>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8"/>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0.20324475044274767</v>
      </c>
      <c r="L484" s="294">
        <f>L464+L482</f>
        <v>10560.520000000002</v>
      </c>
      <c r="M484" s="296"/>
      <c r="N484" s="294"/>
      <c r="O484" s="295" t="s">
        <v>115</v>
      </c>
      <c r="P484" s="293">
        <f>IFERROR(Q484/Q$448,0)</f>
        <v>0</v>
      </c>
      <c r="Q484" s="294">
        <f>Q464+Q482</f>
        <v>0</v>
      </c>
      <c r="R484" s="297"/>
      <c r="S484" s="294">
        <f>L484-Q484</f>
        <v>10560.520000000002</v>
      </c>
      <c r="T484" s="38"/>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41399.100000000006</v>
      </c>
      <c r="M486" s="958"/>
      <c r="N486" s="956"/>
      <c r="O486" s="957"/>
      <c r="P486" s="955"/>
      <c r="Q486" s="956">
        <f>Q448-Q484</f>
        <v>48143.309999999983</v>
      </c>
      <c r="R486" s="959"/>
      <c r="S486" s="956">
        <f>L486-Q486</f>
        <v>-6744.2099999999773</v>
      </c>
      <c r="T486" s="38"/>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8"/>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0" t="s">
        <v>592</v>
      </c>
      <c r="Y491" s="1278"/>
      <c r="Z491" s="1281"/>
      <c r="AA491" s="1277"/>
      <c r="AB491" s="1278"/>
      <c r="AC491" s="1281"/>
      <c r="AD491" s="1277" t="s">
        <v>340</v>
      </c>
      <c r="AE491" s="1278"/>
      <c r="AF491" s="1281"/>
      <c r="AG491" s="1277" t="s">
        <v>668</v>
      </c>
      <c r="AH491" s="1278"/>
      <c r="AI491" s="1281"/>
      <c r="AJ491" s="1277" t="s">
        <v>593</v>
      </c>
      <c r="AK491" s="1278"/>
      <c r="AL491" s="1278"/>
      <c r="AM491" s="1277" t="s">
        <v>594</v>
      </c>
      <c r="AN491" s="1278"/>
      <c r="AO491" s="127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13254134.389999993</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3.4708514072943314E-2</v>
      </c>
      <c r="AE494" s="393"/>
      <c r="AF494" s="391">
        <f>L27+L109+L182+L268+L326+L390+L448</f>
        <v>460031.30999999674</v>
      </c>
      <c r="AG494" s="392"/>
      <c r="AH494" s="393" t="e">
        <f>AF494-Z494</f>
        <v>#N/A</v>
      </c>
      <c r="AI494" s="394" t="e">
        <f>AH494/Z494</f>
        <v>#N/A</v>
      </c>
      <c r="AJ494" s="754">
        <f>AL494/AL493</f>
        <v>4.2011977298220475E-2</v>
      </c>
      <c r="AK494" s="393"/>
      <c r="AL494" s="391">
        <f>Q27+Q109+Q182+Q268+Q326+Q390+Q448</f>
        <v>789154.20999998925</v>
      </c>
      <c r="AM494" s="395"/>
      <c r="AN494" s="393">
        <f>AF494-AL494</f>
        <v>-329122.89999999251</v>
      </c>
      <c r="AO494" s="396">
        <f>IF(AL494=0,0,AN494/AL494)</f>
        <v>-0.41705777632485419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652.35577464788662</v>
      </c>
      <c r="AF496" s="399">
        <f t="shared" ref="AF496:AF502" si="76">+SUMIF($C:$C,$V496,L:L)</f>
        <v>46317.259999999951</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-474.10464201878017</v>
      </c>
      <c r="AN496" s="401">
        <f>AF496-AL496</f>
        <v>-61822.940000000061</v>
      </c>
      <c r="AO496" s="408">
        <f>IF(AL496=0,0,AN496/AL496)</f>
        <v>-0.57169248808491246</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168.86859154929584</v>
      </c>
      <c r="AF497" s="383">
        <f t="shared" si="76"/>
        <v>11989.670000000006</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-50.298179284037388</v>
      </c>
      <c r="AN497" s="385">
        <f t="shared" ref="AN497:AN504" si="83">AF497-AL497</f>
        <v>-9050.3399999999856</v>
      </c>
      <c r="AO497" s="388">
        <f t="shared" ref="AO497:AO504" si="84">IF(AL497=0,0,AN497/AL497)</f>
        <v>-0.43014903510026797</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-136.09746478873208</v>
      </c>
      <c r="AF498" s="399">
        <f t="shared" si="76"/>
        <v>-9662.9199999999782</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103.0313893779346</v>
      </c>
      <c r="AN498" s="401">
        <f t="shared" si="83"/>
        <v>13293.450000000024</v>
      </c>
      <c r="AO498" s="408">
        <f t="shared" si="84"/>
        <v>-0.57907456623150888</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14.297183098591555</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5.3227039319248917</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42.533521126760562</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42.533521126760562</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195.44478873239439</v>
      </c>
      <c r="AF501" s="399">
        <f t="shared" si="76"/>
        <v>13876.580000000002</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6.737080399061</v>
      </c>
      <c r="AN501" s="401">
        <f t="shared" si="83"/>
        <v>-4239.3600000000042</v>
      </c>
      <c r="AO501" s="408">
        <f t="shared" si="84"/>
        <v>-0.23401269820942236</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-593.55197183098596</v>
      </c>
      <c r="AF502" s="399">
        <f t="shared" si="76"/>
        <v>-42142.19</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-1606.1887426643193</v>
      </c>
      <c r="AN502" s="401">
        <f t="shared" si="83"/>
        <v>-139355.32</v>
      </c>
      <c r="AO502" s="408">
        <f t="shared" si="84"/>
        <v>-1.4335030669211042</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-932.2076056338027</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188.27249853286241</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0</v>
      </c>
      <c r="AF504" s="399">
        <f>IFERROR(SUMIF($C:$C,$V504,L:L),0)</f>
        <v>0</v>
      </c>
      <c r="AG504" s="400" t="e">
        <f t="shared" si="77"/>
        <v>#N/A</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-9.0805471479757136E-2</v>
      </c>
      <c r="AE506" s="419"/>
      <c r="AF506" s="416">
        <f>SUM(AF496:AF505)</f>
        <v>-41773.360000000015</v>
      </c>
      <c r="AG506" s="418"/>
      <c r="AH506" s="419" t="e">
        <f t="shared" ref="AH506:AH538" si="88">AF506-Z506</f>
        <v>#N/A</v>
      </c>
      <c r="AI506" s="415" t="e">
        <f>AH506/Z506</f>
        <v>#N/A</v>
      </c>
      <c r="AJ506" s="417">
        <f>AL506/AL494</f>
        <v>0.14553349465119336</v>
      </c>
      <c r="AK506" s="419"/>
      <c r="AL506" s="416">
        <f>SUM(AL496:AL505)</f>
        <v>114848.37000000017</v>
      </c>
      <c r="AM506" s="423"/>
      <c r="AN506" s="419">
        <f t="shared" si="86"/>
        <v>-156621.73000000019</v>
      </c>
      <c r="AO506" s="396">
        <f t="shared" si="87"/>
        <v>-1.3637261895837089</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10096.169999999998</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1623.1899999999841</v>
      </c>
      <c r="AO507" s="408">
        <f t="shared" si="87"/>
        <v>0.19157250459696371</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21226.21</v>
      </c>
      <c r="AG508" s="400"/>
      <c r="AH508" s="401" t="e">
        <f t="shared" si="88"/>
        <v>#N/A</v>
      </c>
      <c r="AI508" s="402" t="e">
        <f t="shared" si="89"/>
        <v>#N/A</v>
      </c>
      <c r="AJ508" s="407"/>
      <c r="AK508" s="406"/>
      <c r="AL508" s="399">
        <f>SUMIFS(BV_Data_An_Prec!$AM:$AM,BV_Data_An_Prec!$AQ:$AQ,$V508)</f>
        <v>69414.170000000042</v>
      </c>
      <c r="AM508" s="403"/>
      <c r="AN508" s="401">
        <f t="shared" si="86"/>
        <v>-48187.960000000043</v>
      </c>
      <c r="AO508" s="408">
        <f t="shared" si="87"/>
        <v>-0.69420926591789567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16748.059999999994</v>
      </c>
      <c r="AG509" s="384"/>
      <c r="AH509" s="385" t="e">
        <f t="shared" si="88"/>
        <v>#N/A</v>
      </c>
      <c r="AI509" s="412" t="e">
        <f t="shared" si="89"/>
        <v>#N/A</v>
      </c>
      <c r="AJ509" s="411"/>
      <c r="AK509" s="410"/>
      <c r="AL509" s="383">
        <f>SUMIFS(BV_Data_An_Prec!$AM:$AM,BV_Data_An_Prec!$AQ:$AQ,$V509)</f>
        <v>74596.130000000048</v>
      </c>
      <c r="AM509" s="387"/>
      <c r="AN509" s="385">
        <f t="shared" si="86"/>
        <v>-57848.070000000051</v>
      </c>
      <c r="AO509" s="388">
        <f t="shared" si="87"/>
        <v>-0.7754835270945023</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15435.089999999998</v>
      </c>
      <c r="AG510" s="400"/>
      <c r="AH510" s="401" t="e">
        <f t="shared" si="88"/>
        <v>#N/A</v>
      </c>
      <c r="AI510" s="402" t="e">
        <f t="shared" si="89"/>
        <v>#N/A</v>
      </c>
      <c r="AJ510" s="407"/>
      <c r="AK510" s="406"/>
      <c r="AL510" s="399">
        <f>SUMIFS(BV_Data_An_Prec!$AM:$AM,BV_Data_An_Prec!$AQ:$AQ,$V510)</f>
        <v>90767.849999999962</v>
      </c>
      <c r="AM510" s="403"/>
      <c r="AN510" s="401">
        <f t="shared" si="86"/>
        <v>-75332.759999999966</v>
      </c>
      <c r="AO510" s="408">
        <f t="shared" si="87"/>
        <v>-0.82994981152467528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5670</v>
      </c>
      <c r="AG511" s="400"/>
      <c r="AH511" s="401" t="e">
        <f t="shared" si="88"/>
        <v>#N/A</v>
      </c>
      <c r="AI511" s="402" t="e">
        <f t="shared" si="89"/>
        <v>#N/A</v>
      </c>
      <c r="AJ511" s="407"/>
      <c r="AK511" s="406"/>
      <c r="AL511" s="399">
        <f>SUMIFS(BV_Data_An_Prec!$AM:$AM,BV_Data_An_Prec!$AQ:$AQ,$V511)</f>
        <v>0</v>
      </c>
      <c r="AM511" s="403"/>
      <c r="AN511" s="401">
        <f t="shared" si="86"/>
        <v>5670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13877.879999999988</v>
      </c>
      <c r="AG515" s="384"/>
      <c r="AH515" s="385" t="e">
        <f t="shared" si="88"/>
        <v>#N/A</v>
      </c>
      <c r="AI515" s="412" t="e">
        <f t="shared" si="89"/>
        <v>#N/A</v>
      </c>
      <c r="AJ515" s="411"/>
      <c r="AK515" s="410"/>
      <c r="AL515" s="383">
        <f>SUMIFS(BV_Data_An_Prec!$AM:$AM,BV_Data_An_Prec!$AQ:$AQ,$V515)</f>
        <v>17647.25</v>
      </c>
      <c r="AM515" s="387"/>
      <c r="AN515" s="385">
        <f t="shared" si="86"/>
        <v>-3769.3700000000117</v>
      </c>
      <c r="AO515" s="388">
        <f t="shared" si="87"/>
        <v>-0.21359531938404067</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29802.980000000003</v>
      </c>
      <c r="AG516" s="400"/>
      <c r="AH516" s="401" t="e">
        <f t="shared" si="88"/>
        <v>#N/A</v>
      </c>
      <c r="AI516" s="402" t="e">
        <f t="shared" si="89"/>
        <v>#N/A</v>
      </c>
      <c r="AJ516" s="407"/>
      <c r="AK516" s="406"/>
      <c r="AL516" s="399">
        <f>SUMIFS(BV_Data_An_Prec!$AM:$AM,BV_Data_An_Prec!$AQ:$AQ,$V516)</f>
        <v>45059.379999999976</v>
      </c>
      <c r="AM516" s="403"/>
      <c r="AN516" s="401">
        <f t="shared" si="86"/>
        <v>-15256.399999999972</v>
      </c>
      <c r="AO516" s="408">
        <f t="shared" si="87"/>
        <v>-0.33858433027706952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6962.7799999999988</v>
      </c>
      <c r="AG517" s="400"/>
      <c r="AH517" s="401" t="e">
        <f t="shared" si="88"/>
        <v>#N/A</v>
      </c>
      <c r="AI517" s="402" t="e">
        <f t="shared" si="89"/>
        <v>#N/A</v>
      </c>
      <c r="AJ517" s="407"/>
      <c r="AK517" s="406"/>
      <c r="AL517" s="399">
        <f>SUMIFS(BV_Data_An_Prec!$AM:$AM,BV_Data_An_Prec!$AQ:$AQ,$V517)</f>
        <v>21241.299999999988</v>
      </c>
      <c r="AM517" s="403"/>
      <c r="AN517" s="401">
        <f t="shared" si="86"/>
        <v>-14278.51999999999</v>
      </c>
      <c r="AO517" s="408">
        <f t="shared" si="87"/>
        <v>-0.67220556180648061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13335.329999999996</v>
      </c>
      <c r="AG518" s="400"/>
      <c r="AH518" s="401" t="e">
        <f t="shared" si="88"/>
        <v>#N/A</v>
      </c>
      <c r="AI518" s="420" t="e">
        <f t="shared" si="89"/>
        <v>#N/A</v>
      </c>
      <c r="AJ518" s="407"/>
      <c r="AK518" s="406"/>
      <c r="AL518" s="399">
        <f>SUMIFS(BV_Data_An_Prec!$AM:$AM,BV_Data_An_Prec!$AQ:$AQ,$V518)</f>
        <v>1095.6000000000008</v>
      </c>
      <c r="AM518" s="403"/>
      <c r="AN518" s="401">
        <f t="shared" si="86"/>
        <v>12239.729999999996</v>
      </c>
      <c r="AO518" s="408">
        <f t="shared" si="87"/>
        <v>11.171714129244238</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0.28944660310186476</v>
      </c>
      <c r="AE520" s="421"/>
      <c r="AF520" s="416">
        <f>SUM(AF507:AF519)</f>
        <v>133154.49999999997</v>
      </c>
      <c r="AG520" s="418"/>
      <c r="AH520" s="419" t="e">
        <f t="shared" si="88"/>
        <v>#N/A</v>
      </c>
      <c r="AI520" s="415" t="e">
        <f>AH520/Z520</f>
        <v>#N/A</v>
      </c>
      <c r="AJ520" s="417">
        <f>AL520/AL494</f>
        <v>0.41600824761487926</v>
      </c>
      <c r="AK520" s="421"/>
      <c r="AL520" s="416">
        <f>SUM(AL507:AL519)</f>
        <v>328294.65999999997</v>
      </c>
      <c r="AM520" s="423"/>
      <c r="AN520" s="419">
        <f t="shared" si="86"/>
        <v>-195140.16</v>
      </c>
      <c r="AO520" s="396">
        <f t="shared" si="87"/>
        <v>-0.59440552581635053</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2631.9400000000005</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-409.23999999999978</v>
      </c>
      <c r="AO521" s="404">
        <f t="shared" si="87"/>
        <v>-0.1345661881243464</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3990.6000000000022</v>
      </c>
      <c r="AG522" s="400"/>
      <c r="AH522" s="401" t="e">
        <f t="shared" si="88"/>
        <v>#N/A</v>
      </c>
      <c r="AI522" s="402" t="e">
        <f t="shared" si="92"/>
        <v>#N/A</v>
      </c>
      <c r="AJ522" s="407"/>
      <c r="AK522" s="406"/>
      <c r="AL522" s="399">
        <f>SUMIFS(BV_Data_An_Prec!$AM:$AM,BV_Data_An_Prec!$AQ:$AQ,$V522)</f>
        <v>587.54000000000087</v>
      </c>
      <c r="AM522" s="403"/>
      <c r="AN522" s="401">
        <f t="shared" si="86"/>
        <v>3403.0600000000013</v>
      </c>
      <c r="AO522" s="408">
        <f t="shared" si="87"/>
        <v>5.7920482009735448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2163.1800000000076</v>
      </c>
      <c r="AG523" s="384"/>
      <c r="AH523" s="385" t="e">
        <f t="shared" si="88"/>
        <v>#N/A</v>
      </c>
      <c r="AI523" s="412" t="e">
        <f t="shared" si="92"/>
        <v>#N/A</v>
      </c>
      <c r="AJ523" s="411"/>
      <c r="AK523" s="410"/>
      <c r="AL523" s="383">
        <f>SUMIFS(BV_Data_An_Prec!$AM:$AM,BV_Data_An_Prec!$AQ:$AQ,$V523)</f>
        <v>-24.409999999995307</v>
      </c>
      <c r="AM523" s="387"/>
      <c r="AN523" s="385">
        <f t="shared" si="86"/>
        <v>2187.5900000000029</v>
      </c>
      <c r="AO523" s="388">
        <f t="shared" si="87"/>
        <v>-89.618598934880112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11762.03</v>
      </c>
      <c r="AG524" s="400"/>
      <c r="AH524" s="401" t="e">
        <f t="shared" si="88"/>
        <v>#N/A</v>
      </c>
      <c r="AI524" s="402" t="e">
        <f t="shared" si="92"/>
        <v>#N/A</v>
      </c>
      <c r="AJ524" s="407"/>
      <c r="AK524" s="406"/>
      <c r="AL524" s="399">
        <f>SUMIFS(BV_Data_An_Prec!$AM:$AM,BV_Data_An_Prec!$AQ:$AQ,$V524)</f>
        <v>14283.7</v>
      </c>
      <c r="AM524" s="403"/>
      <c r="AN524" s="401">
        <f t="shared" si="86"/>
        <v>-2521.67</v>
      </c>
      <c r="AO524" s="408">
        <f t="shared" si="87"/>
        <v>-0.17654179239272738</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1562.5699999999997</v>
      </c>
      <c r="AG525" s="400"/>
      <c r="AH525" s="401" t="e">
        <f t="shared" si="88"/>
        <v>#N/A</v>
      </c>
      <c r="AI525" s="402" t="e">
        <f t="shared" si="92"/>
        <v>#N/A</v>
      </c>
      <c r="AJ525" s="407"/>
      <c r="AK525" s="406"/>
      <c r="AL525" s="399">
        <f>SUMIFS(BV_Data_An_Prec!$AM:$AM,BV_Data_An_Prec!$AQ:$AQ,$V525)</f>
        <v>2338.5599999999995</v>
      </c>
      <c r="AM525" s="403"/>
      <c r="AN525" s="401">
        <f t="shared" si="86"/>
        <v>-775.98999999999978</v>
      </c>
      <c r="AO525" s="408">
        <f t="shared" si="87"/>
        <v>-0.33182385741652981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17988.589999999997</v>
      </c>
      <c r="AG526" s="400"/>
      <c r="AH526" s="401" t="e">
        <f t="shared" si="88"/>
        <v>#N/A</v>
      </c>
      <c r="AI526" s="402" t="e">
        <f t="shared" si="92"/>
        <v>#N/A</v>
      </c>
      <c r="AJ526" s="407"/>
      <c r="AK526" s="406"/>
      <c r="AL526" s="399">
        <f>SUMIFS(BV_Data_An_Prec!$AM:$AM,BV_Data_An_Prec!$AQ:$AQ,$V526)</f>
        <v>26741.979999999989</v>
      </c>
      <c r="AM526" s="403"/>
      <c r="AN526" s="401">
        <f t="shared" si="86"/>
        <v>-8753.3899999999921</v>
      </c>
      <c r="AO526" s="408">
        <f t="shared" si="87"/>
        <v>-0.32732766982848677</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3143.4100000000012</v>
      </c>
      <c r="AG530" s="400"/>
      <c r="AH530" s="401" t="e">
        <f t="shared" si="88"/>
        <v>#N/A</v>
      </c>
      <c r="AI530" s="402" t="e">
        <f t="shared" si="92"/>
        <v>#N/A</v>
      </c>
      <c r="AJ530" s="407"/>
      <c r="AK530" s="406"/>
      <c r="AL530" s="399">
        <f>SUMIFS(BV_Data_An_Prec!$AM:$AM,BV_Data_An_Prec!$AQ:$AQ,$V530)</f>
        <v>5635.1900000000023</v>
      </c>
      <c r="AM530" s="403"/>
      <c r="AN530" s="401">
        <f t="shared" si="86"/>
        <v>-2491.7800000000011</v>
      </c>
      <c r="AO530" s="408">
        <f t="shared" si="87"/>
        <v>-0.44218207371889856</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1642.8700000000001</v>
      </c>
      <c r="AG531" s="400"/>
      <c r="AH531" s="401" t="e">
        <f t="shared" si="88"/>
        <v>#N/A</v>
      </c>
      <c r="AI531" s="420" t="e">
        <f t="shared" si="92"/>
        <v>#N/A</v>
      </c>
      <c r="AJ531" s="407"/>
      <c r="AK531" s="406"/>
      <c r="AL531" s="399">
        <f>SUMIFS(BV_Data_An_Prec!$AM:$AM,BV_Data_An_Prec!$AQ:$AQ,$V531)</f>
        <v>3287.599999999999</v>
      </c>
      <c r="AM531" s="403"/>
      <c r="AN531" s="401">
        <f t="shared" si="86"/>
        <v>-1644.7299999999989</v>
      </c>
      <c r="AO531" s="408">
        <f t="shared" si="87"/>
        <v>-0.50028288112909092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9312.18</v>
      </c>
      <c r="AG533" s="400"/>
      <c r="AH533" s="401" t="e">
        <f t="shared" si="88"/>
        <v>#N/A</v>
      </c>
      <c r="AI533" s="420" t="e">
        <f t="shared" si="92"/>
        <v>#N/A</v>
      </c>
      <c r="AJ533" s="407"/>
      <c r="AK533" s="406"/>
      <c r="AL533" s="399">
        <f>SUMIFS(BV_Data_An_Prec!$AM:$AM,BV_Data_An_Prec!$AQ:$AQ,$V533)</f>
        <v>12188.220000000001</v>
      </c>
      <c r="AM533" s="403"/>
      <c r="AN533" s="401">
        <f t="shared" si="86"/>
        <v>-2876.0400000000009</v>
      </c>
      <c r="AO533" s="408">
        <f t="shared" si="87"/>
        <v>-0.23596882891841472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933.04999999999927</v>
      </c>
      <c r="AG535" s="400"/>
      <c r="AH535" s="659" t="e">
        <f t="shared" si="88"/>
        <v>#N/A</v>
      </c>
      <c r="AI535" s="402" t="e">
        <f t="shared" si="92"/>
        <v>#N/A</v>
      </c>
      <c r="AJ535" s="407"/>
      <c r="AK535" s="406"/>
      <c r="AL535" s="399">
        <f>SUMIFS(BV_Data_An_Prec!$AM:$AM,BV_Data_An_Prec!$AQ:$AQ,$V535)</f>
        <v>994.98999999999933</v>
      </c>
      <c r="AM535" s="403"/>
      <c r="AN535" s="401">
        <f t="shared" si="86"/>
        <v>-61.940000000000055</v>
      </c>
      <c r="AO535" s="408">
        <f t="shared" si="87"/>
        <v>-6.2251881928461691E-2</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0.15685478016702933</v>
      </c>
      <c r="AE539" s="414"/>
      <c r="AF539" s="416">
        <f>+SUM(AF521:AF538)</f>
        <v>72158.110000000015</v>
      </c>
      <c r="AG539" s="422"/>
      <c r="AH539" s="435" t="e">
        <f>+SUM(AH521:AH538)</f>
        <v>#N/A</v>
      </c>
      <c r="AI539" s="415" t="e">
        <f>AH539/Z539</f>
        <v>#N/A</v>
      </c>
      <c r="AJ539" s="417">
        <f>AL539/AL494</f>
        <v>0.10510606032248264</v>
      </c>
      <c r="AK539" s="414"/>
      <c r="AL539" s="416">
        <f>+SUM(AL521:AL538)</f>
        <v>82944.89</v>
      </c>
      <c r="AM539" s="423"/>
      <c r="AN539" s="419">
        <f t="shared" si="86"/>
        <v>-10786.779999999984</v>
      </c>
      <c r="AO539" s="436">
        <f t="shared" si="87"/>
        <v>-0.13004755326096623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71050</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-75122.649999999994</v>
      </c>
      <c r="AO540" s="408">
        <f t="shared" si="87"/>
        <v>-0.51393095767231423</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665.07000000000085</v>
      </c>
      <c r="AG548" s="400"/>
      <c r="AH548" s="401" t="e">
        <f t="shared" si="94"/>
        <v>#N/A</v>
      </c>
      <c r="AI548" s="439" t="e">
        <f t="shared" si="95"/>
        <v>#N/A</v>
      </c>
      <c r="AJ548" s="407"/>
      <c r="AK548" s="406"/>
      <c r="AL548" s="399">
        <f>SUMIFS(BV_Data_An_Prec!$AM:$AM,BV_Data_An_Prec!$AQ:$AQ,$V548)</f>
        <v>158.19999999999973</v>
      </c>
      <c r="AM548" s="403"/>
      <c r="AN548" s="401">
        <f t="shared" si="86"/>
        <v>506.87000000000114</v>
      </c>
      <c r="AO548" s="408">
        <f t="shared" si="87"/>
        <v>3.2039823008849684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0.27116221719778355</v>
      </c>
      <c r="AE553" s="414"/>
      <c r="AF553" s="416">
        <f>SUM(AF540:AF552)</f>
        <v>124743.11</v>
      </c>
      <c r="AG553" s="422"/>
      <c r="AH553" s="435" t="e">
        <f>SUM(AH540:AH552)</f>
        <v>#N/A</v>
      </c>
      <c r="AI553" s="415" t="e">
        <f>IF(Z553=0,0,AH553/Z553)</f>
        <v>#N/A</v>
      </c>
      <c r="AJ553" s="417">
        <f>AL553/AL494</f>
        <v>0.25450707536617301</v>
      </c>
      <c r="AK553" s="414"/>
      <c r="AL553" s="416">
        <f>SUM(AL540:AL552)</f>
        <v>200845.33</v>
      </c>
      <c r="AM553" s="423"/>
      <c r="AN553" s="419">
        <f t="shared" si="86"/>
        <v>-76102.219999999987</v>
      </c>
      <c r="AO553" s="436">
        <f t="shared" si="87"/>
        <v>-0.3789095818160173</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0.62665812898692053</v>
      </c>
      <c r="AE555" s="414"/>
      <c r="AF555" s="416">
        <f>AF506+AF520+AF539+AF553</f>
        <v>288282.36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-438650.89000000013</v>
      </c>
      <c r="AO555" s="396">
        <f t="shared" ref="AO555:AO568" si="98">IF(AL555=0,0,AN555/AL555)</f>
        <v>-0.6034266419922325</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6.680000000000291</v>
      </c>
      <c r="AG556" s="446"/>
      <c r="AH556" s="401" t="e">
        <f t="shared" si="96"/>
        <v>#N/A</v>
      </c>
      <c r="AI556" s="439" t="e">
        <f>IF(AH556=0,0,AH556/Z556)</f>
        <v>#N/A</v>
      </c>
      <c r="AJ556" s="445"/>
      <c r="AK556" s="444"/>
      <c r="AL556" s="426">
        <f>-SUMIFS(BV_Data_An_Prec!$AM:$AM,BV_Data_An_Prec!$AQ:$AQ,$V556)</f>
        <v>-19182.250000000036</v>
      </c>
      <c r="AM556" s="447"/>
      <c r="AN556" s="401">
        <f t="shared" si="97"/>
        <v>19188.930000000037</v>
      </c>
      <c r="AO556" s="408">
        <f t="shared" si="98"/>
        <v>-1.000348238606003</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34175</v>
      </c>
      <c r="AG558" s="450"/>
      <c r="AH558" s="401" t="e">
        <f t="shared" si="96"/>
        <v>#N/A</v>
      </c>
      <c r="AI558" s="420" t="e">
        <f t="shared" ref="AI558:AI567" si="101">IF(AH558=0,0,AH558/Z558)</f>
        <v>#N/A</v>
      </c>
      <c r="AJ558" s="451"/>
      <c r="AL558" s="399">
        <f>-SUMIFS(BV_Data_An_Prec!$AM:$AM,BV_Data_An_Prec!$AQ:$AQ,$V558)</f>
        <v>25446.580000000016</v>
      </c>
      <c r="AM558" s="448"/>
      <c r="AN558" s="401">
        <f t="shared" si="97"/>
        <v>8728.4199999999837</v>
      </c>
      <c r="AO558" s="408">
        <f t="shared" si="98"/>
        <v>0.34300955177473663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42.411503006012019</v>
      </c>
      <c r="AE567" s="437">
        <f>(AF567/399)/(J13+J15+J97)</f>
        <v>0.74705566733735729</v>
      </c>
      <c r="AF567" s="399">
        <f>+SUMIF($C:$C,$V567,L:L)</f>
        <v>21163.339999999997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21163.339999999997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0.12030707214254698</v>
      </c>
      <c r="AE568" s="434"/>
      <c r="AF568" s="416">
        <f>SUM(AF556:AF567)</f>
        <v>55345.02</v>
      </c>
      <c r="AG568" s="422"/>
      <c r="AH568" s="419" t="e">
        <f t="shared" si="96"/>
        <v>#N/A</v>
      </c>
      <c r="AI568" s="415" t="e">
        <f>AH568/Z568</f>
        <v>#N/A</v>
      </c>
      <c r="AJ568" s="415">
        <f>AL568/+AL494</f>
        <v>7.9380302615379393E-3</v>
      </c>
      <c r="AK568" s="434"/>
      <c r="AL568" s="416">
        <f>SUM(AL556:AL567)</f>
        <v>6264.3299999999799</v>
      </c>
      <c r="AM568" s="453"/>
      <c r="AN568" s="419">
        <f t="shared" si="97"/>
        <v>49080.690000000017</v>
      </c>
      <c r="AO568" s="436">
        <f t="shared" si="98"/>
        <v>7.8349464348142854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1.7133821290610654E-2</v>
      </c>
      <c r="AF570" s="468">
        <f>AF494-AF555+AF568</f>
        <v>227093.96999999674</v>
      </c>
      <c r="AG570" s="470"/>
      <c r="AH570" s="470" t="e">
        <f>AF570-Z570</f>
        <v>#N/A</v>
      </c>
      <c r="AI570" s="471" t="e">
        <f>AH570/Z570</f>
        <v>#N/A</v>
      </c>
      <c r="AJ570" s="466" t="s">
        <v>215</v>
      </c>
      <c r="AK570" s="467">
        <f>AL570/AL493</f>
        <v>3.6459318245816975E-3</v>
      </c>
      <c r="AL570" s="468">
        <f>AL494-AL555+AL568</f>
        <v>68485.289999989123</v>
      </c>
      <c r="AM570" s="472"/>
      <c r="AN570" s="469">
        <f>AF570-AL570</f>
        <v>158608.68000000762</v>
      </c>
      <c r="AO570" s="473">
        <f>IF(AL570=0,0,AN570/AL570)</f>
        <v>2.3159525206074592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1.3954270762452774E-2</v>
      </c>
      <c r="AF575" s="752">
        <f>AF576+AF502</f>
        <v>184951.77999999674</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19253.360000007611</v>
      </c>
      <c r="AO575" s="753">
        <f t="shared" ref="AO575:AO585" si="104">IF(AL575=0,0,AN575/AL575)</f>
        <v>0.11619519365368043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1.7133821290610654E-2</v>
      </c>
      <c r="AF576" s="468">
        <f>AF570</f>
        <v>227093.96999999674</v>
      </c>
      <c r="AG576" s="469"/>
      <c r="AH576" s="470" t="e">
        <f>AF576-Z576</f>
        <v>#N/A</v>
      </c>
      <c r="AI576" s="471" t="e">
        <f>AH576/Z576</f>
        <v>#N/A</v>
      </c>
      <c r="AJ576" s="466" t="s">
        <v>215</v>
      </c>
      <c r="AK576" s="467">
        <f>IF($AL$493=0,0,AL576/$AL$493)</f>
        <v>3.6459318245816975E-3</v>
      </c>
      <c r="AL576" s="468">
        <f>AL570</f>
        <v>68485.289999989123</v>
      </c>
      <c r="AM576" s="474"/>
      <c r="AN576" s="475">
        <f t="shared" si="103"/>
        <v>158608.68000000762</v>
      </c>
      <c r="AO576" s="476">
        <f t="shared" si="104"/>
        <v>2.3159525206074592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0</v>
      </c>
      <c r="AG580" s="35"/>
      <c r="AH580" s="401" t="e">
        <f t="shared" si="105"/>
        <v>#N/A</v>
      </c>
      <c r="AI580" s="420" t="e">
        <f t="shared" si="106"/>
        <v>#N/A</v>
      </c>
      <c r="AJ580" s="35"/>
      <c r="AK580" s="38"/>
      <c r="AL580" s="399">
        <f>SUMIFS(BV_Data_An_Prec!$AM:$AM,BV_Data_An_Prec!$AQ:$AQ,$V580)</f>
        <v>0</v>
      </c>
      <c r="AM580" s="480"/>
      <c r="AN580" s="401">
        <f t="shared" si="103"/>
        <v>0</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1.6318226723517994E-2</v>
      </c>
      <c r="AF585" s="468">
        <f>AF576-AF578-AF579-AF580-AF584-AF583</f>
        <v>216283.96999999674</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158588.81000000762</v>
      </c>
      <c r="AO585" s="482">
        <f t="shared" si="104"/>
        <v>2.7487368091194742</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259825.55</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43541.580000003247</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J585" sqref="AJ585"/>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0" t="s">
        <v>339</v>
      </c>
      <c r="E3" s="1271"/>
      <c r="F3" s="1272"/>
      <c r="G3" s="1275"/>
      <c r="H3" s="1271"/>
      <c r="I3" s="1272"/>
      <c r="J3" s="1275" t="s">
        <v>340</v>
      </c>
      <c r="K3" s="1271"/>
      <c r="L3" s="1272"/>
      <c r="M3" s="1275" t="s">
        <v>668</v>
      </c>
      <c r="N3" s="1272"/>
      <c r="O3" s="1270" t="s">
        <v>341</v>
      </c>
      <c r="P3" s="1271"/>
      <c r="Q3" s="1272"/>
      <c r="R3" s="1273" t="s">
        <v>670</v>
      </c>
      <c r="S3" s="1274"/>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85569491.239999995</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237</v>
      </c>
      <c r="K7" s="281">
        <f t="shared" si="3"/>
        <v>2606.926793248942</v>
      </c>
      <c r="L7" s="266">
        <f>-SUMIFS(BV_Data_An_Cour!$AN:$AN,BV_Data_An_Cour!$AP:$AP,$B7,BV_Data_An_Cour!$AQ:$AQ,$C7,BV_Data_An_Cour!$AR:$AR,L$2)</f>
        <v>617841.64999999921</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-152</v>
      </c>
      <c r="S7" s="266">
        <f t="shared" si="8"/>
        <v>-580601.44999999925</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109</v>
      </c>
      <c r="K9" s="281">
        <f t="shared" si="3"/>
        <v>1331.711743119268</v>
      </c>
      <c r="L9" s="266">
        <f>-SUMIFS(BV_Data_An_Cour!$AN:$AN,BV_Data_An_Cour!$AP:$AP,$B9,BV_Data_An_Cour!$AQ:$AQ,$C9,BV_Data_An_Cour!$AR:$AR,L$2)</f>
        <v>145156.58000000022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-22</v>
      </c>
      <c r="S9" s="266">
        <f t="shared" si="8"/>
        <v>-7995.6900000001478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350</v>
      </c>
      <c r="K13" s="355">
        <f>IF(J13&lt;=0,0,L13/J13)</f>
        <v>2214.5849714285696</v>
      </c>
      <c r="L13" s="356">
        <f>+SUM(L6:L12)</f>
        <v>775104.73999999941</v>
      </c>
      <c r="M13" s="252" t="e">
        <f>+SUM(M6:M12)</f>
        <v>#N/A</v>
      </c>
      <c r="N13" s="251" t="e">
        <f t="shared" ref="N13" si="10">+SUM(N6:N12)</f>
        <v>#N/A</v>
      </c>
      <c r="O13" s="252">
        <f>+SUM(O6:O12)</f>
        <v>527</v>
      </c>
      <c r="P13" s="355">
        <f>IF(O13&lt;=0,0,Q13/O13)</f>
        <v>2631.9317267552165</v>
      </c>
      <c r="Q13" s="356">
        <f>+SUM(Q6:Q12)</f>
        <v>1387028.0199999991</v>
      </c>
      <c r="R13" s="252">
        <f t="shared" ref="R13" si="11">+SUM(R6:R12)</f>
        <v>-177</v>
      </c>
      <c r="S13" s="356">
        <f>+SUM(S6:S12)</f>
        <v>-611923.27999999945</v>
      </c>
      <c r="T13" s="38"/>
      <c r="U13" s="338">
        <f>1-(J13/O13)</f>
        <v>0.33586337760910812</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-0.33586337760910817</v>
      </c>
      <c r="S14" s="255">
        <f>IF(Q13=0,0,(S13/Q13))</f>
        <v>-0.4411758603117476</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940</v>
      </c>
      <c r="K17" s="281">
        <f>IF(J17=0,0,L17/J17)</f>
        <v>543.97879787234069</v>
      </c>
      <c r="L17" s="266">
        <f>-SUMIFS(BV_Data_An_Cour!$AN:$AN,BV_Data_An_Cour!$AP:$AP,$B17,BV_Data_An_Cour!$AQ:$AQ,$C17,BV_Data_An_Cour!$AR:$AR,L$2)</f>
        <v>511340.0700000003</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-230</v>
      </c>
      <c r="S17" s="266">
        <f>L17-Q17</f>
        <v>-210675.58999999613</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63.167314285714291</v>
      </c>
      <c r="L21" s="266">
        <f>-SUMIFS(BV_Data_An_Cour!$AN:$AN,BV_Data_An_Cour!$AP:$AP,$B21,BV_Data_An_Cour!$AQ:$AQ,$C21,BV_Data_An_Cour!$AR:$AR,L$2)</f>
        <v>22108.560000000001</v>
      </c>
      <c r="M21" s="245"/>
      <c r="N21" s="246" t="e">
        <f>L21-F21</f>
        <v>#N/A</v>
      </c>
      <c r="O21" s="245"/>
      <c r="P21" s="281">
        <f>IF(O13=0,0,Q21/(O13+O15))</f>
        <v>10.119032258064514</v>
      </c>
      <c r="Q21" s="266">
        <f>-SUMIFS(BV_Data_An_Prec!$AN:$AN,BV_Data_An_Prec!$AP:$AP,$B21,BV_Data_An_Prec!$AQ:$AQ,$C21,BV_Data_An_Prec!$AR:$AR,Q$2)</f>
        <v>5332.73</v>
      </c>
      <c r="R21" s="267">
        <f>P21-K21</f>
        <v>-53.048282027649776</v>
      </c>
      <c r="S21" s="266">
        <f t="shared" ref="S21:S23" si="12">L21-Q21</f>
        <v>16775.830000000002</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793.37065714285711</v>
      </c>
      <c r="L22" s="266">
        <f>-SUMIFS(BV_Data_An_Cour!$AN:$AN,BV_Data_An_Cour!$AP:$AP,$B22,BV_Data_An_Cour!$AQ:$AQ,$C22,BV_Data_An_Cour!$AR:$AR,L$2)</f>
        <v>277679.73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-116.09915809162362</v>
      </c>
      <c r="S22" s="266">
        <f t="shared" si="12"/>
        <v>-79242.350000000093</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86.488142857142847</v>
      </c>
      <c r="L23" s="266">
        <f>-SUMIFS(BV_Data_An_Cour!$AN:$AN,BV_Data_An_Cour!$AP:$AP,$B23,BV_Data_An_Cour!$AQ:$AQ,$C23,BV_Data_An_Cour!$AR:$AR,L$2)</f>
        <v>30270.85</v>
      </c>
      <c r="M23" s="257"/>
      <c r="N23" s="246" t="e">
        <f>L23-F23</f>
        <v>#N/A</v>
      </c>
      <c r="O23" s="245"/>
      <c r="P23" s="281">
        <f>IF(O13=0,0,Q23/(O13+O15))</f>
        <v>68.6750284629981</v>
      </c>
      <c r="Q23" s="266">
        <f>-SUMIFS(BV_Data_An_Prec!$AN:$AN,BV_Data_An_Prec!$AP:$AP,$B23,BV_Data_An_Prec!$AQ:$AQ,$C23,BV_Data_An_Prec!$AR:$AR,Q$2)</f>
        <v>36191.74</v>
      </c>
      <c r="R23" s="267">
        <f t="shared" si="13"/>
        <v>-17.813114394144748</v>
      </c>
      <c r="S23" s="266">
        <f t="shared" si="12"/>
        <v>-5920.8899999999994</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350</v>
      </c>
      <c r="K24" s="355">
        <f>IF(J24&lt;=0,0,L24/J24)</f>
        <v>943.02611428571413</v>
      </c>
      <c r="L24" s="356">
        <f>L21+L22+L23</f>
        <v>330059.13999999996</v>
      </c>
      <c r="M24" s="265" t="e">
        <f>J24-D24</f>
        <v>#N/A</v>
      </c>
      <c r="N24" s="251" t="e">
        <f>L24-F24</f>
        <v>#N/A</v>
      </c>
      <c r="O24" s="252">
        <f>+O15+O13</f>
        <v>527</v>
      </c>
      <c r="P24" s="355">
        <f>IF(O24&lt;=0,0,Q24/O24)</f>
        <v>756.06555977229607</v>
      </c>
      <c r="Q24" s="356">
        <f>Q21+Q22+Q23</f>
        <v>398446.55000000005</v>
      </c>
      <c r="R24" s="337">
        <f>P24-K24</f>
        <v>-186.96055451341806</v>
      </c>
      <c r="S24" s="356">
        <f>L24-Q24</f>
        <v>-68387.410000000091</v>
      </c>
      <c r="T24" s="38"/>
      <c r="U24" s="1051">
        <f>L24-L32</f>
        <v>227430.28999999995</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-0.17163509133157279</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1290</v>
      </c>
      <c r="K27" s="269">
        <f>IF(J27&lt;=0,0,L27/J27)</f>
        <v>1253.1038372093019</v>
      </c>
      <c r="L27" s="271">
        <f>L13+L17+L24+L19+L15</f>
        <v>1616503.9499999995</v>
      </c>
      <c r="M27" s="272" t="e">
        <f>J27-D27</f>
        <v>#N/A</v>
      </c>
      <c r="N27" s="271" t="e">
        <f>L27-F27</f>
        <v>#N/A</v>
      </c>
      <c r="O27" s="272">
        <f>+O13+O15+O17</f>
        <v>1697</v>
      </c>
      <c r="P27" s="269">
        <f>IF(O27&lt;=0,0,Q27/O27)</f>
        <v>1477.6017855038278</v>
      </c>
      <c r="Q27" s="271">
        <f>Q13+Q17+Q24+Q19+Q15</f>
        <v>2507490.2299999958</v>
      </c>
      <c r="R27" s="272">
        <f>J27-O27</f>
        <v>-407</v>
      </c>
      <c r="S27" s="271">
        <f>L27-Q27</f>
        <v>-890986.2799999963</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2001.0235030356689</v>
      </c>
      <c r="R28" s="276">
        <f>R27/O27</f>
        <v>-0.23983500294637597</v>
      </c>
      <c r="S28" s="326">
        <f>IF(Q27=0,0,S27/Q27)</f>
        <v>-0.3553299108966011</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0.24002976077924407</v>
      </c>
      <c r="K31" s="281">
        <f>IF(L31=0,0,L31/J$24)</f>
        <v>882.24297142857142</v>
      </c>
      <c r="L31" s="266">
        <f>SUMIFS(BV_Data_An_Cour!$AN:$AN,BV_Data_An_Cour!$AP:$AP,$B31,BV_Data_An_Cour!$AQ:$AQ,$C31,BV_Data_An_Cour!$AR:$AR,L$2)</f>
        <v>308785.03999999998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-137477.72000000003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0.31094079079282583</v>
      </c>
      <c r="K32" s="284">
        <f t="shared" ref="K32:K39" si="17">IF(L32=0,0,L32/J$24)</f>
        <v>293.22528571428575</v>
      </c>
      <c r="L32" s="266">
        <f>SUMIFS(BV_Data_An_Cour!$AN:$AN,BV_Data_An_Cour!$AP:$AP,$B32,BV_Data_An_Cour!$AQ:$AQ,$C32,BV_Data_An_Cour!$AR:$AR,L$2)</f>
        <v>102628.85</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-3070.1599999999889</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675.33565714285714</v>
      </c>
      <c r="L33" s="952">
        <f>SUMIFS(BV_Data_An_Cour!$AN:$AN,BV_Data_An_Cour!$AP:$AP,$B33,BV_Data_An_Cour!$AQ:$AQ,$C33,BV_Data_An_Cour!$AR:$AR,L$2)</f>
        <v>236367.48</v>
      </c>
      <c r="M33" s="243"/>
      <c r="N33" s="266" t="e">
        <f t="shared" si="15"/>
        <v>#N/A</v>
      </c>
      <c r="O33" s="243"/>
      <c r="P33" s="281">
        <f t="shared" si="16"/>
        <v>-62.653225806451616</v>
      </c>
      <c r="Q33" s="266">
        <f>SUMIFS(BV_Data_An_Prec!$AN:$AN,BV_Data_An_Prec!$AP:$AP,$B33,BV_Data_An_Prec!$AQ:$AQ,$C33,BV_Data_An_Prec!$AR:$AR,Q$2)</f>
        <v>-33018.25</v>
      </c>
      <c r="R33" s="243"/>
      <c r="S33" s="266">
        <f t="shared" si="18"/>
        <v>269385.73</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25.165085714285716</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29.228514285714283</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-218.71665714285712</v>
      </c>
      <c r="L36" s="952">
        <f>SUMIFS(BV_Data_An_Cour!$AN:$AN,BV_Data_An_Cour!$AP:$AP,$B36,BV_Data_An_Cour!$AQ:$AQ,$C36,BV_Data_An_Cour!$AR:$AR,L$2)</f>
        <v>-76550.829999999987</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71689.209999999992</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1101.1269142857143</v>
      </c>
      <c r="L37" s="266">
        <f>SUMIFS(BV_Data_An_Cour!$AN:$AN,BV_Data_An_Cour!$AP:$AP,$B37,BV_Data_An_Cour!$AQ:$AQ,$C37,BV_Data_An_Cour!$AR:$AR,L$2)</f>
        <v>385394.42</v>
      </c>
      <c r="M37" s="243"/>
      <c r="N37" s="658" t="e">
        <f t="shared" si="15"/>
        <v>#N/A</v>
      </c>
      <c r="O37" s="243"/>
      <c r="P37" s="281">
        <f t="shared" si="16"/>
        <v>1452.3985009487667</v>
      </c>
      <c r="Q37" s="266">
        <f>SUMIFS(BV_Data_An_Prec!$AN:$AN,BV_Data_An_Prec!$AP:$AP,$B37,BV_Data_An_Prec!$AQ:$AQ,$C37,BV_Data_An_Prec!$AR:$AR,Q$2)</f>
        <v>765414.01</v>
      </c>
      <c r="R37" s="243"/>
      <c r="S37" s="266">
        <f t="shared" si="18"/>
        <v>-380019.59</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-4228.2602285714283</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-189.96445714285713</v>
      </c>
      <c r="L39" s="266">
        <f>SUMIFS(BV_Data_An_Cour!$AN:$AN,BV_Data_An_Cour!$AP:$AP,$B39,BV_Data_An_Cour!$AQ:$AQ,$C39,BV_Data_An_Cour!$AR:$AR,L$2)</f>
        <v>-66487.56</v>
      </c>
      <c r="M39" s="38"/>
      <c r="N39" s="266" t="e">
        <f t="shared" si="15"/>
        <v>#N/A</v>
      </c>
      <c r="O39" s="243"/>
      <c r="P39" s="281">
        <f t="shared" si="16"/>
        <v>0</v>
      </c>
      <c r="Q39" s="266">
        <f>SUMIFS(BV_Data_An_Prec!$AN:$AN,BV_Data_An_Prec!$AP:$AP,$B39,BV_Data_An_Prec!$AQ:$AQ,$C39,BV_Data_An_Prec!$AR:$AR,Q$2)</f>
        <v>0</v>
      </c>
      <c r="R39" s="243"/>
      <c r="S39" s="266">
        <f t="shared" si="18"/>
        <v>-66487.56</v>
      </c>
      <c r="T39" s="38"/>
      <c r="U39" s="1247">
        <f>L39+L121+L194</f>
        <v>-106561.45999999999</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-0.35305569157440064</v>
      </c>
      <c r="L41" s="294">
        <f>SUM(L31:L40)</f>
        <v>-570715.92000000016</v>
      </c>
      <c r="M41" s="296"/>
      <c r="N41" s="294" t="e">
        <f t="shared" si="15"/>
        <v>#N/A</v>
      </c>
      <c r="O41" s="295" t="s">
        <v>115</v>
      </c>
      <c r="P41" s="293">
        <f>Q41/Q$27</f>
        <v>-0.35012653269640109</v>
      </c>
      <c r="Q41" s="294">
        <f>SUM(Q31:Q40)</f>
        <v>-877938.85999999987</v>
      </c>
      <c r="R41" s="297"/>
      <c r="S41" s="294">
        <f t="shared" si="20"/>
        <v>307222.93999999971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77532.460000000006</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154015.10999999999</v>
      </c>
      <c r="M43" s="243"/>
      <c r="N43" s="266" t="e">
        <f t="shared" si="15"/>
        <v>#N/A</v>
      </c>
      <c r="O43" s="243"/>
      <c r="P43" s="38"/>
      <c r="Q43" s="286">
        <f>SUMIFS(BV_Data_An_Prec!$AN:$AN,BV_Data_An_Prec!$AP:$AP,$B43,BV_Data_An_Prec!$AQ:$AQ,$C43,BV_Data_An_Prec!$AR:$AR,Q$2)</f>
        <v>199441.88</v>
      </c>
      <c r="R43" s="243"/>
      <c r="S43" s="266">
        <f t="shared" ref="S43:S53" si="21">L43-Q43</f>
        <v>-45426.770000000019</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36794.589999999997</v>
      </c>
      <c r="M44" s="233"/>
      <c r="N44" s="303" t="e">
        <f t="shared" si="15"/>
        <v>#N/A</v>
      </c>
      <c r="O44" s="233"/>
      <c r="P44" s="301"/>
      <c r="Q44" s="281">
        <f>SUMIFS(BV_Data_An_Prec!$AN:$AN,BV_Data_An_Prec!$AP:$AP,$B44,BV_Data_An_Prec!$AQ:$AQ,$C44,BV_Data_An_Prec!$AR:$AR,Q$2)</f>
        <v>26446.33</v>
      </c>
      <c r="R44" s="233"/>
      <c r="S44" s="303">
        <f t="shared" si="21"/>
        <v>10348.259999999995</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55881.85</v>
      </c>
      <c r="M49" s="243"/>
      <c r="N49" s="266" t="e">
        <f t="shared" si="15"/>
        <v>#N/A</v>
      </c>
      <c r="O49" s="243"/>
      <c r="P49" s="38"/>
      <c r="Q49" s="286">
        <f>SUMIFS(BV_Data_An_Prec!$AN:$AN,BV_Data_An_Prec!$AP:$AP,$B49,BV_Data_An_Prec!$AQ:$AQ,$C49,BV_Data_An_Prec!$AR:$AR,Q$2)</f>
        <v>96954.97</v>
      </c>
      <c r="R49" s="243"/>
      <c r="S49" s="266">
        <f t="shared" si="21"/>
        <v>-41073.120000000003</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113251.84</v>
      </c>
      <c r="M50" s="233"/>
      <c r="N50" s="303" t="e">
        <f t="shared" si="15"/>
        <v>#N/A</v>
      </c>
      <c r="O50" s="233"/>
      <c r="P50" s="301"/>
      <c r="Q50" s="281">
        <f>SUMIFS(BV_Data_An_Prec!$AN:$AN,BV_Data_An_Prec!$AP:$AP,$B50,BV_Data_An_Prec!$AQ:$AQ,$C50,BV_Data_An_Prec!$AR:$AR,Q$2)</f>
        <v>152045.29999999999</v>
      </c>
      <c r="R50" s="233"/>
      <c r="S50" s="303">
        <f t="shared" si="21"/>
        <v>-38793.459999999992</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27366.92</v>
      </c>
      <c r="M51" s="243"/>
      <c r="N51" s="266" t="e">
        <f t="shared" si="15"/>
        <v>#N/A</v>
      </c>
      <c r="O51" s="243"/>
      <c r="P51" s="38"/>
      <c r="Q51" s="281">
        <f>SUMIFS(BV_Data_An_Prec!$AN:$AN,BV_Data_An_Prec!$AP:$AP,$B51,BV_Data_An_Prec!$AQ:$AQ,$C51,BV_Data_An_Prec!$AR:$AR,Q$2)</f>
        <v>41061.14</v>
      </c>
      <c r="R51" s="243"/>
      <c r="S51" s="266">
        <f t="shared" si="21"/>
        <v>-13694.220000000001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21025.95</v>
      </c>
      <c r="M52" s="243"/>
      <c r="N52" s="266" t="e">
        <f t="shared" si="15"/>
        <v>#N/A</v>
      </c>
      <c r="O52" s="243"/>
      <c r="P52" s="38"/>
      <c r="Q52" s="281">
        <f>SUMIFS(BV_Data_An_Prec!$AN:$AN,BV_Data_An_Prec!$AP:$AP,$B52,BV_Data_An_Prec!$AQ:$AQ,$C52,BV_Data_An_Prec!$AR:$AR,Q$2)</f>
        <v>799.62</v>
      </c>
      <c r="R52" s="243"/>
      <c r="S52" s="266">
        <f t="shared" si="21"/>
        <v>20226.330000000002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0.30056760455178605</v>
      </c>
      <c r="L54" s="294">
        <f>+SUM(L42:L53)</f>
        <v>485868.72</v>
      </c>
      <c r="M54" s="296"/>
      <c r="N54" s="294" t="e">
        <f>+SUM(N42:N53)</f>
        <v>#N/A</v>
      </c>
      <c r="O54" s="295" t="s">
        <v>115</v>
      </c>
      <c r="P54" s="293">
        <f>Q54/Q$27</f>
        <v>0.2549221816908141</v>
      </c>
      <c r="Q54" s="294">
        <f>+SUM(Q42:Q53)</f>
        <v>639214.88000000012</v>
      </c>
      <c r="R54" s="297"/>
      <c r="S54" s="294">
        <f>+SUM(S42:S53)</f>
        <v>-108412.98000000003</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76970.02</v>
      </c>
      <c r="M57" s="238"/>
      <c r="N57" s="286" t="e">
        <f t="shared" si="22"/>
        <v>#N/A</v>
      </c>
      <c r="O57" s="238"/>
      <c r="P57" s="304"/>
      <c r="Q57" s="286">
        <f>SUMIFS(BV_Data_An_Prec!$AN:$AN,BV_Data_An_Prec!$AP:$AP,$B57,BV_Data_An_Prec!$AQ:$AQ,$C57,BV_Data_An_Prec!$AR:$AR,Q$2)</f>
        <v>99842.55</v>
      </c>
      <c r="R57" s="238"/>
      <c r="S57" s="286">
        <f t="shared" si="23"/>
        <v>-22872.53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26648.92</v>
      </c>
      <c r="M58" s="243"/>
      <c r="N58" s="266" t="e">
        <f t="shared" si="22"/>
        <v>#N/A</v>
      </c>
      <c r="O58" s="243"/>
      <c r="P58" s="38"/>
      <c r="Q58" s="266">
        <f>SUMIFS(BV_Data_An_Prec!$AN:$AN,BV_Data_An_Prec!$AP:$AP,$B58,BV_Data_An_Prec!$AQ:$AQ,$C58,BV_Data_An_Prec!$AR:$AR,Q$2)</f>
        <v>34850.93</v>
      </c>
      <c r="R58" s="243"/>
      <c r="S58" s="266">
        <f t="shared" si="23"/>
        <v>-8202.010000000002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23407.16</v>
      </c>
      <c r="M59" s="243"/>
      <c r="N59" s="266" t="e">
        <f t="shared" si="22"/>
        <v>#N/A</v>
      </c>
      <c r="O59" s="243"/>
      <c r="P59" s="38"/>
      <c r="Q59" s="266">
        <f>SUMIFS(BV_Data_An_Prec!$AN:$AN,BV_Data_An_Prec!$AP:$AP,$B59,BV_Data_An_Prec!$AQ:$AQ,$C59,BV_Data_An_Prec!$AR:$AR,Q$2)</f>
        <v>31104.739999999998</v>
      </c>
      <c r="R59" s="243"/>
      <c r="S59" s="266">
        <f t="shared" si="23"/>
        <v>-7697.5799999999981</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53455.87</v>
      </c>
      <c r="M60" s="238"/>
      <c r="N60" s="286" t="e">
        <f t="shared" si="22"/>
        <v>#N/A</v>
      </c>
      <c r="O60" s="238"/>
      <c r="P60" s="304"/>
      <c r="Q60" s="286">
        <f>SUMIFS(BV_Data_An_Prec!$AN:$AN,BV_Data_An_Prec!$AP:$AP,$B60,BV_Data_An_Prec!$AQ:$AQ,$C60,BV_Data_An_Prec!$AR:$AR,Q$2)</f>
        <v>56163.869999999995</v>
      </c>
      <c r="R60" s="238"/>
      <c r="S60" s="286">
        <f t="shared" si="23"/>
        <v>-2707.9999999999927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15358.4</v>
      </c>
      <c r="M63" s="243"/>
      <c r="N63" s="266" t="e">
        <f t="shared" si="22"/>
        <v>#N/A</v>
      </c>
      <c r="O63" s="243"/>
      <c r="P63" s="38"/>
      <c r="Q63" s="266">
        <f>SUMIFS(BV_Data_An_Prec!$AN:$AN,BV_Data_An_Prec!$AP:$AP,$B63,BV_Data_An_Prec!$AQ:$AQ,$C63,BV_Data_An_Prec!$AR:$AR,Q$2)</f>
        <v>16404.61</v>
      </c>
      <c r="R63" s="243"/>
      <c r="S63" s="266">
        <f t="shared" si="23"/>
        <v>-1046.2100000000009</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4593.6400000000003</v>
      </c>
      <c r="M64" s="243"/>
      <c r="N64" s="266" t="e">
        <f t="shared" si="22"/>
        <v>#N/A</v>
      </c>
      <c r="O64" s="243"/>
      <c r="P64" s="38"/>
      <c r="Q64" s="266">
        <f>SUMIFS(BV_Data_An_Prec!$AN:$AN,BV_Data_An_Prec!$AP:$AP,$B64,BV_Data_An_Prec!$AQ:$AQ,$C64,BV_Data_An_Prec!$AR:$AR,Q$2)</f>
        <v>8583.16</v>
      </c>
      <c r="R64" s="243"/>
      <c r="S64" s="266">
        <f t="shared" si="23"/>
        <v>-3989.5199999999995</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25397.81</v>
      </c>
      <c r="M66" s="243"/>
      <c r="N66" s="266" t="e">
        <f t="shared" si="22"/>
        <v>#N/A</v>
      </c>
      <c r="O66" s="243"/>
      <c r="P66" s="38"/>
      <c r="Q66" s="266">
        <f>SUMIFS(BV_Data_An_Prec!$AN:$AN,BV_Data_An_Prec!$AP:$AP,$B66,BV_Data_An_Prec!$AQ:$AQ,$C66,BV_Data_An_Prec!$AR:$AR,Q$2)</f>
        <v>22126.89</v>
      </c>
      <c r="R66" s="243"/>
      <c r="S66" s="266">
        <f t="shared" si="23"/>
        <v>3270.9200000000019</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10221.01</v>
      </c>
      <c r="M68" s="243"/>
      <c r="N68" s="658" t="e">
        <f t="shared" si="22"/>
        <v>#N/A</v>
      </c>
      <c r="O68" s="243"/>
      <c r="P68" s="38"/>
      <c r="Q68" s="266">
        <f>SUMIFS(BV_Data_An_Prec!$AN:$AN,BV_Data_An_Prec!$AP:$AP,$B68,BV_Data_An_Prec!$AQ:$AQ,$C68,BV_Data_An_Prec!$AR:$AR,Q$2)</f>
        <v>2841.99</v>
      </c>
      <c r="R68" s="243"/>
      <c r="S68" s="266">
        <f t="shared" si="23"/>
        <v>7379.02</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0.1646250910800435</v>
      </c>
      <c r="L72" s="294">
        <f>+SUM(L55:L71)</f>
        <v>266117.11</v>
      </c>
      <c r="M72" s="296"/>
      <c r="N72" s="294" t="e">
        <f>+SUM(N55:N71)</f>
        <v>#N/A</v>
      </c>
      <c r="O72" s="295" t="s">
        <v>115</v>
      </c>
      <c r="P72" s="293">
        <f>Q72/Q$27</f>
        <v>0.11583948624198648</v>
      </c>
      <c r="Q72" s="294">
        <f>+SUM(Q55:Q71)</f>
        <v>290466.38</v>
      </c>
      <c r="R72" s="297"/>
      <c r="S72" s="294">
        <f>+SUM(S55:S71)</f>
        <v>-24349.269999999986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0.11213700405742891</v>
      </c>
      <c r="L74" s="294">
        <f>L41+L54+L72</f>
        <v>181269.9099999998</v>
      </c>
      <c r="M74" s="296"/>
      <c r="N74" s="294" t="e">
        <f t="shared" ref="N74:N82" si="24">L74-F74</f>
        <v>#N/A</v>
      </c>
      <c r="O74" s="295" t="s">
        <v>115</v>
      </c>
      <c r="P74" s="293">
        <f>Q74/Q$27</f>
        <v>2.0635135236399444E-2</v>
      </c>
      <c r="Q74" s="294">
        <f>Q41+Q54+Q72</f>
        <v>51742.400000000256</v>
      </c>
      <c r="R74" s="297"/>
      <c r="S74" s="294">
        <f>L74-Q74</f>
        <v>129527.50999999954</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130441.62</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0.86352748824851822</v>
      </c>
      <c r="K82" s="307">
        <f>+L82/J24</f>
        <v>603.60571428571427</v>
      </c>
      <c r="L82" s="266">
        <f>-SUMIFS(BV_Data_An_Cour!$AN:$AN,BV_Data_An_Cour!$AP:$AP,$B82,BV_Data_An_Cour!$AQ:$AQ,$C82,BV_Data_An_Cour!$AR:$AR,L$2)</f>
        <v>211262</v>
      </c>
      <c r="M82" s="243"/>
      <c r="N82" s="266" t="e">
        <f t="shared" si="24"/>
        <v>#N/A</v>
      </c>
      <c r="O82" s="744"/>
      <c r="P82" s="307"/>
      <c r="Q82" s="266">
        <f>-SUMIFS(BV_Data_An_Prec!$AN:$AN,BV_Data_An_Prec!$AP:$AP,$B82,BV_Data_An_Prec!$AQ:$AQ,$C82,BV_Data_An_Prec!$AR:$AR,Q$2)</f>
        <v>0</v>
      </c>
      <c r="R82" s="243"/>
      <c r="S82" s="266">
        <f t="shared" si="25"/>
        <v>211262</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341703.62</v>
      </c>
      <c r="M83" s="296"/>
      <c r="N83" s="294" t="e">
        <f>+SUM(N75:N82)</f>
        <v>#N/A</v>
      </c>
      <c r="O83" s="295"/>
      <c r="P83" s="293"/>
      <c r="Q83" s="294">
        <f>+SUM(Q75:Q82)</f>
        <v>203730.07</v>
      </c>
      <c r="R83" s="297"/>
      <c r="S83" s="294">
        <f>+SUM(S75:S82)</f>
        <v>211262</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1776937.6599999997</v>
      </c>
      <c r="M85" s="958"/>
      <c r="N85" s="956" t="e">
        <f>N27-N41-N54-N72+N83</f>
        <v>#N/A</v>
      </c>
      <c r="O85" s="957"/>
      <c r="P85" s="955"/>
      <c r="Q85" s="956">
        <f>Q27-Q74+Q83</f>
        <v>2659477.8999999953</v>
      </c>
      <c r="R85" s="959"/>
      <c r="S85" s="956">
        <f>L85-Q85</f>
        <v>-882540.23999999557</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1"/>
      <c r="F91" s="1272"/>
      <c r="G91" s="1275"/>
      <c r="H91" s="1271"/>
      <c r="I91" s="1272"/>
      <c r="J91" s="1275" t="s">
        <v>340</v>
      </c>
      <c r="K91" s="1271"/>
      <c r="L91" s="1272"/>
      <c r="M91" s="1275" t="s">
        <v>668</v>
      </c>
      <c r="N91" s="1272"/>
      <c r="O91" s="1270" t="s">
        <v>341</v>
      </c>
      <c r="P91" s="1271"/>
      <c r="Q91" s="1272"/>
      <c r="R91" s="1273" t="s">
        <v>670</v>
      </c>
      <c r="S91" s="127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13525693.950000001</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167</v>
      </c>
      <c r="K95" s="281">
        <f t="shared" si="28"/>
        <v>1265.1897005988005</v>
      </c>
      <c r="L95" s="266">
        <f>-SUMIFS(BV_Data_An_Cour!$AN:$AN,BV_Data_An_Cour!$AP:$AP,$B95,BV_Data_An_Cour!$AQ:$AQ,$C95,BV_Data_An_Cour!$AR:$AR,$L2)</f>
        <v>211286.6799999997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98</v>
      </c>
      <c r="S95" s="266">
        <f t="shared" si="31"/>
        <v>194844.10999999964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4</v>
      </c>
      <c r="K96" s="966">
        <f t="shared" ref="K96" si="32">IF(J96=0,0,L96/J96)</f>
        <v>-484.7400000000016</v>
      </c>
      <c r="L96" s="658">
        <f>-SUMIFS(BV_Data_An_Cour!$AN:$AN,BV_Data_An_Cour!$AP:$AP,$B96,BV_Data_An_Cour!$AQ:$AQ,$C96,BV_Data_An_Cour!$AR:$AR,$L2)</f>
        <v>-1938.9600000000064</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4</v>
      </c>
      <c r="S96" s="658">
        <f t="shared" ref="S96" si="33">L96-Q96</f>
        <v>-1938.9600000000064</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1224.255672514618</v>
      </c>
      <c r="L97" s="356">
        <f>+L94+L95+L96</f>
        <v>209347.71999999968</v>
      </c>
      <c r="M97" s="252" t="e">
        <f>J97-D97</f>
        <v>#N/A</v>
      </c>
      <c r="N97" s="251" t="e">
        <f>L97-F97</f>
        <v>#N/A</v>
      </c>
      <c r="O97" s="250">
        <f>+O94+O95+O96</f>
        <v>69</v>
      </c>
      <c r="P97" s="305">
        <f>IF(O97&lt;=0,0,Q97/O97)</f>
        <v>238.29811594202994</v>
      </c>
      <c r="Q97" s="356">
        <f>+Q94+Q95+Q96</f>
        <v>16442.570000000065</v>
      </c>
      <c r="R97" s="252">
        <f>R94+R95</f>
        <v>98</v>
      </c>
      <c r="S97" s="356">
        <f>S94+S95</f>
        <v>194844.10999999964</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1.4202898550724639</v>
      </c>
      <c r="S98" s="255">
        <f>IF(Q97=0,0,(S97/Q97))</f>
        <v>11.849979048287395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228</v>
      </c>
      <c r="K101" s="281">
        <f t="shared" si="34"/>
        <v>520.141710526314</v>
      </c>
      <c r="L101" s="266">
        <f>-SUMIFS(BV_Data_An_Cour!$AN:$AN,BV_Data_An_Cour!$AP:$AP,$B101,BV_Data_An_Cour!$AQ:$AQ,$C101,BV_Data_An_Cour!$AR:$AR,L$2)</f>
        <v>118592.30999999959</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-251</v>
      </c>
      <c r="S101" s="266">
        <f t="shared" ref="S101" si="39">L101-Q101</f>
        <v>-255849.2799999984</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379.95023391812862</v>
      </c>
      <c r="L103" s="266">
        <f>-SUMIFS(BV_Data_An_Cour!$AN:$AN,BV_Data_An_Cour!$AP:$AP,$B103,BV_Data_An_Cour!$AQ:$AQ,$C103,BV_Data_An_Cour!$AR:$AR,$L2)</f>
        <v>64971.49</v>
      </c>
      <c r="M103" s="245"/>
      <c r="N103" s="246" t="e">
        <f>L103-F103</f>
        <v>#N/A</v>
      </c>
      <c r="O103" s="245"/>
      <c r="P103" s="281">
        <f>IF(O97=0,0,Q103/O97)</f>
        <v>358.03391304347826</v>
      </c>
      <c r="Q103" s="266">
        <f>-SUMIFS(BV_Data_An_Prec!$AN:$AN,BV_Data_An_Prec!$AP:$AP,$B103,BV_Data_An_Prec!$AQ:$AQ,$C103,BV_Data_An_Prec!$AR:$AR,$L2)</f>
        <v>24704.34</v>
      </c>
      <c r="R103" s="267">
        <f>P103-K103</f>
        <v>-21.916320874650353</v>
      </c>
      <c r="S103" s="266">
        <f t="shared" ref="S103:S105" si="41">L103-Q103</f>
        <v>40267.149999999994</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478.18520467836265</v>
      </c>
      <c r="L104" s="266">
        <f>-SUMIFS(BV_Data_An_Cour!$AN:$AN,BV_Data_An_Cour!$AP:$AP,$B104,BV_Data_An_Cour!$AQ:$AQ,$C104,BV_Data_An_Cour!$AR:$AR,$L2)</f>
        <v>81769.670000000013</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230.23247648105769</v>
      </c>
      <c r="S104" s="266">
        <f t="shared" si="41"/>
        <v>32888.850000000013</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858.13543859649121</v>
      </c>
      <c r="L106" s="356">
        <f>L103+L104+L105</f>
        <v>146741.16</v>
      </c>
      <c r="M106" s="265" t="e">
        <f>J106-D106</f>
        <v>#N/A</v>
      </c>
      <c r="N106" s="251" t="e">
        <f>L106-F106</f>
        <v>#N/A</v>
      </c>
      <c r="O106" s="252">
        <f>O97</f>
        <v>69</v>
      </c>
      <c r="P106" s="355">
        <f>IF(O106&lt;=0,0,Q106/O106)</f>
        <v>1066.4515942028986</v>
      </c>
      <c r="Q106" s="356">
        <f>Q103+Q104+Q105</f>
        <v>73585.16</v>
      </c>
      <c r="R106" s="357">
        <f t="shared" si="42"/>
        <v>208.31615560640739</v>
      </c>
      <c r="S106" s="356">
        <f>L106-Q106</f>
        <v>73156</v>
      </c>
      <c r="T106" s="38"/>
      <c r="U106" s="1051">
        <f>L106-L114</f>
        <v>104555.58</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0.99416784579934314</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399</v>
      </c>
      <c r="K109" s="269">
        <f>IF(J109&lt;=0,0,L109/J109)</f>
        <v>1189.6771679197975</v>
      </c>
      <c r="L109" s="271">
        <f>L97+L106+L101+L99</f>
        <v>474681.18999999925</v>
      </c>
      <c r="M109" s="272" t="e">
        <f>J109-D109</f>
        <v>#N/A</v>
      </c>
      <c r="N109" s="271" t="e">
        <f>N97+N106+N101+N99</f>
        <v>#N/A</v>
      </c>
      <c r="O109" s="272">
        <f>O97+O101</f>
        <v>548</v>
      </c>
      <c r="P109" s="269">
        <f>IF(O109&lt;=0,0,Q109/O109)</f>
        <v>847.57175182481399</v>
      </c>
      <c r="Q109" s="271">
        <f>Q97+Q106+Q101+Q99</f>
        <v>464469.31999999809</v>
      </c>
      <c r="R109" s="272">
        <f>J109-O109</f>
        <v>-149</v>
      </c>
      <c r="S109" s="271">
        <f>S97+S106+S101+S99</f>
        <v>12150.830000001239</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-3.6778523489932886</v>
      </c>
      <c r="S110" s="326">
        <f>IF(Q109=0,0,(S109/Q109))</f>
        <v>2.6160673002043038E-2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0.3977438111100523</v>
      </c>
      <c r="K113" s="281">
        <f>IF($J$97=0,0,L113/(J$94+J$95+J96))</f>
        <v>486.94011695906431</v>
      </c>
      <c r="L113" s="266">
        <f>SUMIFS(BV_Data_An_Cour!$AN:$AN,BV_Data_An_Cour!$AP:$AP,$B113,BV_Data_An_Cour!$AQ:$AQ,$C113,BV_Data_An_Cour!$AR:$AR,$L$2)</f>
        <v>83266.759999999995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-7167.070000000007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0.28748293934707891</v>
      </c>
      <c r="K114" s="284">
        <f>IF($J$97=0,0,L114/(J$94+J$95+J96))</f>
        <v>246.69929824561405</v>
      </c>
      <c r="L114" s="266">
        <f>SUMIFS(BV_Data_An_Cour!$AN:$AN,BV_Data_An_Cour!$AP:$AP,$B114,BV_Data_An_Cour!$AQ:$AQ,$C114,BV_Data_An_Cour!$AR:$AR,$L$2)</f>
        <v>42185.58</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24397.890000000003</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-91.512690058479535</v>
      </c>
      <c r="L115" s="303">
        <f>SUMIFS(BV_Data_An_Cour!$AN:$AN,BV_Data_An_Cour!$AP:$AP,$B115,BV_Data_An_Cour!$AQ:$AQ,$C115,BV_Data_An_Cour!$AR:$AR,$L$2)</f>
        <v>-15648.67</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-8989.6</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411.68128654970758</v>
      </c>
      <c r="L118" s="266">
        <f>SUMIFS(BV_Data_An_Cour!$AN:$AN,BV_Data_An_Cour!$AP:$AP,$B118,BV_Data_An_Cour!$AQ:$AQ,$C118,BV_Data_An_Cour!$AR:$AR,$L$2)</f>
        <v>70397.5</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40786.129999999997</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1199.1402339181286</v>
      </c>
      <c r="L119" s="658">
        <f>SUMIFS(BV_Data_An_Cour!$AN:$AN,BV_Data_An_Cour!$AP:$AP,$B119,BV_Data_An_Cour!$AQ:$AQ,$C119,BV_Data_An_Cour!$AR:$AR,$L$2)</f>
        <v>205052.98</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22735.640000000014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-211.55556886227544</v>
      </c>
      <c r="L121" s="266">
        <f>SUMIFS(BV_Data_An_Cour!$AN:$AN,BV_Data_An_Cour!$AP:$AP,$B121,BV_Data_An_Cour!$AQ:$AQ,$C121,BV_Data_An_Cour!$AR:$AR,$L$2)</f>
        <v>-35329.78</v>
      </c>
      <c r="M121" s="243"/>
      <c r="N121" s="266" t="e">
        <f t="shared" si="44"/>
        <v>#N/A</v>
      </c>
      <c r="O121" s="243"/>
      <c r="P121" s="281">
        <f t="shared" si="47"/>
        <v>0</v>
      </c>
      <c r="Q121" s="266">
        <f>SUMIFS(BV_Data_An_Prec!$AN:$AN,BV_Data_An_Prec!$AP:$AP,$B121,BV_Data_An_Prec!$AQ:$AQ,$C121,BV_Data_An_Prec!$AR:$AR,$L$2)</f>
        <v>0</v>
      </c>
      <c r="R121" s="243"/>
      <c r="S121" s="266">
        <f t="shared" si="45"/>
        <v>-35329.78</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0.76415916122566507</v>
      </c>
      <c r="L123" s="294">
        <f>SUM(L113:L122)</f>
        <v>362731.98</v>
      </c>
      <c r="M123" s="296"/>
      <c r="N123" s="294" t="e">
        <f t="shared" si="44"/>
        <v>#N/A</v>
      </c>
      <c r="O123" s="295" t="s">
        <v>115</v>
      </c>
      <c r="P123" s="293">
        <f>Q123/Q$109</f>
        <v>0.67809260254262071</v>
      </c>
      <c r="Q123" s="294">
        <f>SUM(Q113:Q122)</f>
        <v>314953.21000000002</v>
      </c>
      <c r="R123" s="297"/>
      <c r="S123" s="294">
        <f t="shared" si="45"/>
        <v>47778.76999999996</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65808.55</v>
      </c>
      <c r="M124" s="243"/>
      <c r="N124" s="266" t="e">
        <f t="shared" si="44"/>
        <v>#N/A</v>
      </c>
      <c r="O124" s="243"/>
      <c r="P124" s="38"/>
      <c r="Q124" s="266">
        <f>SUMIFS(BV_Data_An_Prec!$AN:$AN,BV_Data_An_Prec!$AP:$AP,$B124,BV_Data_An_Prec!$AQ:$AQ,$C124,BV_Data_An_Prec!$AR:$AR,$L$2)</f>
        <v>105903.06</v>
      </c>
      <c r="R124" s="243"/>
      <c r="S124" s="266">
        <f t="shared" si="45"/>
        <v>-40094.509999999995</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35060.25</v>
      </c>
      <c r="M125" s="243"/>
      <c r="N125" s="266" t="e">
        <f t="shared" si="44"/>
        <v>#N/A</v>
      </c>
      <c r="O125" s="243"/>
      <c r="P125" s="38"/>
      <c r="Q125" s="266">
        <f>SUMIFS(BV_Data_An_Prec!$AN:$AN,BV_Data_An_Prec!$AP:$AP,$B125,BV_Data_An_Prec!$AQ:$AQ,$C125,BV_Data_An_Prec!$AR:$AR,$L$2)</f>
        <v>36912.550000000003</v>
      </c>
      <c r="R125" s="243"/>
      <c r="S125" s="266">
        <f t="shared" si="45"/>
        <v>-1852.3000000000029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11794.07</v>
      </c>
      <c r="M126" s="233"/>
      <c r="N126" s="303" t="e">
        <f t="shared" si="44"/>
        <v>#N/A</v>
      </c>
      <c r="O126" s="233"/>
      <c r="P126" s="301"/>
      <c r="Q126" s="303">
        <f>SUMIFS(BV_Data_An_Prec!$AN:$AN,BV_Data_An_Prec!$AP:$AP,$B126,BV_Data_An_Prec!$AQ:$AQ,$C126,BV_Data_An_Prec!$AR:$AR,$L$2)</f>
        <v>15221.58</v>
      </c>
      <c r="R126" s="233"/>
      <c r="S126" s="303">
        <f t="shared" si="45"/>
        <v>-3427.51</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22070.41</v>
      </c>
      <c r="M131" s="243"/>
      <c r="N131" s="266" t="e">
        <f t="shared" si="44"/>
        <v>#N/A</v>
      </c>
      <c r="O131" s="243"/>
      <c r="P131" s="38"/>
      <c r="Q131" s="266">
        <f>SUMIFS(BV_Data_An_Prec!$AN:$AN,BV_Data_An_Prec!$AP:$AP,$B131,BV_Data_An_Prec!$AQ:$AQ,$C131,BV_Data_An_Prec!$AR:$AR,$L$2)</f>
        <v>8749.76</v>
      </c>
      <c r="R131" s="243"/>
      <c r="S131" s="266">
        <f t="shared" si="45"/>
        <v>13320.65</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28602.46</v>
      </c>
      <c r="M132" s="233"/>
      <c r="N132" s="303" t="e">
        <f t="shared" si="44"/>
        <v>#N/A</v>
      </c>
      <c r="O132" s="233"/>
      <c r="P132" s="301"/>
      <c r="Q132" s="303">
        <f>SUMIFS(BV_Data_An_Prec!$AN:$AN,BV_Data_An_Prec!$AP:$AP,$B132,BV_Data_An_Prec!$AQ:$AQ,$C132,BV_Data_An_Prec!$AR:$AR,$L$2)</f>
        <v>19814.14</v>
      </c>
      <c r="R132" s="233"/>
      <c r="S132" s="303">
        <f t="shared" si="45"/>
        <v>8788.32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17729.509999999998</v>
      </c>
      <c r="M133" s="243"/>
      <c r="N133" s="266" t="e">
        <f t="shared" si="44"/>
        <v>#N/A</v>
      </c>
      <c r="O133" s="243"/>
      <c r="P133" s="38"/>
      <c r="Q133" s="266">
        <f>SUMIFS(BV_Data_An_Prec!$AN:$AN,BV_Data_An_Prec!$AP:$AP,$B133,BV_Data_An_Prec!$AQ:$AQ,$C133,BV_Data_An_Prec!$AR:$AR,$L$2)</f>
        <v>18432.87</v>
      </c>
      <c r="R133" s="243"/>
      <c r="S133" s="266">
        <f t="shared" si="45"/>
        <v>-703.36000000000058</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12876.3</v>
      </c>
      <c r="M134" s="243"/>
      <c r="N134" s="266" t="e">
        <f t="shared" si="44"/>
        <v>#N/A</v>
      </c>
      <c r="O134" s="243"/>
      <c r="P134" s="38"/>
      <c r="Q134" s="266">
        <f>SUMIFS(BV_Data_An_Prec!$AN:$AN,BV_Data_An_Prec!$AP:$AP,$B134,BV_Data_An_Prec!$AQ:$AQ,$C134,BV_Data_An_Prec!$AR:$AR,$L$2)</f>
        <v>192.9</v>
      </c>
      <c r="R134" s="243"/>
      <c r="S134" s="266">
        <f t="shared" si="45"/>
        <v>12683.4</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0.40857222507595109</v>
      </c>
      <c r="L136" s="294">
        <f>SUM(L124:L135)</f>
        <v>193941.55</v>
      </c>
      <c r="M136" s="296"/>
      <c r="N136" s="294" t="e">
        <f t="shared" si="44"/>
        <v>#N/A</v>
      </c>
      <c r="O136" s="295" t="s">
        <v>115</v>
      </c>
      <c r="P136" s="293">
        <f>Q136/Q$109</f>
        <v>0.44185234882683061</v>
      </c>
      <c r="Q136" s="294">
        <f>SUM(Q124:Q135)</f>
        <v>205226.85999999996</v>
      </c>
      <c r="R136" s="297"/>
      <c r="S136" s="294">
        <f t="shared" si="45"/>
        <v>-11285.309999999969</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32572.87</v>
      </c>
      <c r="M139" s="238"/>
      <c r="N139" s="286" t="e">
        <f t="shared" si="44"/>
        <v>#N/A</v>
      </c>
      <c r="O139" s="238"/>
      <c r="P139" s="304"/>
      <c r="Q139" s="286">
        <f>SUMIFS(BV_Data_An_Prec!$AN:$AN,BV_Data_An_Prec!$AP:$AP,$B139,BV_Data_An_Prec!$AQ:$AQ,$C139,BV_Data_An_Prec!$AR:$AR,$L$2)</f>
        <v>15284.65</v>
      </c>
      <c r="R139" s="238"/>
      <c r="S139" s="286">
        <f t="shared" si="45"/>
        <v>17288.22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11503.22</v>
      </c>
      <c r="M140" s="243"/>
      <c r="N140" s="266" t="e">
        <f t="shared" si="44"/>
        <v>#N/A</v>
      </c>
      <c r="O140" s="243"/>
      <c r="P140" s="38"/>
      <c r="Q140" s="266">
        <f>SUMIFS(BV_Data_An_Prec!$AN:$AN,BV_Data_An_Prec!$AP:$AP,$B140,BV_Data_An_Prec!$AQ:$AQ,$C140,BV_Data_An_Prec!$AR:$AR,$L$2)</f>
        <v>15686.1</v>
      </c>
      <c r="R140" s="243"/>
      <c r="S140" s="266">
        <f t="shared" si="45"/>
        <v>-4182.880000000001</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13374.25</v>
      </c>
      <c r="M141" s="243"/>
      <c r="N141" s="266" t="e">
        <f t="shared" si="44"/>
        <v>#N/A</v>
      </c>
      <c r="O141" s="243"/>
      <c r="P141" s="38"/>
      <c r="Q141" s="266">
        <f>SUMIFS(BV_Data_An_Prec!$AN:$AN,BV_Data_An_Prec!$AP:$AP,$B141,BV_Data_An_Prec!$AQ:$AQ,$C141,BV_Data_An_Prec!$AR:$AR,$L$2)</f>
        <v>14868.01</v>
      </c>
      <c r="R141" s="243"/>
      <c r="S141" s="266">
        <f t="shared" si="45"/>
        <v>-1493.7600000000002</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5488.83</v>
      </c>
      <c r="M145" s="243"/>
      <c r="N145" s="266" t="e">
        <f t="shared" si="44"/>
        <v>#N/A</v>
      </c>
      <c r="O145" s="243"/>
      <c r="P145" s="38"/>
      <c r="Q145" s="266">
        <f>SUMIFS(BV_Data_An_Prec!$AN:$AN,BV_Data_An_Prec!$AP:$AP,$B145,BV_Data_An_Prec!$AQ:$AQ,$C145,BV_Data_An_Prec!$AR:$AR,$L$2)</f>
        <v>5531.85</v>
      </c>
      <c r="R145" s="243"/>
      <c r="S145" s="266">
        <f t="shared" si="45"/>
        <v>-43.020000000000437</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2640.09</v>
      </c>
      <c r="M146" s="243"/>
      <c r="N146" s="266" t="e">
        <f t="shared" si="44"/>
        <v>#N/A</v>
      </c>
      <c r="O146" s="243"/>
      <c r="P146" s="38"/>
      <c r="Q146" s="266">
        <f>SUMIFS(BV_Data_An_Prec!$AN:$AN,BV_Data_An_Prec!$AP:$AP,$B146,BV_Data_An_Prec!$AQ:$AQ,$C146,BV_Data_An_Prec!$AR:$AR,$L$2)</f>
        <v>5450.45</v>
      </c>
      <c r="R146" s="243"/>
      <c r="S146" s="266">
        <f t="shared" si="45"/>
        <v>-2810.3599999999997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7249.13</v>
      </c>
      <c r="M150" s="243"/>
      <c r="N150" s="658" t="e">
        <f t="shared" si="44"/>
        <v>#N/A</v>
      </c>
      <c r="O150" s="243"/>
      <c r="P150" s="38"/>
      <c r="Q150" s="658">
        <f>SUMIFS(BV_Data_An_Prec!$AN:$AN,BV_Data_An_Prec!$AP:$AP,$B150,BV_Data_An_Prec!$AQ:$AQ,$C150,BV_Data_An_Prec!$AR:$AR,Q$2)</f>
        <v>1921.5</v>
      </c>
      <c r="R150" s="243"/>
      <c r="S150" s="266">
        <f t="shared" si="45"/>
        <v>5327.63</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0.2837524276030407</v>
      </c>
      <c r="L154" s="294">
        <f>+SUM(L137:L153)</f>
        <v>134691.94</v>
      </c>
      <c r="M154" s="296"/>
      <c r="N154" s="294" t="e">
        <f t="shared" si="44"/>
        <v>#N/A</v>
      </c>
      <c r="O154" s="295" t="s">
        <v>115</v>
      </c>
      <c r="P154" s="293">
        <f>Q154/Q$109</f>
        <v>0.26439944407953686</v>
      </c>
      <c r="Q154" s="294">
        <f>+SUM(Q137:Q153)</f>
        <v>122805.43000000001</v>
      </c>
      <c r="R154" s="297"/>
      <c r="S154" s="294">
        <f t="shared" si="45"/>
        <v>11886.509999999995</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1.456483813904657</v>
      </c>
      <c r="L156" s="294">
        <f>L123+L136+L154</f>
        <v>691365.47</v>
      </c>
      <c r="M156" s="296"/>
      <c r="N156" s="294" t="e">
        <f t="shared" ref="N156:N163" si="48">L156-F156</f>
        <v>#N/A</v>
      </c>
      <c r="O156" s="295" t="s">
        <v>115</v>
      </c>
      <c r="P156" s="293">
        <f>Q156/Q$109</f>
        <v>1.3843443954489882</v>
      </c>
      <c r="Q156" s="294">
        <f>Q123+Q136+Q154</f>
        <v>642985.5</v>
      </c>
      <c r="R156" s="297"/>
      <c r="S156" s="294">
        <f t="shared" si="45"/>
        <v>48379.969999999972</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-156059.94000000073</v>
      </c>
      <c r="M166" s="958"/>
      <c r="N166" s="956" t="e">
        <f>L166-F166</f>
        <v>#N/A</v>
      </c>
      <c r="O166" s="957"/>
      <c r="P166" s="955"/>
      <c r="Q166" s="956">
        <f>Q109-Q156+Q164</f>
        <v>-178516.18000000191</v>
      </c>
      <c r="R166" s="959"/>
      <c r="S166" s="956">
        <f t="shared" si="45"/>
        <v>22456.240000001184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59062170.32</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516</v>
      </c>
      <c r="K175" s="281">
        <f t="shared" ref="K175:K179" si="51">IF(J175=0,0,L175/J175)</f>
        <v>668.23717054263363</v>
      </c>
      <c r="L175" s="266">
        <f>-SUMIFS(BV_Data_An_Cour!$AN:$AN,BV_Data_An_Cour!$AP:$AP,$B175,BV_Data_An_Cour!$AQ:$AQ,$C175,BV_Data_An_Cour!$AR:$AR,$L2)</f>
        <v>344810.37999999896</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8</v>
      </c>
      <c r="S175" s="266">
        <f t="shared" ref="S175:S179" si="54">L175-Q175</f>
        <v>-330734.51000000164</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1.5748031496062992E-2</v>
      </c>
      <c r="S176" s="986">
        <f>IF(Q175=0,0,(S175/Q175))</f>
        <v>-0.48958183963171026</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311</v>
      </c>
      <c r="K177" s="281">
        <f t="shared" si="51"/>
        <v>1045.6214790996762</v>
      </c>
      <c r="L177" s="266">
        <f>-SUMIFS(BV_Data_An_Cour!$AN:$AN,BV_Data_An_Cour!$AP:$AP,$B177,BV_Data_An_Cour!$AQ:$AQ,$C177,BV_Data_An_Cour!$AR:$AR,$L2)</f>
        <v>325188.27999999933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311</v>
      </c>
      <c r="S177" s="266">
        <f t="shared" si="54"/>
        <v>325188.27999999933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1028</v>
      </c>
      <c r="K182" s="269">
        <f>IF(J182&lt;=0,0,L182/J182)</f>
        <v>1111.5616050583658</v>
      </c>
      <c r="L182" s="271">
        <f>L175+L179+L177</f>
        <v>1142685.33</v>
      </c>
      <c r="M182" s="272" t="e">
        <f>J182-D182</f>
        <v>#N/A</v>
      </c>
      <c r="N182" s="271" t="e">
        <f>#REF!+#REF!+#REF!+#REF!</f>
        <v>#REF!</v>
      </c>
      <c r="O182" s="272">
        <f>O175+O177+O179</f>
        <v>662</v>
      </c>
      <c r="P182" s="269">
        <f>IF(O182&lt;=0,0,Q182/O182)</f>
        <v>1734.2812990936538</v>
      </c>
      <c r="Q182" s="271">
        <f>Q175+Q179+Q177</f>
        <v>1148094.2199999988</v>
      </c>
      <c r="R182" s="272">
        <f>J182-O182</f>
        <v>366</v>
      </c>
      <c r="S182" s="271">
        <f>S175+S179+S177</f>
        <v>-5408.8899999987334</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1.8087431693989071</v>
      </c>
      <c r="S183" s="326">
        <f>IF(Q182=0,0,(S182/Q182))</f>
        <v>-4.7111899927505417E-3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0.19924159698453467</v>
      </c>
      <c r="K186" s="281">
        <f>IF($J$97=0,0,L186/(J$94+J$95+J182))</f>
        <v>190.51920502092051</v>
      </c>
      <c r="L186" s="266">
        <f>SUMIFS(BV_Data_An_Cour!$AN:$AN,BV_Data_An_Cour!$AP:$AP,$B186,BV_Data_An_Cour!$AQ:$AQ,$C186,BV_Data_An_Cour!$AR:$AR,$L$2)</f>
        <v>227670.45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227670.45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9.5878158995815905</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1.4644351464435146E-2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133.19292887029289</v>
      </c>
      <c r="L192" s="658">
        <f>SUMIFS(BV_Data_An_Cour!$AN:$AN,BV_Data_An_Cour!$AP:$AP,$B192,BV_Data_An_Cour!$AQ:$AQ,$C192,BV_Data_An_Cour!$AR:$AR,$L$2)</f>
        <v>159165.54999999999</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2723.5699999999779</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-28.407904191616765</v>
      </c>
      <c r="L194" s="266">
        <f>SUMIFS(BV_Data_An_Cour!$AN:$AN,BV_Data_An_Cour!$AP:$AP,$B194,BV_Data_An_Cour!$AQ:$AQ,$C194,BV_Data_An_Cour!$AR:$AR,$L$2)</f>
        <v>-4744.12</v>
      </c>
      <c r="M194" s="243"/>
      <c r="N194" s="266" t="e">
        <f t="shared" si="56"/>
        <v>#N/A</v>
      </c>
      <c r="O194" s="243"/>
      <c r="P194" s="281">
        <f t="shared" si="60"/>
        <v>0</v>
      </c>
      <c r="Q194" s="246">
        <f>SUMIFS(BV_Data_An_Prec!$AN:$AN,BV_Data_An_Prec!$AP:$AP,$B194,BV_Data_An_Prec!$AQ:$AQ,$C194,BV_Data_An_Prec!$AR:$AR,$L$2)</f>
        <v>0</v>
      </c>
      <c r="R194" s="243"/>
      <c r="S194" s="266">
        <f t="shared" si="57"/>
        <v>-4744.12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0.82911821300523969</v>
      </c>
      <c r="L196" s="294">
        <f>SUM(L186:L195)</f>
        <v>393566.82</v>
      </c>
      <c r="M196" s="296"/>
      <c r="N196" s="294" t="e">
        <f t="shared" si="56"/>
        <v>#N/A</v>
      </c>
      <c r="O196" s="295" t="s">
        <v>115</v>
      </c>
      <c r="P196" s="293">
        <f>Q196/Q$109</f>
        <v>0.35002189165045539</v>
      </c>
      <c r="Q196" s="294">
        <f>SUM(Q186:Q195)</f>
        <v>162574.43000000002</v>
      </c>
      <c r="R196" s="297"/>
      <c r="S196" s="294">
        <f t="shared" si="57"/>
        <v>230992.38999999998</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77386.600000000006</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34620.44</v>
      </c>
      <c r="M198" s="243"/>
      <c r="N198" s="266" t="e">
        <f t="shared" si="56"/>
        <v>#N/A</v>
      </c>
      <c r="O198" s="243"/>
      <c r="P198" s="38"/>
      <c r="Q198" s="266">
        <f>SUMIFS(BV_Data_An_Prec!$AN:$AN,BV_Data_An_Prec!$AP:$AP,$B198,BV_Data_An_Prec!$AQ:$AQ,$C198,BV_Data_An_Prec!$AR:$AR,$L$2)</f>
        <v>80631.66</v>
      </c>
      <c r="R198" s="243"/>
      <c r="S198" s="266">
        <f t="shared" ref="S198:S227" si="61">L198-Q198</f>
        <v>-46011.22</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14624.3</v>
      </c>
      <c r="M204" s="243"/>
      <c r="N204" s="266" t="e">
        <f t="shared" si="56"/>
        <v>#N/A</v>
      </c>
      <c r="O204" s="243"/>
      <c r="P204" s="38"/>
      <c r="Q204" s="266">
        <f>SUMIFS(BV_Data_An_Prec!$AN:$AN,BV_Data_An_Prec!$AP:$AP,$B204,BV_Data_An_Prec!$AQ:$AQ,$C204,BV_Data_An_Prec!$AR:$AR,$L$2)</f>
        <v>20648.810000000001</v>
      </c>
      <c r="R204" s="243"/>
      <c r="S204" s="266">
        <f t="shared" si="61"/>
        <v>-6024.510000000002</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46424.04</v>
      </c>
      <c r="M205" s="233"/>
      <c r="N205" s="303" t="e">
        <f t="shared" si="56"/>
        <v>#N/A</v>
      </c>
      <c r="O205" s="233"/>
      <c r="P205" s="301"/>
      <c r="Q205" s="303">
        <f>SUMIFS(BV_Data_An_Prec!$AN:$AN,BV_Data_An_Prec!$AP:$AP,$B205,BV_Data_An_Prec!$AQ:$AQ,$C205,BV_Data_An_Prec!$AR:$AR,$L$2)</f>
        <v>30879.29</v>
      </c>
      <c r="R205" s="233"/>
      <c r="S205" s="303">
        <f t="shared" si="61"/>
        <v>15544.75</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8388.23</v>
      </c>
      <c r="M206" s="243"/>
      <c r="N206" s="266" t="e">
        <f t="shared" si="56"/>
        <v>#N/A</v>
      </c>
      <c r="O206" s="243"/>
      <c r="P206" s="38"/>
      <c r="Q206" s="266">
        <f>SUMIFS(BV_Data_An_Prec!$AN:$AN,BV_Data_An_Prec!$AP:$AP,$B206,BV_Data_An_Prec!$AQ:$AQ,$C206,BV_Data_An_Prec!$AR:$AR,$L$2)</f>
        <v>15530.62</v>
      </c>
      <c r="R206" s="243"/>
      <c r="S206" s="266">
        <f t="shared" si="61"/>
        <v>-7142.3900000000012</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969.07</v>
      </c>
      <c r="M207" s="243"/>
      <c r="N207" s="266" t="e">
        <f t="shared" si="56"/>
        <v>#N/A</v>
      </c>
      <c r="O207" s="243"/>
      <c r="P207" s="38"/>
      <c r="Q207" s="266">
        <f>SUMIFS(BV_Data_An_Prec!$AN:$AN,BV_Data_An_Prec!$AP:$AP,$B207,BV_Data_An_Prec!$AQ:$AQ,$C207,BV_Data_An_Prec!$AR:$AR,$L$2)</f>
        <v>0</v>
      </c>
      <c r="R207" s="243"/>
      <c r="S207" s="266">
        <f t="shared" si="61"/>
        <v>969.07</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0.38428461848256579</v>
      </c>
      <c r="L209" s="294">
        <f>SUM(L197:L208)</f>
        <v>182412.68000000002</v>
      </c>
      <c r="M209" s="296"/>
      <c r="N209" s="294" t="e">
        <f t="shared" si="56"/>
        <v>#N/A</v>
      </c>
      <c r="O209" s="295" t="s">
        <v>115</v>
      </c>
      <c r="P209" s="293">
        <f>Q209/Q$109</f>
        <v>1.696815970536016</v>
      </c>
      <c r="Q209" s="294">
        <f>SUM(Q197:Q208)</f>
        <v>788118.96000000008</v>
      </c>
      <c r="R209" s="297"/>
      <c r="S209" s="294">
        <f t="shared" si="61"/>
        <v>-605706.28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2.8564666739796497E-2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1.2419674982276019</v>
      </c>
      <c r="L229" s="294">
        <f>L196+L209+L227</f>
        <v>589538.61</v>
      </c>
      <c r="M229" s="296"/>
      <c r="N229" s="294" t="e">
        <f t="shared" ref="N229:N236" si="62">L229-F229</f>
        <v>#N/A</v>
      </c>
      <c r="O229" s="295" t="s">
        <v>115</v>
      </c>
      <c r="P229" s="293">
        <f>Q229/Q$109</f>
        <v>2.0682351850494758</v>
      </c>
      <c r="Q229" s="294">
        <f>Q196+Q209+Q227</f>
        <v>960631.79000000015</v>
      </c>
      <c r="R229" s="297"/>
      <c r="S229" s="294">
        <f t="shared" ref="S229:S236" si="63">L229-Q229</f>
        <v>-371093.18000000017</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553146.72000000009</v>
      </c>
      <c r="M239" s="958"/>
      <c r="N239" s="956" t="e">
        <f>L239-F239</f>
        <v>#REF!</v>
      </c>
      <c r="O239" s="957"/>
      <c r="P239" s="955"/>
      <c r="Q239" s="956">
        <f>Q182-Q229+Q237</f>
        <v>187462.42999999865</v>
      </c>
      <c r="R239" s="959"/>
      <c r="S239" s="956">
        <f>L239-Q239</f>
        <v>365684.29000000143</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1"/>
      <c r="F244" s="1272"/>
      <c r="G244" s="1275"/>
      <c r="H244" s="1271"/>
      <c r="I244" s="1272"/>
      <c r="J244" s="1275" t="s">
        <v>340</v>
      </c>
      <c r="K244" s="1271"/>
      <c r="L244" s="1272"/>
      <c r="M244" s="1275" t="s">
        <v>668</v>
      </c>
      <c r="N244" s="1272"/>
      <c r="O244" s="1270" t="s">
        <v>341</v>
      </c>
      <c r="P244" s="1271"/>
      <c r="Q244" s="1272"/>
      <c r="R244" s="1273" t="s">
        <v>670</v>
      </c>
      <c r="S244" s="1274"/>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73752.95</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-415.97999999999593</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172490.29</v>
      </c>
      <c r="M273" s="243"/>
      <c r="N273" s="266" t="e">
        <f t="shared" si="73"/>
        <v>#N/A</v>
      </c>
      <c r="O273" s="243"/>
      <c r="P273" s="38"/>
      <c r="Q273" s="266">
        <f>SUMIFS(BV_Data_An_Prec!$AN:$AN,BV_Data_An_Prec!$AP:$AP,$B273,BV_Data_An_Prec!$AQ:$AQ,$C273,BV_Data_An_Prec!$AR:$AR,$L$2)</f>
        <v>202766.32</v>
      </c>
      <c r="R273" s="243"/>
      <c r="S273" s="266">
        <f t="shared" si="74"/>
        <v>-30276.03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86434.71</v>
      </c>
      <c r="M274" s="233"/>
      <c r="N274" s="303" t="e">
        <f t="shared" si="73"/>
        <v>#N/A</v>
      </c>
      <c r="O274" s="233"/>
      <c r="P274" s="301"/>
      <c r="Q274" s="303">
        <f>SUMIFS(BV_Data_An_Prec!$AN:$AN,BV_Data_An_Prec!$AP:$AP,$B274,BV_Data_An_Prec!$AQ:$AQ,$C274,BV_Data_An_Prec!$AR:$AR,$L$2)</f>
        <v>224220.79999999999</v>
      </c>
      <c r="R274" s="233"/>
      <c r="S274" s="303">
        <f t="shared" si="74"/>
        <v>-137786.08999999997</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37083</v>
      </c>
      <c r="M275" s="243"/>
      <c r="N275" s="266" t="e">
        <f t="shared" si="73"/>
        <v>#N/A</v>
      </c>
      <c r="O275" s="243"/>
      <c r="P275" s="745"/>
      <c r="Q275" s="266">
        <f>SUMIFS(BV_Data_An_Prec!$AN:$AN,BV_Data_An_Prec!$AP:$AP,$B275,BV_Data_An_Prec!$AQ:$AQ,$C275,BV_Data_An_Prec!$AR:$AR,$L$2)</f>
        <v>0</v>
      </c>
      <c r="R275" s="243"/>
      <c r="S275" s="266">
        <f t="shared" si="74"/>
        <v>37083</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102912.18</v>
      </c>
      <c r="M279" s="243"/>
      <c r="N279" s="266" t="e">
        <f t="shared" si="73"/>
        <v>#N/A</v>
      </c>
      <c r="O279" s="243"/>
      <c r="P279" s="38"/>
      <c r="Q279" s="266">
        <f>SUMIFS(BV_Data_An_Prec!$AN:$AN,BV_Data_An_Prec!$AP:$AP,$B279,BV_Data_An_Prec!$AQ:$AQ,$C279,BV_Data_An_Prec!$AR:$AR,$L$2)</f>
        <v>128310.71</v>
      </c>
      <c r="R279" s="243"/>
      <c r="S279" s="266">
        <f t="shared" si="74"/>
        <v>-25398.530000000013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135147.66</v>
      </c>
      <c r="M280" s="233"/>
      <c r="N280" s="303" t="e">
        <f t="shared" si="73"/>
        <v>#N/A</v>
      </c>
      <c r="O280" s="233"/>
      <c r="P280" s="301"/>
      <c r="Q280" s="303">
        <f>SUMIFS(BV_Data_An_Prec!$AN:$AN,BV_Data_An_Prec!$AP:$AP,$B280,BV_Data_An_Prec!$AQ:$AQ,$C280,BV_Data_An_Prec!$AR:$AR,$L$2)</f>
        <v>142421.76999999999</v>
      </c>
      <c r="R280" s="233"/>
      <c r="S280" s="303">
        <f t="shared" si="74"/>
        <v>-7274.109999999986</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57216.51</v>
      </c>
      <c r="M281" s="243"/>
      <c r="N281" s="266" t="e">
        <f t="shared" si="73"/>
        <v>#N/A</v>
      </c>
      <c r="O281" s="243"/>
      <c r="P281" s="38"/>
      <c r="Q281" s="266">
        <f>SUMIFS(BV_Data_An_Prec!$AN:$AN,BV_Data_An_Prec!$AP:$AP,$B281,BV_Data_An_Prec!$AQ:$AQ,$C281,BV_Data_An_Prec!$AR:$AR,$L$2)</f>
        <v>84659.79</v>
      </c>
      <c r="R281" s="243"/>
      <c r="S281" s="266">
        <f t="shared" si="74"/>
        <v>-27443.279999999992</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26414.16</v>
      </c>
      <c r="M282" s="243"/>
      <c r="N282" s="266" t="e">
        <f t="shared" si="73"/>
        <v>#N/A</v>
      </c>
      <c r="O282" s="243"/>
      <c r="P282" s="38"/>
      <c r="Q282" s="266">
        <f>SUMIFS(BV_Data_An_Prec!$AN:$AN,BV_Data_An_Prec!$AP:$AP,$B282,BV_Data_An_Prec!$AQ:$AQ,$C282,BV_Data_An_Prec!$AR:$AR,$L$2)</f>
        <v>8292.61</v>
      </c>
      <c r="R282" s="243"/>
      <c r="S282" s="266">
        <f t="shared" si="74"/>
        <v>18121.55</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0.63349941497742102</v>
      </c>
      <c r="L284" s="294">
        <f>+SUM(L272:L283)</f>
        <v>691451.46000000008</v>
      </c>
      <c r="M284" s="296"/>
      <c r="N284" s="294" t="e">
        <f t="shared" si="73"/>
        <v>#N/A</v>
      </c>
      <c r="O284" s="295" t="s">
        <v>171</v>
      </c>
      <c r="P284" s="293">
        <f>Q284/Q$268</f>
        <v>0.6711981287372677</v>
      </c>
      <c r="Q284" s="294">
        <f>+SUM(Q272:Q283)</f>
        <v>864840.93</v>
      </c>
      <c r="R284" s="297"/>
      <c r="S284" s="294">
        <f t="shared" si="74"/>
        <v>-173389.46999999997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18976.87</v>
      </c>
      <c r="M285" s="243"/>
      <c r="N285" s="266" t="e">
        <f t="shared" si="73"/>
        <v>#N/A</v>
      </c>
      <c r="O285" s="243"/>
      <c r="P285" s="38"/>
      <c r="Q285" s="266">
        <f>SUMIFS(BV_Data_An_Prec!$AN:$AN,BV_Data_An_Prec!$AP:$AP,$B285,BV_Data_An_Prec!$AQ:$AQ,$C285,BV_Data_An_Prec!$AR:$AR,$L$2)</f>
        <v>15624.67</v>
      </c>
      <c r="R285" s="243"/>
      <c r="S285" s="266">
        <f t="shared" si="74"/>
        <v>3352.1999999999989</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25265.31</v>
      </c>
      <c r="M286" s="243"/>
      <c r="N286" s="266" t="e">
        <f t="shared" si="73"/>
        <v>#N/A</v>
      </c>
      <c r="O286" s="243"/>
      <c r="P286" s="38"/>
      <c r="Q286" s="266">
        <f>SUMIFS(BV_Data_An_Prec!$AN:$AN,BV_Data_An_Prec!$AP:$AP,$B286,BV_Data_An_Prec!$AQ:$AQ,$C286,BV_Data_An_Prec!$AR:$AR,$L$2)</f>
        <v>13958.76</v>
      </c>
      <c r="R286" s="243"/>
      <c r="S286" s="266">
        <f t="shared" si="74"/>
        <v>11306.550000000001</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38361.18</v>
      </c>
      <c r="M287" s="238"/>
      <c r="N287" s="286" t="e">
        <f t="shared" si="73"/>
        <v>#N/A</v>
      </c>
      <c r="O287" s="238"/>
      <c r="P287" s="304"/>
      <c r="Q287" s="266">
        <f>SUMIFS(BV_Data_An_Prec!$AN:$AN,BV_Data_An_Prec!$AP:$AP,$B287,BV_Data_An_Prec!$AQ:$AQ,$C287,BV_Data_An_Prec!$AR:$AR,$L$2)</f>
        <v>-53017.380000000005</v>
      </c>
      <c r="R287" s="238"/>
      <c r="S287" s="286">
        <f t="shared" si="74"/>
        <v>91378.559999999998</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23278.95</v>
      </c>
      <c r="M288" s="243"/>
      <c r="N288" s="266" t="e">
        <f t="shared" si="73"/>
        <v>#N/A</v>
      </c>
      <c r="O288" s="243"/>
      <c r="P288" s="38"/>
      <c r="Q288" s="303">
        <f>SUMIFS(BV_Data_An_Prec!$AN:$AN,BV_Data_An_Prec!$AP:$AP,$B288,BV_Data_An_Prec!$AQ:$AQ,$C288,BV_Data_An_Prec!$AR:$AR,$L$2)</f>
        <v>20761.61</v>
      </c>
      <c r="R288" s="243"/>
      <c r="S288" s="266">
        <f t="shared" si="74"/>
        <v>2517.34</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20355.89</v>
      </c>
      <c r="M289" s="243"/>
      <c r="N289" s="266" t="e">
        <f t="shared" si="73"/>
        <v>#N/A</v>
      </c>
      <c r="O289" s="243"/>
      <c r="P289" s="38"/>
      <c r="Q289" s="266">
        <f>SUMIFS(BV_Data_An_Prec!$AN:$AN,BV_Data_An_Prec!$AP:$AP,$B289,BV_Data_An_Prec!$AQ:$AQ,$C289,BV_Data_An_Prec!$AR:$AR,$L$2)</f>
        <v>22698.38</v>
      </c>
      <c r="R289" s="243"/>
      <c r="S289" s="266">
        <f t="shared" si="74"/>
        <v>-2342.4900000000016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10410.01</v>
      </c>
      <c r="M294" s="243"/>
      <c r="N294" s="266" t="e">
        <f t="shared" si="73"/>
        <v>#N/A</v>
      </c>
      <c r="O294" s="243"/>
      <c r="P294" s="281"/>
      <c r="Q294" s="266">
        <f>SUMIFS(BV_Data_An_Prec!$AN:$AN,BV_Data_An_Prec!$AP:$AP,$B294,BV_Data_An_Prec!$AQ:$AQ,$C294,BV_Data_An_Prec!$AR:$AR,$L$2)</f>
        <v>12128.48</v>
      </c>
      <c r="R294" s="243"/>
      <c r="S294" s="266">
        <f t="shared" si="74"/>
        <v>-1718.4699999999993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4315.01</v>
      </c>
      <c r="M295" s="243"/>
      <c r="N295" s="266" t="e">
        <f t="shared" si="73"/>
        <v>#N/A</v>
      </c>
      <c r="O295" s="243"/>
      <c r="P295" s="38"/>
      <c r="Q295" s="266">
        <f>SUMIFS(BV_Data_An_Prec!$AN:$AN,BV_Data_An_Prec!$AP:$AP,$B295,BV_Data_An_Prec!$AQ:$AQ,$C295,BV_Data_An_Prec!$AR:$AR,$L$2)</f>
        <v>9140.57</v>
      </c>
      <c r="R295" s="243"/>
      <c r="S295" s="266">
        <f t="shared" si="74"/>
        <v>-4825.5599999999995</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10219.459999999999</v>
      </c>
      <c r="M299" s="243"/>
      <c r="N299" s="266" t="e">
        <f t="shared" si="73"/>
        <v>#N/A</v>
      </c>
      <c r="O299" s="243"/>
      <c r="P299" s="38"/>
      <c r="Q299" s="266">
        <f>SUMIFS(BV_Data_An_Prec!$AN:$AN,BV_Data_An_Prec!$AP:$AP,$B299,BV_Data_An_Prec!$AQ:$AQ,$C299,BV_Data_An_Prec!$AR:$AR,Q$2)</f>
        <v>2810.71</v>
      </c>
      <c r="R299" s="243"/>
      <c r="S299" s="266">
        <f t="shared" si="74"/>
        <v>7408.7499999999991</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0.29729857253171399</v>
      </c>
      <c r="L303" s="294">
        <f>+SUM(L285:L302)</f>
        <v>324495.22000000003</v>
      </c>
      <c r="M303" s="296"/>
      <c r="N303" s="294" t="e">
        <f t="shared" si="73"/>
        <v>#N/A</v>
      </c>
      <c r="O303" s="295" t="s">
        <v>171</v>
      </c>
      <c r="P303" s="293">
        <f>Q303/Q$268</f>
        <v>0.15804712908782168</v>
      </c>
      <c r="Q303" s="294">
        <f>+SUM(Q285:Q302)</f>
        <v>203644.23</v>
      </c>
      <c r="R303" s="297"/>
      <c r="S303" s="294">
        <f t="shared" si="74"/>
        <v>120850.99000000002</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0.93079798750913501</v>
      </c>
      <c r="L305" s="294">
        <f>L284+L303</f>
        <v>1015946.6800000002</v>
      </c>
      <c r="M305" s="296"/>
      <c r="N305" s="294" t="e">
        <f>L305-F305</f>
        <v>#N/A</v>
      </c>
      <c r="O305" s="295" t="s">
        <v>115</v>
      </c>
      <c r="P305" s="293">
        <f>Q305/Q$268</f>
        <v>0.8292452578250894</v>
      </c>
      <c r="Q305" s="294">
        <f>Q284+Q303</f>
        <v>1068485.1600000001</v>
      </c>
      <c r="R305" s="297"/>
      <c r="S305" s="294">
        <f>L305-Q305</f>
        <v>-52538.479999999981</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75532.559999999823</v>
      </c>
      <c r="M307" s="958"/>
      <c r="N307" s="956" t="e">
        <f>L307-F307</f>
        <v>#N/A</v>
      </c>
      <c r="O307" s="957"/>
      <c r="P307" s="955"/>
      <c r="Q307" s="956">
        <f>Q268-Q305</f>
        <v>220018.0299999998</v>
      </c>
      <c r="R307" s="959"/>
      <c r="S307" s="956">
        <f>L307-Q307</f>
        <v>-144485.46999999997</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1"/>
      <c r="F312" s="1272"/>
      <c r="G312" s="1275"/>
      <c r="H312" s="1271"/>
      <c r="I312" s="1272"/>
      <c r="J312" s="1275" t="s">
        <v>340</v>
      </c>
      <c r="K312" s="1271"/>
      <c r="L312" s="1272"/>
      <c r="M312" s="1275" t="s">
        <v>668</v>
      </c>
      <c r="N312" s="1272"/>
      <c r="O312" s="1270" t="s">
        <v>341</v>
      </c>
      <c r="P312" s="1271"/>
      <c r="Q312" s="1272"/>
      <c r="R312" s="1273" t="s">
        <v>670</v>
      </c>
      <c r="S312" s="127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71250.92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50340.47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3386.95</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32841.620000000003</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43475.42</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14422.02</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7801.5</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10.85690401851201</v>
      </c>
      <c r="L342" s="294">
        <f>+SUM(L330:L341)</f>
        <v>223518.9</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8868.3799999999992</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5363.68</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16187.37</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6687.14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3100.23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1320.06</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3346.36</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0.44926622102006852</v>
      </c>
      <c r="L361" s="294">
        <f>+SUM(L343:L360)</f>
        <v>198881</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20.517080084632983</v>
      </c>
      <c r="L363" s="294">
        <f>L342+L361</f>
        <v>422399.9</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127913.75000000012</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1"/>
      <c r="F369" s="1272"/>
      <c r="G369" s="1275"/>
      <c r="H369" s="1271"/>
      <c r="I369" s="1272"/>
      <c r="J369" s="1275" t="s">
        <v>340</v>
      </c>
      <c r="K369" s="1271"/>
      <c r="L369" s="1272"/>
      <c r="M369" s="1275" t="s">
        <v>668</v>
      </c>
      <c r="N369" s="1272"/>
      <c r="O369" s="1270" t="s">
        <v>341</v>
      </c>
      <c r="P369" s="1271"/>
      <c r="Q369" s="1272"/>
      <c r="R369" s="1273" t="s">
        <v>670</v>
      </c>
      <c r="S369" s="127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8393.4500000000007</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-15176</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0.27723648920253086</v>
      </c>
      <c r="L380" s="356">
        <f>SUM(L371:L379)</f>
        <v>731716.16000000015</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-16909.279999999912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-2.2587103104591142E-2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0.26934461866476872</v>
      </c>
      <c r="L385" s="356">
        <f>L380+L383+L384</f>
        <v>785029.59000000008</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8642.390000000014</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1.113154621817569E-2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0.26934461866476872</v>
      </c>
      <c r="L390" s="271">
        <f>L385+L388</f>
        <v>785029.59000000008</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8642.390000000014</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1.113154621817569E-2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21293.52</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-6016.8499999999985</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20909.7</v>
      </c>
      <c r="M395" s="243"/>
      <c r="N395" s="246" t="e">
        <f t="shared" si="103"/>
        <v>#N/A</v>
      </c>
      <c r="O395" s="243"/>
      <c r="P395" s="38"/>
      <c r="Q395" s="266">
        <f>SUMIFS(BV_Data_An_Prec!$AN:$AN,BV_Data_An_Prec!$AP:$AP,$B395,BV_Data_An_Prec!$AQ:$AQ,$C395,BV_Data_An_Prec!$AR:$AR,$L$2)</f>
        <v>19100.330000000002</v>
      </c>
      <c r="R395" s="243"/>
      <c r="S395" s="266">
        <f t="shared" si="104"/>
        <v>1809.369999999999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141477.46</v>
      </c>
      <c r="M396" s="233"/>
      <c r="N396" s="262" t="e">
        <f t="shared" si="103"/>
        <v>#N/A</v>
      </c>
      <c r="O396" s="233"/>
      <c r="P396" s="301"/>
      <c r="Q396" s="303">
        <f>SUMIFS(BV_Data_An_Prec!$AN:$AN,BV_Data_An_Prec!$AP:$AP,$B396,BV_Data_An_Prec!$AQ:$AQ,$C396,BV_Data_An_Prec!$AR:$AR,$L$2)</f>
        <v>133489.10999999999</v>
      </c>
      <c r="R396" s="233"/>
      <c r="S396" s="303">
        <f t="shared" si="104"/>
        <v>7988.3500000000058</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19563.05</v>
      </c>
      <c r="M401" s="243"/>
      <c r="N401" s="246" t="e">
        <f t="shared" si="103"/>
        <v>#N/A</v>
      </c>
      <c r="O401" s="243"/>
      <c r="P401" s="38"/>
      <c r="Q401" s="266">
        <f>SUMIFS(BV_Data_An_Prec!$AN:$AN,BV_Data_An_Prec!$AP:$AP,$B401,BV_Data_An_Prec!$AQ:$AQ,$C401,BV_Data_An_Prec!$AR:$AR,$L$2)</f>
        <v>17739.57</v>
      </c>
      <c r="R401" s="243"/>
      <c r="S401" s="266">
        <f t="shared" si="104"/>
        <v>1823.4799999999996</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25115.49</v>
      </c>
      <c r="M402" s="233"/>
      <c r="N402" s="262" t="e">
        <f t="shared" si="103"/>
        <v>#N/A</v>
      </c>
      <c r="O402" s="233"/>
      <c r="P402" s="301"/>
      <c r="Q402" s="303">
        <f>SUMIFS(BV_Data_An_Prec!$AN:$AN,BV_Data_An_Prec!$AP:$AP,$B402,BV_Data_An_Prec!$AQ:$AQ,$C402,BV_Data_An_Prec!$AR:$AR,$L$2)</f>
        <v>24797.1</v>
      </c>
      <c r="R402" s="233"/>
      <c r="S402" s="303">
        <f t="shared" si="104"/>
        <v>318.39000000000306</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7776.8</v>
      </c>
      <c r="M403" s="243"/>
      <c r="N403" s="246" t="e">
        <f t="shared" si="103"/>
        <v>#N/A</v>
      </c>
      <c r="O403" s="243"/>
      <c r="P403" s="38"/>
      <c r="Q403" s="266">
        <f>SUMIFS(BV_Data_An_Prec!$AN:$AN,BV_Data_An_Prec!$AP:$AP,$B403,BV_Data_An_Prec!$AQ:$AQ,$C403,BV_Data_An_Prec!$AR:$AR,$L$2)</f>
        <v>11797.05</v>
      </c>
      <c r="R403" s="243"/>
      <c r="S403" s="266">
        <f t="shared" si="104"/>
        <v>-4020.2499999999991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7262.97</v>
      </c>
      <c r="M404" s="243"/>
      <c r="N404" s="246" t="e">
        <f t="shared" si="103"/>
        <v>#N/A</v>
      </c>
      <c r="O404" s="243"/>
      <c r="P404" s="38"/>
      <c r="Q404" s="266">
        <f>SUMIFS(BV_Data_An_Prec!$AN:$AN,BV_Data_An_Prec!$AP:$AP,$B404,BV_Data_An_Prec!$AQ:$AQ,$C404,BV_Data_An_Prec!$AR:$AR,$L$2)</f>
        <v>1666.01</v>
      </c>
      <c r="R404" s="243"/>
      <c r="S404" s="266">
        <f t="shared" si="104"/>
        <v>5596.96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0.31005072050850968</v>
      </c>
      <c r="L406" s="294">
        <f>+SUM(L394:L405)</f>
        <v>243398.98999999996</v>
      </c>
      <c r="M406" s="296"/>
      <c r="N406" s="294" t="e">
        <f t="shared" si="103"/>
        <v>#N/A</v>
      </c>
      <c r="O406" s="295" t="s">
        <v>115</v>
      </c>
      <c r="P406" s="293">
        <f>Q406/Q$390</f>
        <v>0.30384264449491177</v>
      </c>
      <c r="Q406" s="294">
        <f>+SUM(Q394:Q405)</f>
        <v>235899.54</v>
      </c>
      <c r="R406" s="297"/>
      <c r="S406" s="294">
        <f t="shared" si="104"/>
        <v>7499.4499999999534</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7127.92</v>
      </c>
      <c r="M407" s="243"/>
      <c r="N407" s="266" t="e">
        <f t="shared" si="103"/>
        <v>#N/A</v>
      </c>
      <c r="O407" s="243"/>
      <c r="P407" s="38"/>
      <c r="Q407" s="266">
        <f>SUMIFS(BV_Data_An_Prec!$AN:$AN,BV_Data_An_Prec!$AP:$AP,$B407,BV_Data_An_Prec!$AQ:$AQ,$C407,BV_Data_An_Prec!$AR:$AR,$L$2)</f>
        <v>9374.1500000000015</v>
      </c>
      <c r="R407" s="243"/>
      <c r="S407" s="266">
        <f t="shared" si="104"/>
        <v>-2246.2300000000014</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15143.53</v>
      </c>
      <c r="M409" s="238"/>
      <c r="N409" s="286" t="e">
        <f t="shared" si="103"/>
        <v>#N/A</v>
      </c>
      <c r="O409" s="238"/>
      <c r="P409" s="304"/>
      <c r="Q409" s="286">
        <f>SUMIFS(BV_Data_An_Prec!$AN:$AN,BV_Data_An_Prec!$AP:$AP,$B409,BV_Data_An_Prec!$AQ:$AQ,$C409,BV_Data_An_Prec!$AR:$AR,$L$2)</f>
        <v>21881.7</v>
      </c>
      <c r="R409" s="238"/>
      <c r="S409" s="286">
        <f t="shared" si="104"/>
        <v>-6738.17</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15837.58</v>
      </c>
      <c r="M410" s="243"/>
      <c r="N410" s="266" t="e">
        <f t="shared" si="103"/>
        <v>#N/A</v>
      </c>
      <c r="O410" s="243"/>
      <c r="P410" s="38"/>
      <c r="Q410" s="266">
        <f>SUMIFS(BV_Data_An_Prec!$AN:$AN,BV_Data_An_Prec!$AP:$AP,$B410,BV_Data_An_Prec!$AQ:$AQ,$C410,BV_Data_An_Prec!$AR:$AR,$L$2)</f>
        <v>13687.55</v>
      </c>
      <c r="R410" s="243"/>
      <c r="S410" s="266">
        <f t="shared" si="104"/>
        <v>2150.0300000000007</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6811.87</v>
      </c>
      <c r="M411" s="243"/>
      <c r="N411" s="266" t="e">
        <f t="shared" si="103"/>
        <v>#N/A</v>
      </c>
      <c r="O411" s="243"/>
      <c r="P411" s="38"/>
      <c r="Q411" s="266">
        <f>SUMIFS(BV_Data_An_Prec!$AN:$AN,BV_Data_An_Prec!$AP:$AP,$B411,BV_Data_An_Prec!$AQ:$AQ,$C411,BV_Data_An_Prec!$AR:$AR,$L$2)</f>
        <v>8316.43</v>
      </c>
      <c r="R411" s="243"/>
      <c r="S411" s="266">
        <f t="shared" si="104"/>
        <v>-1504.5600000000004</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3305.98</v>
      </c>
      <c r="M416" s="243"/>
      <c r="N416" s="266" t="e">
        <f t="shared" si="103"/>
        <v>#N/A</v>
      </c>
      <c r="O416" s="243"/>
      <c r="P416" s="38"/>
      <c r="Q416" s="266">
        <f>SUMIFS(BV_Data_An_Prec!$AN:$AN,BV_Data_An_Prec!$AP:$AP,$B416,BV_Data_An_Prec!$AQ:$AQ,$C416,BV_Data_An_Prec!$AR:$AR,$L$2)</f>
        <v>4163.09</v>
      </c>
      <c r="R416" s="243"/>
      <c r="S416" s="266">
        <f t="shared" si="104"/>
        <v>-857.11000000000013</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1319.97</v>
      </c>
      <c r="M417" s="243"/>
      <c r="N417" s="266" t="e">
        <f t="shared" si="103"/>
        <v>#N/A</v>
      </c>
      <c r="O417" s="243"/>
      <c r="P417" s="38"/>
      <c r="Q417" s="266">
        <f>SUMIFS(BV_Data_An_Prec!$AN:$AN,BV_Data_An_Prec!$AP:$AP,$B417,BV_Data_An_Prec!$AQ:$AQ,$C417,BV_Data_An_Prec!$AR:$AR,$L$2)</f>
        <v>2795.17</v>
      </c>
      <c r="R417" s="243"/>
      <c r="S417" s="266">
        <f t="shared" si="104"/>
        <v>-1475.2</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3346.24</v>
      </c>
      <c r="M421" s="243"/>
      <c r="N421" s="266" t="e">
        <f t="shared" si="103"/>
        <v>#N/A</v>
      </c>
      <c r="O421" s="243"/>
      <c r="P421" s="38"/>
      <c r="Q421" s="266">
        <f>SUMIFS(BV_Data_An_Prec!$AN:$AN,BV_Data_An_Prec!$AP:$AP,$B421,BV_Data_An_Prec!$AQ:$AQ,$C421,BV_Data_An_Prec!$AR:$AR,Q$2)</f>
        <v>882</v>
      </c>
      <c r="R421" s="243"/>
      <c r="S421" s="266">
        <f t="shared" si="104"/>
        <v>2464.2399999999998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0.12412668419288499</v>
      </c>
      <c r="L425" s="294">
        <f>+SUM(L407:L424)</f>
        <v>97443.12</v>
      </c>
      <c r="M425" s="296"/>
      <c r="N425" s="294" t="e">
        <f>+SUM(N407:N424)</f>
        <v>#N/A</v>
      </c>
      <c r="O425" s="295" t="s">
        <v>115</v>
      </c>
      <c r="P425" s="293">
        <f>Q425/Q$390</f>
        <v>0.13668085975657507</v>
      </c>
      <c r="Q425" s="294">
        <f>+SUM(Q407:Q424)</f>
        <v>106117.27</v>
      </c>
      <c r="R425" s="297"/>
      <c r="S425" s="294">
        <f>+SUM(S407:S424)</f>
        <v>-8674.1500000000051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0.43417740470139471</v>
      </c>
      <c r="L427" s="294">
        <f>L406+L425</f>
        <v>340842.11</v>
      </c>
      <c r="M427" s="296"/>
      <c r="N427" s="294" t="e">
        <f>L427-F427</f>
        <v>#N/A</v>
      </c>
      <c r="O427" s="295" t="s">
        <v>115</v>
      </c>
      <c r="P427" s="293">
        <f>Q427/Q$390</f>
        <v>0.44052350425148684</v>
      </c>
      <c r="Q427" s="294">
        <f>Q406+Q425</f>
        <v>342016.81</v>
      </c>
      <c r="R427" s="297"/>
      <c r="S427" s="294">
        <f>L427-Q427</f>
        <v>-1174.7000000000116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444187.4800000001</v>
      </c>
      <c r="M429" s="958"/>
      <c r="N429" s="956" t="e">
        <f>L429-F429</f>
        <v>#N/A</v>
      </c>
      <c r="O429" s="957"/>
      <c r="P429" s="955"/>
      <c r="Q429" s="956">
        <f>Q390-Q427</f>
        <v>434370.39000000007</v>
      </c>
      <c r="R429" s="959"/>
      <c r="S429" s="956">
        <f>L429-Q429</f>
        <v>9817.0900000000256</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1"/>
      <c r="F434" s="1272"/>
      <c r="G434" s="1275"/>
      <c r="H434" s="1271"/>
      <c r="I434" s="1272"/>
      <c r="J434" s="1275" t="s">
        <v>340</v>
      </c>
      <c r="K434" s="1271"/>
      <c r="L434" s="1272"/>
      <c r="M434" s="1275"/>
      <c r="N434" s="1272"/>
      <c r="O434" s="1270" t="s">
        <v>341</v>
      </c>
      <c r="P434" s="1271"/>
      <c r="Q434" s="1272"/>
      <c r="R434" s="1275" t="s">
        <v>342</v>
      </c>
      <c r="S434" s="127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27456.080000000002</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12135.6</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13619.46</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3052.53</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1954.16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0.11312770493186926</v>
      </c>
      <c r="L464" s="294">
        <f>+SUM(L452:L463)</f>
        <v>62339.170000000006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0.11736818119532283</v>
      </c>
      <c r="L484" s="294">
        <f>L464+L482</f>
        <v>64675.890000000007</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486375.41999999993</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-39710.089999999967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0" t="s">
        <v>592</v>
      </c>
      <c r="Y491" s="1278"/>
      <c r="Z491" s="1281"/>
      <c r="AA491" s="1277"/>
      <c r="AB491" s="1278"/>
      <c r="AC491" s="1281"/>
      <c r="AD491" s="1277" t="s">
        <v>340</v>
      </c>
      <c r="AE491" s="1278"/>
      <c r="AF491" s="1281"/>
      <c r="AG491" s="1277" t="s">
        <v>668</v>
      </c>
      <c r="AH491" s="1278"/>
      <c r="AI491" s="1281"/>
      <c r="AJ491" s="1277" t="s">
        <v>593</v>
      </c>
      <c r="AK491" s="1278"/>
      <c r="AL491" s="1278"/>
      <c r="AM491" s="1277" t="s">
        <v>594</v>
      </c>
      <c r="AN491" s="1278"/>
      <c r="AO491" s="127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164717034.08999994</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3.7711608239655144E-2</v>
      </c>
      <c r="AE494" s="393"/>
      <c r="AF494" s="391">
        <f>L27+L109+L182+L268+L326+L390+L448</f>
        <v>6211744.2599999988</v>
      </c>
      <c r="AG494" s="392"/>
      <c r="AH494" s="393" t="e">
        <f>AF494-Z494</f>
        <v>#N/A</v>
      </c>
      <c r="AI494" s="394" t="e">
        <f>AH494/Z494</f>
        <v>#N/A</v>
      </c>
      <c r="AJ494" s="754">
        <f>+AL494/AL493</f>
        <v>4.0689101914544126E-2</v>
      </c>
      <c r="AK494" s="393"/>
      <c r="AL494" s="391">
        <f>Q27+Q109+Q182+Q268+Q326+Q390+Q448</f>
        <v>7214386.2599999923</v>
      </c>
      <c r="AM494" s="395"/>
      <c r="AN494" s="393">
        <f>AF494-AL494</f>
        <v>-1002641.9999999935</v>
      </c>
      <c r="AO494" s="396">
        <f>IF(AL494=0,0,AN494/AL494)</f>
        <v>-0.13897814226542321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1189.4860844529751</v>
      </c>
      <c r="AF496" s="399">
        <f t="shared" ref="AF496:AF505" si="110">+SUMIF($C:$C,$V496,L:L)</f>
        <v>619722.25</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288.98845022478724</v>
      </c>
      <c r="AN496" s="401">
        <f>AF496-AL496</f>
        <v>83025.660000000033</v>
      </c>
      <c r="AO496" s="408">
        <f>IF(AL496=0,0,AN496/AL496)</f>
        <v>0.15469757316699187</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277.95476007677541</v>
      </c>
      <c r="AF497" s="383">
        <f t="shared" si="110"/>
        <v>144814.43</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70.762310412345897</v>
      </c>
      <c r="AN497" s="385">
        <f t="shared" ref="AN497:AN504" si="117">AF497-AL497</f>
        <v>21327.729999999996</v>
      </c>
      <c r="AO497" s="388">
        <f t="shared" ref="AO497:AO504" si="118">IF(AL497=0,0,AN497/AL497)</f>
        <v>0.17271276987724182</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445.63579654510556</v>
      </c>
      <c r="AF498" s="399">
        <f t="shared" si="110"/>
        <v>232176.25</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501.91913547128007</v>
      </c>
      <c r="AN498" s="401">
        <f t="shared" si="117"/>
        <v>265721.12</v>
      </c>
      <c r="AO498" s="408">
        <f t="shared" si="118"/>
        <v>-7.9213638329795275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40.631401151631479</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32.569555514047586</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20.525738963531669</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20.525738963531669</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-11.81061420345487</v>
      </c>
      <c r="AF501" s="399">
        <f t="shared" si="110"/>
        <v>-6153.3299999999872</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187.23077841399481</v>
      </c>
      <c r="AN501" s="401">
        <f t="shared" si="117"/>
        <v>112475.34000000003</v>
      </c>
      <c r="AO501" s="408">
        <f t="shared" si="118"/>
        <v>-0.94812948674211739</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1438.7964491362764</v>
      </c>
      <c r="AF502" s="399">
        <f t="shared" si="110"/>
        <v>749612.95</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-413.84336629996528</v>
      </c>
      <c r="AN502" s="401">
        <f t="shared" si="117"/>
        <v>-354560.38000000012</v>
      </c>
      <c r="AO502" s="408">
        <f t="shared" si="118"/>
        <v>-0.32110934974312422</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-2840.4819193857966</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544.41600007729039</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-204.5325527831094</v>
      </c>
      <c r="AF504" s="399">
        <f t="shared" si="110"/>
        <v>-106561.45999999999</v>
      </c>
      <c r="AG504" s="400" t="e">
        <f t="shared" si="111"/>
        <v>#N/A</v>
      </c>
      <c r="AH504" s="401" t="e">
        <f t="shared" si="112"/>
        <v>#N/A</v>
      </c>
      <c r="AI504" s="402" t="e">
        <f t="shared" si="113"/>
        <v>#N/A</v>
      </c>
      <c r="AJ504" s="407"/>
      <c r="AK504" s="401">
        <f t="shared" si="115"/>
        <v>0</v>
      </c>
      <c r="AL504" s="399">
        <f>SUMIFS(BV_Data_An_Prec!$AN:$AN,BV_Data_An_Prec!$AQ:$AQ,$V504)</f>
        <v>0</v>
      </c>
      <c r="AM504" s="403">
        <f t="shared" si="116"/>
        <v>-204.5325527831094</v>
      </c>
      <c r="AN504" s="401">
        <f t="shared" si="117"/>
        <v>-106561.45999999999</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2.9876130154785203E-2</v>
      </c>
      <c r="AE506" s="419"/>
      <c r="AF506" s="416">
        <f>SUM(AF496:AF505)</f>
        <v>185582.87999999986</v>
      </c>
      <c r="AG506" s="418"/>
      <c r="AH506" s="419" t="e">
        <f t="shared" ref="AH506:AH538" si="124">AF506-Z506</f>
        <v>#N/A</v>
      </c>
      <c r="AI506" s="415" t="e">
        <f>AH506/Z506</f>
        <v>#N/A</v>
      </c>
      <c r="AJ506" s="417">
        <f>IF($AL$494=0,0,AL506/$AL$494)</f>
        <v>-5.550177181669233E-2</v>
      </c>
      <c r="AK506" s="419"/>
      <c r="AL506" s="416">
        <f>SUM(AL496:AL505)</f>
        <v>-400411.22</v>
      </c>
      <c r="AM506" s="423"/>
      <c r="AN506" s="419">
        <f t="shared" si="122"/>
        <v>585994.09999999986</v>
      </c>
      <c r="AO506" s="396">
        <f t="shared" si="123"/>
        <v>-1.4634807186471945</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100357.48000000001</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-193438.60999999996</v>
      </c>
      <c r="AO507" s="408">
        <f t="shared" si="123"/>
        <v>-0.65841111091709892</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389125</v>
      </c>
      <c r="AG508" s="400"/>
      <c r="AH508" s="401" t="e">
        <f t="shared" si="124"/>
        <v>#N/A</v>
      </c>
      <c r="AI508" s="402" t="e">
        <f t="shared" si="125"/>
        <v>#N/A</v>
      </c>
      <c r="AJ508" s="407"/>
      <c r="AK508" s="406"/>
      <c r="AL508" s="399">
        <f>SUMIFS(BV_Data_An_Prec!$AN:$AN,BV_Data_An_Prec!$AQ:$AQ,$V508)</f>
        <v>734024.15</v>
      </c>
      <c r="AM508" s="403"/>
      <c r="AN508" s="401">
        <f t="shared" si="122"/>
        <v>-344899.15</v>
      </c>
      <c r="AO508" s="408">
        <f t="shared" si="123"/>
        <v>-0.46987439037257833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494892.33999999997</v>
      </c>
      <c r="AG509" s="384"/>
      <c r="AH509" s="385" t="e">
        <f t="shared" si="124"/>
        <v>#N/A</v>
      </c>
      <c r="AI509" s="412" t="e">
        <f t="shared" si="125"/>
        <v>#N/A</v>
      </c>
      <c r="AJ509" s="411"/>
      <c r="AK509" s="410"/>
      <c r="AL509" s="383">
        <f>SUMIFS(BV_Data_An_Prec!$AN:$AN,BV_Data_An_Prec!$AQ:$AQ,$V509)</f>
        <v>597890.6</v>
      </c>
      <c r="AM509" s="387"/>
      <c r="AN509" s="385">
        <f t="shared" si="122"/>
        <v>-102998.26000000001</v>
      </c>
      <c r="AO509" s="388">
        <f t="shared" si="123"/>
        <v>-0.17226940848375943</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281909.12000000005</v>
      </c>
      <c r="AG510" s="400"/>
      <c r="AH510" s="401" t="e">
        <f t="shared" si="124"/>
        <v>#N/A</v>
      </c>
      <c r="AI510" s="402" t="e">
        <f t="shared" si="125"/>
        <v>#N/A</v>
      </c>
      <c r="AJ510" s="407"/>
      <c r="AK510" s="406"/>
      <c r="AL510" s="399">
        <f>SUMIFS(BV_Data_An_Prec!$AN:$AN,BV_Data_An_Prec!$AQ:$AQ,$V510)</f>
        <v>709053.80999999994</v>
      </c>
      <c r="AM510" s="403"/>
      <c r="AN510" s="401">
        <f t="shared" si="122"/>
        <v>-427144.68999999989</v>
      </c>
      <c r="AO510" s="408">
        <f t="shared" si="123"/>
        <v>-0.60241505507177218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37083</v>
      </c>
      <c r="AG511" s="400"/>
      <c r="AH511" s="401" t="e">
        <f t="shared" si="124"/>
        <v>#N/A</v>
      </c>
      <c r="AI511" s="402" t="e">
        <f t="shared" si="125"/>
        <v>#N/A</v>
      </c>
      <c r="AJ511" s="407"/>
      <c r="AK511" s="406"/>
      <c r="AL511" s="399">
        <f>SUMIFS(BV_Data_An_Prec!$AN:$AN,BV_Data_An_Prec!$AQ:$AQ,$V511)</f>
        <v>0</v>
      </c>
      <c r="AM511" s="403"/>
      <c r="AN511" s="401">
        <f t="shared" si="122"/>
        <v>37083</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260029.00999999998</v>
      </c>
      <c r="AG515" s="384"/>
      <c r="AH515" s="385" t="e">
        <f t="shared" si="124"/>
        <v>#N/A</v>
      </c>
      <c r="AI515" s="412" t="e">
        <f t="shared" si="125"/>
        <v>#N/A</v>
      </c>
      <c r="AJ515" s="411"/>
      <c r="AK515" s="410"/>
      <c r="AL515" s="383">
        <f>SUMIFS(BV_Data_An_Prec!$AN:$AN,BV_Data_An_Prec!$AQ:$AQ,$V515)</f>
        <v>298800.94</v>
      </c>
      <c r="AM515" s="387"/>
      <c r="AN515" s="385">
        <f t="shared" si="122"/>
        <v>-38771.930000000022</v>
      </c>
      <c r="AO515" s="388">
        <f t="shared" si="123"/>
        <v>-0.1297583936650267</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405636.37</v>
      </c>
      <c r="AG516" s="400"/>
      <c r="AH516" s="401" t="e">
        <f t="shared" si="124"/>
        <v>#N/A</v>
      </c>
      <c r="AI516" s="402" t="e">
        <f t="shared" si="125"/>
        <v>#N/A</v>
      </c>
      <c r="AJ516" s="407"/>
      <c r="AK516" s="406"/>
      <c r="AL516" s="399">
        <f>SUMIFS(BV_Data_An_Prec!$AN:$AN,BV_Data_An_Prec!$AQ:$AQ,$V516)</f>
        <v>404037.67</v>
      </c>
      <c r="AM516" s="403"/>
      <c r="AN516" s="401">
        <f t="shared" si="122"/>
        <v>1598.7000000000116</v>
      </c>
      <c r="AO516" s="408">
        <f t="shared" si="123"/>
        <v>3.9568092747391892E-3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135952.51999999999</v>
      </c>
      <c r="AG517" s="400"/>
      <c r="AH517" s="401" t="e">
        <f t="shared" si="124"/>
        <v>#N/A</v>
      </c>
      <c r="AI517" s="402" t="e">
        <f t="shared" si="125"/>
        <v>#N/A</v>
      </c>
      <c r="AJ517" s="407"/>
      <c r="AK517" s="406"/>
      <c r="AL517" s="399">
        <f>SUMIFS(BV_Data_An_Prec!$AN:$AN,BV_Data_An_Prec!$AQ:$AQ,$V517)</f>
        <v>192618.09999999998</v>
      </c>
      <c r="AM517" s="403"/>
      <c r="AN517" s="401">
        <f t="shared" si="122"/>
        <v>-56665.579999999987</v>
      </c>
      <c r="AO517" s="408">
        <f t="shared" si="123"/>
        <v>-0.29418616422859528</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78304.11</v>
      </c>
      <c r="AG518" s="400"/>
      <c r="AH518" s="401" t="e">
        <f t="shared" si="124"/>
        <v>#N/A</v>
      </c>
      <c r="AI518" s="420" t="e">
        <f t="shared" si="125"/>
        <v>#N/A</v>
      </c>
      <c r="AJ518" s="407"/>
      <c r="AK518" s="406"/>
      <c r="AL518" s="399">
        <f>SUMIFS(BV_Data_An_Prec!$AN:$AN,BV_Data_An_Prec!$AQ:$AQ,$V518)</f>
        <v>11245.820000000002</v>
      </c>
      <c r="AM518" s="403"/>
      <c r="AN518" s="401">
        <f t="shared" si="122"/>
        <v>67058.289999999994</v>
      </c>
      <c r="AO518" s="408">
        <f t="shared" si="123"/>
        <v>5.9629524570018004</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0.35147759769491865</v>
      </c>
      <c r="AE520" s="421"/>
      <c r="AF520" s="416">
        <f>SUM(AF507:AF519)</f>
        <v>2183288.9499999997</v>
      </c>
      <c r="AG520" s="418"/>
      <c r="AH520" s="419" t="e">
        <f t="shared" si="124"/>
        <v>#N/A</v>
      </c>
      <c r="AI520" s="415" t="e">
        <f>AH520/Z520</f>
        <v>#N/A</v>
      </c>
      <c r="AJ520" s="417">
        <f>IF($AL$494=0,0,AL520/$AL$494)</f>
        <v>0.44930602038488621</v>
      </c>
      <c r="AK520" s="421"/>
      <c r="AL520" s="416">
        <f>SUM(AL507:AL519)</f>
        <v>3241467.1799999997</v>
      </c>
      <c r="AM520" s="423"/>
      <c r="AN520" s="419">
        <f t="shared" si="122"/>
        <v>-1058178.23</v>
      </c>
      <c r="AO520" s="396">
        <f t="shared" si="123"/>
        <v>-0.32645039151684396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34973.17</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7354.7899999999972</v>
      </c>
      <c r="AO521" s="404">
        <f t="shared" si="123"/>
        <v>0.26630055781693196</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36767.610000000008</v>
      </c>
      <c r="AG522" s="400"/>
      <c r="AH522" s="401" t="e">
        <f t="shared" si="124"/>
        <v>#N/A</v>
      </c>
      <c r="AI522" s="402" t="e">
        <f t="shared" si="129"/>
        <v>#N/A</v>
      </c>
      <c r="AJ522" s="407"/>
      <c r="AK522" s="406"/>
      <c r="AL522" s="399">
        <f>SUMIFS(BV_Data_An_Prec!$AN:$AN,BV_Data_An_Prec!$AQ:$AQ,$V522)</f>
        <v>27344.48</v>
      </c>
      <c r="AM522" s="403"/>
      <c r="AN522" s="401">
        <f t="shared" si="122"/>
        <v>9423.1300000000083</v>
      </c>
      <c r="AO522" s="408">
        <f t="shared" si="123"/>
        <v>0.3446081256619255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171161.28</v>
      </c>
      <c r="AG523" s="384"/>
      <c r="AH523" s="385" t="e">
        <f t="shared" si="124"/>
        <v>#N/A</v>
      </c>
      <c r="AI523" s="412" t="e">
        <f t="shared" si="129"/>
        <v>#N/A</v>
      </c>
      <c r="AJ523" s="411"/>
      <c r="AK523" s="410"/>
      <c r="AL523" s="383">
        <f>SUMIFS(BV_Data_An_Prec!$AN:$AN,BV_Data_An_Prec!$AQ:$AQ,$V523)</f>
        <v>80623.64</v>
      </c>
      <c r="AM523" s="387"/>
      <c r="AN523" s="385">
        <f t="shared" si="122"/>
        <v>90537.64</v>
      </c>
      <c r="AO523" s="388">
        <f t="shared" si="123"/>
        <v>1.1229664153094552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93456.04</v>
      </c>
      <c r="AG524" s="400"/>
      <c r="AH524" s="401" t="e">
        <f t="shared" si="124"/>
        <v>#N/A</v>
      </c>
      <c r="AI524" s="402" t="e">
        <f t="shared" si="129"/>
        <v>#N/A</v>
      </c>
      <c r="AJ524" s="407"/>
      <c r="AK524" s="406"/>
      <c r="AL524" s="399">
        <f>SUMIFS(BV_Data_An_Prec!$AN:$AN,BV_Data_An_Prec!$AQ:$AQ,$V524)</f>
        <v>97634.26</v>
      </c>
      <c r="AM524" s="403"/>
      <c r="AN524" s="401">
        <f t="shared" si="122"/>
        <v>-4178.2200000000012</v>
      </c>
      <c r="AO524" s="408">
        <f t="shared" si="123"/>
        <v>-4.2794609187389768E-2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73150.59</v>
      </c>
      <c r="AG525" s="400"/>
      <c r="AH525" s="401" t="e">
        <f t="shared" si="124"/>
        <v>#N/A</v>
      </c>
      <c r="AI525" s="402" t="e">
        <f t="shared" si="129"/>
        <v>#N/A</v>
      </c>
      <c r="AJ525" s="407"/>
      <c r="AK525" s="406"/>
      <c r="AL525" s="399">
        <f>SUMIFS(BV_Data_An_Prec!$AN:$AN,BV_Data_An_Prec!$AQ:$AQ,$V525)</f>
        <v>84226.2</v>
      </c>
      <c r="AM525" s="403"/>
      <c r="AN525" s="401">
        <f t="shared" si="122"/>
        <v>-11075.61</v>
      </c>
      <c r="AO525" s="408">
        <f t="shared" si="123"/>
        <v>-0.13149839361148907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231723.00999999998</v>
      </c>
      <c r="AG526" s="400"/>
      <c r="AH526" s="401" t="e">
        <f t="shared" si="124"/>
        <v>#N/A</v>
      </c>
      <c r="AI526" s="402" t="e">
        <f t="shared" si="129"/>
        <v>#N/A</v>
      </c>
      <c r="AJ526" s="407"/>
      <c r="AK526" s="406"/>
      <c r="AL526" s="399">
        <f>SUMIFS(BV_Data_An_Prec!$AN:$AN,BV_Data_An_Prec!$AQ:$AQ,$V526)</f>
        <v>245150.17999999996</v>
      </c>
      <c r="AM526" s="403"/>
      <c r="AN526" s="401">
        <f t="shared" si="122"/>
        <v>-13427.169999999984</v>
      </c>
      <c r="AO526" s="408">
        <f t="shared" si="123"/>
        <v>-5.4771201881230462E-2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40165.450000000004</v>
      </c>
      <c r="AG530" s="400"/>
      <c r="AH530" s="401" t="e">
        <f t="shared" si="124"/>
        <v>#N/A</v>
      </c>
      <c r="AI530" s="402" t="e">
        <f t="shared" si="129"/>
        <v>#N/A</v>
      </c>
      <c r="AJ530" s="407"/>
      <c r="AK530" s="406"/>
      <c r="AL530" s="399">
        <f>SUMIFS(BV_Data_An_Prec!$AN:$AN,BV_Data_An_Prec!$AQ:$AQ,$V530)</f>
        <v>44176.020000000004</v>
      </c>
      <c r="AM530" s="403"/>
      <c r="AN530" s="401">
        <f t="shared" si="122"/>
        <v>-4010.5699999999997</v>
      </c>
      <c r="AO530" s="408">
        <f t="shared" si="123"/>
        <v>-9.0786132385850954E-2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14818.77</v>
      </c>
      <c r="AG531" s="400"/>
      <c r="AH531" s="401" t="e">
        <f t="shared" si="124"/>
        <v>#N/A</v>
      </c>
      <c r="AI531" s="420" t="e">
        <f t="shared" si="129"/>
        <v>#N/A</v>
      </c>
      <c r="AJ531" s="407"/>
      <c r="AK531" s="406"/>
      <c r="AL531" s="399">
        <f>SUMIFS(BV_Data_An_Prec!$AN:$AN,BV_Data_An_Prec!$AQ:$AQ,$V531)</f>
        <v>29220.489999999998</v>
      </c>
      <c r="AM531" s="403"/>
      <c r="AN531" s="401">
        <f t="shared" si="122"/>
        <v>-14401.719999999998</v>
      </c>
      <c r="AO531" s="408">
        <f t="shared" si="123"/>
        <v>-0.49286374047800013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80640.790000000008</v>
      </c>
      <c r="AG533" s="400"/>
      <c r="AH533" s="401" t="e">
        <f t="shared" si="124"/>
        <v>#N/A</v>
      </c>
      <c r="AI533" s="420" t="e">
        <f t="shared" si="129"/>
        <v>#N/A</v>
      </c>
      <c r="AJ533" s="407"/>
      <c r="AK533" s="406"/>
      <c r="AL533" s="399">
        <f>SUMIFS(BV_Data_An_Prec!$AN:$AN,BV_Data_An_Prec!$AQ:$AQ,$V533)</f>
        <v>77922.549999999988</v>
      </c>
      <c r="AM533" s="403"/>
      <c r="AN533" s="401">
        <f t="shared" si="122"/>
        <v>2718.2400000000198</v>
      </c>
      <c r="AO533" s="408">
        <f t="shared" si="123"/>
        <v>3.4883868661895946E-2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34434.699999999997</v>
      </c>
      <c r="AG535" s="400"/>
      <c r="AH535" s="659" t="e">
        <f t="shared" si="124"/>
        <v>#N/A</v>
      </c>
      <c r="AI535" s="402" t="e">
        <f t="shared" si="129"/>
        <v>#N/A</v>
      </c>
      <c r="AJ535" s="407"/>
      <c r="AK535" s="406"/>
      <c r="AL535" s="399">
        <f>SUMIFS(BV_Data_An_Prec!$AN:$AN,BV_Data_An_Prec!$AQ:$AQ,$V535)</f>
        <v>11472.78</v>
      </c>
      <c r="AM535" s="403"/>
      <c r="AN535" s="401">
        <f t="shared" si="122"/>
        <v>22961.919999999998</v>
      </c>
      <c r="AO535" s="408">
        <f t="shared" si="123"/>
        <v>2.0014259839376329</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0.16702622911909773</v>
      </c>
      <c r="AE539" s="414"/>
      <c r="AF539" s="416">
        <f>+SUM(AF521:AF538)</f>
        <v>1037524.22</v>
      </c>
      <c r="AG539" s="422"/>
      <c r="AH539" s="435" t="e">
        <f>+SUM(AH521:AH538)</f>
        <v>#N/A</v>
      </c>
      <c r="AI539" s="415" t="e">
        <f>AH539/Z539</f>
        <v>#N/A</v>
      </c>
      <c r="AJ539" s="417">
        <f>IF($AL$494=0,0,AL539/$AL$494)</f>
        <v>0.11819842038787662</v>
      </c>
      <c r="AK539" s="414"/>
      <c r="AL539" s="416">
        <f>+SUM(AL521:AL538)</f>
        <v>852729.06</v>
      </c>
      <c r="AM539" s="423"/>
      <c r="AN539" s="419">
        <f t="shared" si="122"/>
        <v>184795.15999999992</v>
      </c>
      <c r="AO539" s="436">
        <f t="shared" si="123"/>
        <v>0.21671028779059073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622307.66999999993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-286215.48</v>
      </c>
      <c r="AO540" s="408">
        <f t="shared" si="123"/>
        <v>-0.3150337776203061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7971.87</v>
      </c>
      <c r="AG548" s="400"/>
      <c r="AH548" s="401" t="e">
        <f t="shared" si="132"/>
        <v>#N/A</v>
      </c>
      <c r="AI548" s="439" t="e">
        <f t="shared" si="133"/>
        <v>#N/A</v>
      </c>
      <c r="AJ548" s="407"/>
      <c r="AK548" s="406"/>
      <c r="AL548" s="399">
        <f>SUMIFS(BV_Data_An_Prec!$AN:$AN,BV_Data_An_Prec!$AQ:$AQ,$V548)</f>
        <v>5619.43</v>
      </c>
      <c r="AM548" s="403"/>
      <c r="AN548" s="401">
        <f t="shared" si="122"/>
        <v>2352.4399999999996</v>
      </c>
      <c r="AO548" s="408">
        <f t="shared" si="123"/>
        <v>0.4186260884111021</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0.16237896761062087</v>
      </c>
      <c r="AE553" s="414"/>
      <c r="AF553" s="416">
        <f>SUM(AF540:AF552)</f>
        <v>1008656.62</v>
      </c>
      <c r="AG553" s="422"/>
      <c r="AH553" s="435" t="e">
        <f>SUM(AH540:AH552)</f>
        <v>#N/A</v>
      </c>
      <c r="AI553" s="415" t="e">
        <f>IF(Z553=0,0,AH553/Z553)</f>
        <v>#N/A</v>
      </c>
      <c r="AJ553" s="417">
        <f>IF($AL$494=0,0,AL553/$AL$494)</f>
        <v>0.18151853017085354</v>
      </c>
      <c r="AK553" s="414"/>
      <c r="AL553" s="416">
        <f>SUM(AL540:AL552)</f>
        <v>1309544.7899999998</v>
      </c>
      <c r="AM553" s="423"/>
      <c r="AN553" s="419">
        <f t="shared" si="122"/>
        <v>-300888.16999999981</v>
      </c>
      <c r="AO553" s="436">
        <f t="shared" si="123"/>
        <v>-0.22976546682301707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0.71075892457942247</v>
      </c>
      <c r="AE555" s="414"/>
      <c r="AF555" s="416">
        <f>AF506+AF520+AF539+AF553</f>
        <v>4415052.67</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-588277.13999999966</v>
      </c>
      <c r="AO555" s="396">
        <f t="shared" ref="AO555:AO568" si="136">IF(AL555=0,0,AN555/AL555)</f>
        <v>-0.11757712610194684</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-8573.9599999999991</v>
      </c>
      <c r="AG556" s="446"/>
      <c r="AH556" s="401" t="e">
        <f t="shared" si="134"/>
        <v>#N/A</v>
      </c>
      <c r="AI556" s="439" t="e">
        <f>IF(AH556=0,0,AH556/Z556)</f>
        <v>#N/A</v>
      </c>
      <c r="AJ556" s="445"/>
      <c r="AK556" s="444"/>
      <c r="AL556" s="426">
        <f>-SUMIFS(BV_Data_An_Prec!$AN:$AN,BV_Data_An_Prec!$AQ:$AQ,$V556)</f>
        <v>259480.08</v>
      </c>
      <c r="AM556" s="447"/>
      <c r="AN556" s="401">
        <f t="shared" si="135"/>
        <v>-268054.03999999998</v>
      </c>
      <c r="AO556" s="408">
        <f t="shared" si="136"/>
        <v>-1.0330428447532465</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130441.62</v>
      </c>
      <c r="AG558" s="450"/>
      <c r="AH558" s="401" t="e">
        <f t="shared" si="134"/>
        <v>#N/A</v>
      </c>
      <c r="AI558" s="420" t="e">
        <f t="shared" ref="AI558:AI567" si="139">IF(AH558=0,0,AH558/Z558)</f>
        <v>#N/A</v>
      </c>
      <c r="AJ558" s="451"/>
      <c r="AL558" s="399">
        <f>-SUMIFS(BV_Data_An_Prec!$AN:$AN,BV_Data_An_Prec!$AQ:$AQ,$V558)</f>
        <v>203730.07</v>
      </c>
      <c r="AM558" s="448"/>
      <c r="AN558" s="401">
        <f t="shared" si="135"/>
        <v>-73288.450000000012</v>
      </c>
      <c r="AO558" s="408">
        <f t="shared" si="136"/>
        <v>-0.35973310174585427</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271886.33999999997</v>
      </c>
      <c r="AG567" s="450"/>
      <c r="AH567" s="401" t="e">
        <f t="shared" si="134"/>
        <v>#N/A</v>
      </c>
      <c r="AI567" s="420" t="e">
        <f t="shared" si="139"/>
        <v>#N/A</v>
      </c>
      <c r="AJ567" s="452"/>
      <c r="AK567" s="437"/>
      <c r="AL567" s="399">
        <f>-SUMIFS(BV_Data_An_Prec!$AN:$AN,BV_Data_An_Prec!$AQ:$AQ,$V567)</f>
        <v>0</v>
      </c>
      <c r="AM567" s="448"/>
      <c r="AN567" s="401">
        <f t="shared" si="135"/>
        <v>271886.33999999997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6.3388636672560006E-2</v>
      </c>
      <c r="AE568" s="434"/>
      <c r="AF568" s="416">
        <f>SUM(AF556:AF567)</f>
        <v>393754</v>
      </c>
      <c r="AG568" s="422"/>
      <c r="AH568" s="419" t="e">
        <f t="shared" si="134"/>
        <v>#N/A</v>
      </c>
      <c r="AI568" s="415" t="e">
        <f>AH568/Z568</f>
        <v>#N/A</v>
      </c>
      <c r="AJ568" s="415"/>
      <c r="AK568" s="434"/>
      <c r="AL568" s="416">
        <f>SUM(AL556:AL567)</f>
        <v>463210.15</v>
      </c>
      <c r="AM568" s="453"/>
      <c r="AN568" s="419">
        <f t="shared" si="135"/>
        <v>-69456.150000000023</v>
      </c>
      <c r="AO568" s="436">
        <f t="shared" si="136"/>
        <v>-0.14994522464587623</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1.3298233556118784E-2</v>
      </c>
      <c r="AF570" s="468">
        <f>AF494-AF555+AF568</f>
        <v>2190445.5899999989</v>
      </c>
      <c r="AG570" s="470"/>
      <c r="AH570" s="470" t="e">
        <f>AF570-Z570</f>
        <v>#N/A</v>
      </c>
      <c r="AI570" s="471" t="e">
        <f>AH570/Z570</f>
        <v>#N/A</v>
      </c>
      <c r="AJ570" s="466" t="s">
        <v>215</v>
      </c>
      <c r="AK570" s="467">
        <f>IF($AL$493=0,0,AL570/$AL$493)</f>
        <v>1.5082850059938603E-2</v>
      </c>
      <c r="AL570" s="468">
        <f>AL494-AL555+AL568</f>
        <v>2674266.5999999926</v>
      </c>
      <c r="AM570" s="472"/>
      <c r="AN570" s="469">
        <f>AF570-AL570</f>
        <v>-483821.00999999372</v>
      </c>
      <c r="AO570" s="473">
        <f>IF(AL570=0,0,AN570/AL570)</f>
        <v>-0.18091726905611993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1.7849146909684987E-2</v>
      </c>
      <c r="AF575" s="752">
        <f>AF576+AF502</f>
        <v>2940058.5399999991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-838381.38999999361</v>
      </c>
      <c r="AO575" s="753">
        <f t="shared" ref="AO575:AO585" si="142">IF(AL575=0,0,AN575/AL575)</f>
        <v>-0.22188559446014408</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1.3298233556118784E-2</v>
      </c>
      <c r="AF576" s="468">
        <f>AF570</f>
        <v>2190445.5899999989</v>
      </c>
      <c r="AG576" s="469"/>
      <c r="AH576" s="470" t="e">
        <f>AF576-Z576</f>
        <v>#N/A</v>
      </c>
      <c r="AI576" s="471" t="e">
        <f>AH576/Z576</f>
        <v>#N/A</v>
      </c>
      <c r="AJ576" s="466" t="s">
        <v>215</v>
      </c>
      <c r="AK576" s="467">
        <f>IF($AL$493=0,0,AL576/$AL$493)</f>
        <v>1.5082850059938603E-2</v>
      </c>
      <c r="AL576" s="468">
        <f>AL570</f>
        <v>2674266.5999999926</v>
      </c>
      <c r="AM576" s="474"/>
      <c r="AN576" s="475">
        <f t="shared" si="141"/>
        <v>-483821.00999999372</v>
      </c>
      <c r="AO576" s="476">
        <f t="shared" si="142"/>
        <v>-0.18091726905611993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32300.36</v>
      </c>
      <c r="AG580" s="35"/>
      <c r="AH580" s="401" t="e">
        <f t="shared" si="143"/>
        <v>#N/A</v>
      </c>
      <c r="AI580" s="420" t="e">
        <f t="shared" si="144"/>
        <v>#N/A</v>
      </c>
      <c r="AJ580" s="35"/>
      <c r="AK580" s="38"/>
      <c r="AL580" s="399">
        <f>SUMIFS(BV_Data_An_Prec!$AN:$AN,BV_Data_An_Prec!$AQ:$AQ,$V580)</f>
        <v>0</v>
      </c>
      <c r="AM580" s="480"/>
      <c r="AN580" s="401">
        <f t="shared" si="141"/>
        <v>32300.36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1.2613425572395818E-2</v>
      </c>
      <c r="AF585" s="468">
        <f>AF576-AF578-AF579-AF580-AF584-AF583</f>
        <v>2077646.0499999989</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-505917.97999999393</v>
      </c>
      <c r="AO585" s="482">
        <f t="shared" si="142"/>
        <v>-0.19582173080494364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2077646.0499999989</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0" t="s">
        <v>339</v>
      </c>
      <c r="E3" s="1271"/>
      <c r="F3" s="1274"/>
      <c r="G3" s="1273" t="s">
        <v>3207</v>
      </c>
      <c r="H3" s="1271"/>
      <c r="I3" s="1274"/>
      <c r="J3" s="1273" t="s">
        <v>340</v>
      </c>
      <c r="K3" s="1271"/>
      <c r="L3" s="1274"/>
      <c r="M3" s="1273" t="s">
        <v>668</v>
      </c>
      <c r="N3" s="1274"/>
      <c r="O3" s="1270" t="s">
        <v>341</v>
      </c>
      <c r="P3" s="1271"/>
      <c r="Q3" s="1274"/>
      <c r="R3" s="1273" t="s">
        <v>670</v>
      </c>
      <c r="S3" s="1274"/>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0" t="s">
        <v>339</v>
      </c>
      <c r="E91" s="1271"/>
      <c r="F91" s="1274"/>
      <c r="G91" s="1273" t="s">
        <v>3210</v>
      </c>
      <c r="H91" s="1271"/>
      <c r="I91" s="1274"/>
      <c r="J91" s="1273" t="s">
        <v>340</v>
      </c>
      <c r="K91" s="1271"/>
      <c r="L91" s="1274"/>
      <c r="M91" s="1273" t="s">
        <v>668</v>
      </c>
      <c r="N91" s="1274"/>
      <c r="O91" s="1270" t="s">
        <v>341</v>
      </c>
      <c r="P91" s="1271"/>
      <c r="Q91" s="1274"/>
      <c r="R91" s="1273" t="s">
        <v>670</v>
      </c>
      <c r="S91" s="127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0" t="s">
        <v>339</v>
      </c>
      <c r="E244" s="1271"/>
      <c r="F244" s="1274"/>
      <c r="G244" s="1273" t="s">
        <v>3210</v>
      </c>
      <c r="H244" s="1271"/>
      <c r="I244" s="1274"/>
      <c r="J244" s="1273" t="s">
        <v>340</v>
      </c>
      <c r="K244" s="1271"/>
      <c r="L244" s="1274"/>
      <c r="M244" s="1273" t="s">
        <v>668</v>
      </c>
      <c r="N244" s="1274"/>
      <c r="O244" s="1270" t="s">
        <v>341</v>
      </c>
      <c r="P244" s="1271"/>
      <c r="Q244" s="1274"/>
      <c r="R244" s="1273" t="s">
        <v>670</v>
      </c>
      <c r="S244" s="1274"/>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0" t="s">
        <v>339</v>
      </c>
      <c r="E312" s="1271"/>
      <c r="F312" s="1274"/>
      <c r="G312" s="1273" t="s">
        <v>3210</v>
      </c>
      <c r="H312" s="1271"/>
      <c r="I312" s="1274"/>
      <c r="J312" s="1273" t="s">
        <v>340</v>
      </c>
      <c r="K312" s="1271"/>
      <c r="L312" s="1274"/>
      <c r="M312" s="1273" t="s">
        <v>668</v>
      </c>
      <c r="N312" s="1274"/>
      <c r="O312" s="1270" t="s">
        <v>341</v>
      </c>
      <c r="P312" s="1271"/>
      <c r="Q312" s="1274"/>
      <c r="R312" s="1273" t="s">
        <v>670</v>
      </c>
      <c r="S312" s="127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0" t="s">
        <v>339</v>
      </c>
      <c r="E369" s="1271"/>
      <c r="F369" s="1274"/>
      <c r="G369" s="1273" t="s">
        <v>3210</v>
      </c>
      <c r="H369" s="1271"/>
      <c r="I369" s="1274"/>
      <c r="J369" s="1273" t="s">
        <v>340</v>
      </c>
      <c r="K369" s="1271"/>
      <c r="L369" s="1274"/>
      <c r="M369" s="1273" t="s">
        <v>668</v>
      </c>
      <c r="N369" s="1274"/>
      <c r="O369" s="1270" t="s">
        <v>341</v>
      </c>
      <c r="P369" s="1271"/>
      <c r="Q369" s="1274"/>
      <c r="R369" s="1273" t="s">
        <v>670</v>
      </c>
      <c r="S369" s="127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0" t="s">
        <v>339</v>
      </c>
      <c r="E434" s="1271"/>
      <c r="F434" s="1274"/>
      <c r="G434" s="1273"/>
      <c r="H434" s="1271"/>
      <c r="I434" s="1274"/>
      <c r="J434" s="1273" t="s">
        <v>340</v>
      </c>
      <c r="K434" s="1271"/>
      <c r="L434" s="1274"/>
      <c r="M434" s="1273"/>
      <c r="N434" s="1274"/>
      <c r="O434" s="1270" t="s">
        <v>341</v>
      </c>
      <c r="P434" s="1271"/>
      <c r="Q434" s="1274"/>
      <c r="R434" s="1273" t="s">
        <v>342</v>
      </c>
      <c r="S434" s="1274"/>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4" t="s">
        <v>592</v>
      </c>
      <c r="Y491" s="1282"/>
      <c r="Z491" s="1281"/>
      <c r="AA491" s="1277" t="s">
        <v>3210</v>
      </c>
      <c r="AB491" s="1282"/>
      <c r="AC491" s="1281"/>
      <c r="AD491" s="1277" t="s">
        <v>340</v>
      </c>
      <c r="AE491" s="1282"/>
      <c r="AF491" s="1281"/>
      <c r="AG491" s="1277" t="s">
        <v>668</v>
      </c>
      <c r="AH491" s="1282"/>
      <c r="AI491" s="1281"/>
      <c r="AJ491" s="1277" t="s">
        <v>593</v>
      </c>
      <c r="AK491" s="1282"/>
      <c r="AL491" s="1282"/>
      <c r="AM491" s="1277" t="s">
        <v>594</v>
      </c>
      <c r="AN491" s="1282"/>
      <c r="AO491" s="128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089"/>
  <sheetViews>
    <sheetView topLeftCell="AF1" zoomScale="80" zoomScaleNormal="80" workbookViewId="0">
      <selection activeCell="AM905" activeCellId="1" sqref="AM692 AM905"/>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308785.03999999998</v>
      </c>
      <c r="O5" s="706">
        <v>308785.03999999998</v>
      </c>
      <c r="P5" s="706">
        <v>0</v>
      </c>
      <c r="Q5" s="706">
        <v>0</v>
      </c>
      <c r="R5" s="706">
        <v>0</v>
      </c>
      <c r="S5" s="706">
        <v>38598.129999999997</v>
      </c>
      <c r="T5" s="706">
        <v>38598.129999999997</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36050.509999999951</v>
      </c>
      <c r="AN5" s="905">
        <f>INDEX(G5:R5,1,MATCH(Parametres!$B$3,G$1:R$1,0))*IF(OR(F5="L",F5="S",F5="I"),-1,1)</f>
        <v>308785.03999999998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83266.759999999995</v>
      </c>
      <c r="O6" s="706">
        <v>83266.759999999995</v>
      </c>
      <c r="P6" s="706">
        <v>0</v>
      </c>
      <c r="Q6" s="706">
        <v>0</v>
      </c>
      <c r="R6" s="706">
        <v>0</v>
      </c>
      <c r="S6" s="706">
        <v>10408.35</v>
      </c>
      <c r="T6" s="706">
        <v>10408.35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1867.75</v>
      </c>
      <c r="AN6" s="905">
        <f>INDEX(G6:R6,1,MATCH(Parametres!$B$3,G$1:R$1,0))*IF(OR(F6="L",F6="S",F6="I"),-1,1)</f>
        <v>83266.759999999995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227670.45</v>
      </c>
      <c r="O7" s="706">
        <v>227670.45</v>
      </c>
      <c r="P7" s="706">
        <v>0</v>
      </c>
      <c r="Q7" s="706">
        <v>0</v>
      </c>
      <c r="R7" s="706">
        <v>0</v>
      </c>
      <c r="S7" s="706">
        <v>28458.81</v>
      </c>
      <c r="T7" s="706">
        <v>28458.81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8399</v>
      </c>
      <c r="AN7" s="905">
        <f>INDEX(G7:R7,1,MATCH(Parametres!$B$3,G$1:R$1,0))*IF(OR(F7="L",F7="S",F7="I"),-1,1)</f>
        <v>227670.45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236367.48</v>
      </c>
      <c r="O8" s="706">
        <v>236998.54</v>
      </c>
      <c r="P8" s="706">
        <v>0</v>
      </c>
      <c r="Q8" s="706">
        <v>0</v>
      </c>
      <c r="R8" s="706">
        <v>0</v>
      </c>
      <c r="S8" s="706">
        <v>29545.94</v>
      </c>
      <c r="T8" s="706">
        <v>29545.94</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-6786.8199999999779</v>
      </c>
      <c r="AN8" s="905">
        <f>INDEX(G8:R8,1,MATCH(Parametres!$B$3,G$1:R$1,0))*IF(OR(F8="L",F8="S",F8="I"),-1,1)</f>
        <v>236367.48</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-15648.67</v>
      </c>
      <c r="O9" s="706">
        <v>-15136.73</v>
      </c>
      <c r="P9" s="706">
        <v>0</v>
      </c>
      <c r="Q9" s="706">
        <v>0</v>
      </c>
      <c r="R9" s="706">
        <v>0</v>
      </c>
      <c r="S9" s="706">
        <v>-1956.08</v>
      </c>
      <c r="T9" s="706">
        <v>-1956.08</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-3445</v>
      </c>
      <c r="AN9" s="905">
        <f>INDEX(G9:R9,1,MATCH(Parametres!$B$3,G$1:R$1,0))*IF(OR(F9="L",F9="S",F9="I"),-1,1)</f>
        <v>-15648.67</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11457.44</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10229.98</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852.71</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17.5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12501.67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-211262</v>
      </c>
      <c r="O19" s="706">
        <v>-211262</v>
      </c>
      <c r="P19" s="706">
        <v>0</v>
      </c>
      <c r="Q19" s="706">
        <v>0</v>
      </c>
      <c r="R19" s="706">
        <v>0</v>
      </c>
      <c r="S19" s="706">
        <v>-26407.75</v>
      </c>
      <c r="T19" s="706">
        <v>-26407.75</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-14039</v>
      </c>
      <c r="AN19" s="905">
        <f>INDEX(G19:R19,1,MATCH(Parametres!$B$3,G$1:R$1,0))*IF(OR(F19="L",F19="S",F19="I"),-1,1)</f>
        <v>-211262</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-60624.34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30107.25</v>
      </c>
      <c r="O23" s="706">
        <v>30107.25</v>
      </c>
      <c r="P23" s="706">
        <v>0</v>
      </c>
      <c r="Q23" s="706">
        <v>0</v>
      </c>
      <c r="R23" s="706">
        <v>0</v>
      </c>
      <c r="S23" s="706">
        <v>3763.41</v>
      </c>
      <c r="T23" s="706">
        <v>3763.41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3028.8499999999985</v>
      </c>
      <c r="AN23" s="905">
        <f>INDEX(G23:R23,1,MATCH(Parametres!$B$3,G$1:R$1,0))*IF(OR(F23="L",F23="S",F23="I"),-1,1)</f>
        <v>30107.25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20071.5</v>
      </c>
      <c r="O25" s="706">
        <v>20071.5</v>
      </c>
      <c r="P25" s="706">
        <v>0</v>
      </c>
      <c r="Q25" s="706">
        <v>0</v>
      </c>
      <c r="R25" s="706">
        <v>0</v>
      </c>
      <c r="S25" s="706">
        <v>2508.94</v>
      </c>
      <c r="T25" s="706">
        <v>2508.94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2019.2400000000016</v>
      </c>
      <c r="AN25" s="905">
        <f>INDEX(G25:R25,1,MATCH(Parametres!$B$3,G$1:R$1,0))*IF(OR(F25="L",F25="S",F25="I"),-1,1)</f>
        <v>20071.5</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30107.25</v>
      </c>
      <c r="O26" s="706">
        <v>30107.25</v>
      </c>
      <c r="P26" s="706">
        <v>0</v>
      </c>
      <c r="Q26" s="706">
        <v>0</v>
      </c>
      <c r="R26" s="706">
        <v>0</v>
      </c>
      <c r="S26" s="706">
        <v>3763.41</v>
      </c>
      <c r="T26" s="706">
        <v>3763.41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3028.8499999999985</v>
      </c>
      <c r="AN26" s="905">
        <f>INDEX(G26:R26,1,MATCH(Parametres!$B$3,G$1:R$1,0))*IF(OR(F26="L",F26="S",F26="I"),-1,1)</f>
        <v>30107.25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10035.74</v>
      </c>
      <c r="O27" s="706">
        <v>10035.74</v>
      </c>
      <c r="P27" s="706">
        <v>0</v>
      </c>
      <c r="Q27" s="706">
        <v>0</v>
      </c>
      <c r="R27" s="706">
        <v>0</v>
      </c>
      <c r="S27" s="706">
        <v>1254.47</v>
      </c>
      <c r="T27" s="706">
        <v>1254.47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1009.6100000000006</v>
      </c>
      <c r="AN27" s="905">
        <f>INDEX(G27:R27,1,MATCH(Parametres!$B$3,G$1:R$1,0))*IF(OR(F27="L",F27="S",F27="I"),-1,1)</f>
        <v>10035.74</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10035.74</v>
      </c>
      <c r="O28" s="706">
        <v>10035.74</v>
      </c>
      <c r="P28" s="706">
        <v>0</v>
      </c>
      <c r="Q28" s="706">
        <v>0</v>
      </c>
      <c r="R28" s="706">
        <v>0</v>
      </c>
      <c r="S28" s="706">
        <v>1254.47</v>
      </c>
      <c r="T28" s="706">
        <v>1254.47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1009.619999999999</v>
      </c>
      <c r="AN28" s="905">
        <f>INDEX(G28:R28,1,MATCH(Parametres!$B$3,G$1:R$1,0))*IF(OR(F28="L",F28="S",F28="I"),-1,1)</f>
        <v>10035.74</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77532.460000000006</v>
      </c>
      <c r="O31" s="706">
        <v>77532.460000000006</v>
      </c>
      <c r="P31" s="706">
        <v>0</v>
      </c>
      <c r="Q31" s="706">
        <v>0</v>
      </c>
      <c r="R31" s="706">
        <v>0</v>
      </c>
      <c r="S31" s="706">
        <v>9691.56</v>
      </c>
      <c r="T31" s="706">
        <v>9691.56</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2880</v>
      </c>
      <c r="AN31" s="905">
        <f>INDEX(G31:R31,1,MATCH(Parametres!$B$3,G$1:R$1,0))*IF(OR(F31="L",F31="S",F31="I"),-1,1)</f>
        <v>77532.460000000006</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65808.55</v>
      </c>
      <c r="O33" s="706">
        <v>65808.55</v>
      </c>
      <c r="P33" s="706">
        <v>0</v>
      </c>
      <c r="Q33" s="706">
        <v>0</v>
      </c>
      <c r="R33" s="706">
        <v>0</v>
      </c>
      <c r="S33" s="706">
        <v>8226.07</v>
      </c>
      <c r="T33" s="706">
        <v>8226.07</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2307.6800000000003</v>
      </c>
      <c r="AN33" s="905">
        <f>INDEX(G33:R33,1,MATCH(Parametres!$B$3,G$1:R$1,0))*IF(OR(F33="L",F33="S",F33="I"),-1,1)</f>
        <v>65808.55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77386.600000000006</v>
      </c>
      <c r="O34" s="706">
        <v>77386.600000000006</v>
      </c>
      <c r="P34" s="706">
        <v>0</v>
      </c>
      <c r="Q34" s="706">
        <v>0</v>
      </c>
      <c r="R34" s="706">
        <v>0</v>
      </c>
      <c r="S34" s="706">
        <v>9673.33</v>
      </c>
      <c r="T34" s="706">
        <v>9673.33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0</v>
      </c>
      <c r="AN34" s="905">
        <f>INDEX(G34:R34,1,MATCH(Parametres!$B$3,G$1:R$1,0))*IF(OR(F34="L",F34="S",F34="I"),-1,1)</f>
        <v>77386.600000000006</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73752.95</v>
      </c>
      <c r="O35" s="706">
        <v>73752.95</v>
      </c>
      <c r="P35" s="706">
        <v>0</v>
      </c>
      <c r="Q35" s="706">
        <v>0</v>
      </c>
      <c r="R35" s="706">
        <v>0</v>
      </c>
      <c r="S35" s="706">
        <v>9219.1200000000008</v>
      </c>
      <c r="T35" s="706">
        <v>9219.1200000000008</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1576.9199999999983</v>
      </c>
      <c r="AN35" s="905">
        <f>INDEX(G35:R35,1,MATCH(Parametres!$B$3,G$1:R$1,0))*IF(OR(F35="L",F35="S",F35="I"),-1,1)</f>
        <v>73752.95</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71250.92</v>
      </c>
      <c r="O36" s="706">
        <v>71250.92</v>
      </c>
      <c r="P36" s="706">
        <v>0</v>
      </c>
      <c r="Q36" s="706">
        <v>0</v>
      </c>
      <c r="R36" s="706">
        <v>0</v>
      </c>
      <c r="S36" s="706">
        <v>8906.3700000000008</v>
      </c>
      <c r="T36" s="706">
        <v>8906.3700000000008</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10048.099999999999</v>
      </c>
      <c r="AN36" s="905">
        <f>INDEX(G36:R36,1,MATCH(Parametres!$B$3,G$1:R$1,0))*IF(OR(F36="L",F36="S",F36="I"),-1,1)</f>
        <v>71250.92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21293.52</v>
      </c>
      <c r="O37" s="706">
        <v>21293.52</v>
      </c>
      <c r="P37" s="706">
        <v>0</v>
      </c>
      <c r="Q37" s="706">
        <v>0</v>
      </c>
      <c r="R37" s="706">
        <v>0</v>
      </c>
      <c r="S37" s="706">
        <v>2661.69</v>
      </c>
      <c r="T37" s="706">
        <v>2661.69</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4413.510000000002</v>
      </c>
      <c r="AN37" s="905">
        <f>INDEX(G37:R37,1,MATCH(Parametres!$B$3,G$1:R$1,0))*IF(OR(F37="L",F37="S",F37="I"),-1,1)</f>
        <v>21293.52</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154015.10999999999</v>
      </c>
      <c r="O41" s="706">
        <v>154015.10999999999</v>
      </c>
      <c r="P41" s="706">
        <v>0</v>
      </c>
      <c r="Q41" s="706">
        <v>0</v>
      </c>
      <c r="R41" s="706">
        <v>0</v>
      </c>
      <c r="S41" s="706">
        <v>19251.89</v>
      </c>
      <c r="T41" s="706">
        <v>19251.89</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6122.0899999999965</v>
      </c>
      <c r="AN41" s="905">
        <f>INDEX(G41:R41,1,MATCH(Parametres!$B$3,G$1:R$1,0))*IF(OR(F41="L",F41="S",F41="I"),-1,1)</f>
        <v>154015.10999999999</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35060.25</v>
      </c>
      <c r="O43" s="706">
        <v>35060.25</v>
      </c>
      <c r="P43" s="706">
        <v>0</v>
      </c>
      <c r="Q43" s="706">
        <v>0</v>
      </c>
      <c r="R43" s="706">
        <v>0</v>
      </c>
      <c r="S43" s="706">
        <v>4382.53</v>
      </c>
      <c r="T43" s="706">
        <v>4382.53</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4081.4000000000015</v>
      </c>
      <c r="AN43" s="905">
        <f>INDEX(G43:R43,1,MATCH(Parametres!$B$3,G$1:R$1,0))*IF(OR(F43="L",F43="S",F43="I"),-1,1)</f>
        <v>35060.25</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34620.44</v>
      </c>
      <c r="O44" s="706">
        <v>34620.44</v>
      </c>
      <c r="P44" s="706">
        <v>0</v>
      </c>
      <c r="Q44" s="706">
        <v>0</v>
      </c>
      <c r="R44" s="706">
        <v>0</v>
      </c>
      <c r="S44" s="706">
        <v>4327.5600000000004</v>
      </c>
      <c r="T44" s="706">
        <v>4327.5600000000004</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-7424.1399999999994</v>
      </c>
      <c r="AN44" s="905">
        <f>INDEX(G44:R44,1,MATCH(Parametres!$B$3,G$1:R$1,0))*IF(OR(F44="L",F44="S",F44="I"),-1,1)</f>
        <v>34620.44</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172490.29</v>
      </c>
      <c r="O45" s="706">
        <v>172490.29</v>
      </c>
      <c r="P45" s="706">
        <v>0</v>
      </c>
      <c r="Q45" s="706">
        <v>0</v>
      </c>
      <c r="R45" s="706">
        <v>0</v>
      </c>
      <c r="S45" s="706">
        <v>21561.29</v>
      </c>
      <c r="T45" s="706">
        <v>21561.29</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4595.3999999999942</v>
      </c>
      <c r="AN45" s="905">
        <f>INDEX(G45:R45,1,MATCH(Parametres!$B$3,G$1:R$1,0))*IF(OR(F45="L",F45="S",F45="I"),-1,1)</f>
        <v>172490.29</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50340.47</v>
      </c>
      <c r="O46" s="706">
        <v>50340.47</v>
      </c>
      <c r="P46" s="706">
        <v>0</v>
      </c>
      <c r="Q46" s="706">
        <v>0</v>
      </c>
      <c r="R46" s="706">
        <v>0</v>
      </c>
      <c r="S46" s="706">
        <v>6292.56</v>
      </c>
      <c r="T46" s="706">
        <v>6292.56</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4791.4199999999983</v>
      </c>
      <c r="AN46" s="905">
        <f>INDEX(G46:R46,1,MATCH(Parametres!$B$3,G$1:R$1,0))*IF(OR(F46="L",F46="S",F46="I"),-1,1)</f>
        <v>50340.47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20909.7</v>
      </c>
      <c r="O47" s="706">
        <v>20909.7</v>
      </c>
      <c r="P47" s="706">
        <v>0</v>
      </c>
      <c r="Q47" s="706">
        <v>0</v>
      </c>
      <c r="R47" s="706">
        <v>0</v>
      </c>
      <c r="S47" s="706">
        <v>2613.71</v>
      </c>
      <c r="T47" s="706">
        <v>2613.71</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1531.7900000000009</v>
      </c>
      <c r="AN47" s="905">
        <f>INDEX(G47:R47,1,MATCH(Parametres!$B$3,G$1:R$1,0))*IF(OR(F47="L",F47="S",F47="I"),-1,1)</f>
        <v>20909.7</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27456.080000000002</v>
      </c>
      <c r="O48" s="706">
        <v>27456.080000000002</v>
      </c>
      <c r="P48" s="706">
        <v>0</v>
      </c>
      <c r="Q48" s="706">
        <v>0</v>
      </c>
      <c r="R48" s="706">
        <v>0</v>
      </c>
      <c r="S48" s="706">
        <v>3432.01</v>
      </c>
      <c r="T48" s="706">
        <v>3432.01</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3050.1000000000022</v>
      </c>
      <c r="AN48" s="905">
        <f>INDEX(G48:R48,1,MATCH(Parametres!$B$3,G$1:R$1,0))*IF(OR(F48="L",F48="S",F48="I"),-1,1)</f>
        <v>27456.080000000002</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36794.589999999997</v>
      </c>
      <c r="O51" s="706">
        <v>36794.589999999997</v>
      </c>
      <c r="P51" s="706">
        <v>0</v>
      </c>
      <c r="Q51" s="706">
        <v>0</v>
      </c>
      <c r="R51" s="706">
        <v>0</v>
      </c>
      <c r="S51" s="706">
        <v>4599.32</v>
      </c>
      <c r="T51" s="706">
        <v>4599.32</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1824.8799999999974</v>
      </c>
      <c r="AN51" s="905">
        <f>INDEX(G51:R51,1,MATCH(Parametres!$B$3,G$1:R$1,0))*IF(OR(F51="L",F51="S",F51="I"),-1,1)</f>
        <v>36794.589999999997</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11794.07</v>
      </c>
      <c r="O53" s="706">
        <v>11794.07</v>
      </c>
      <c r="P53" s="706">
        <v>0</v>
      </c>
      <c r="Q53" s="706">
        <v>0</v>
      </c>
      <c r="R53" s="706">
        <v>0</v>
      </c>
      <c r="S53" s="706">
        <v>1474.26</v>
      </c>
      <c r="T53" s="706">
        <v>1474.26</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591.57999999999993</v>
      </c>
      <c r="AN53" s="905">
        <f>INDEX(G53:R53,1,MATCH(Parametres!$B$3,G$1:R$1,0))*IF(OR(F53="L",F53="S",F53="I"),-1,1)</f>
        <v>11794.07</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86434.71</v>
      </c>
      <c r="O55" s="706">
        <v>86434.71</v>
      </c>
      <c r="P55" s="706">
        <v>0</v>
      </c>
      <c r="Q55" s="706">
        <v>0</v>
      </c>
      <c r="R55" s="706">
        <v>0</v>
      </c>
      <c r="S55" s="706">
        <v>10804.34</v>
      </c>
      <c r="T55" s="706">
        <v>10804.34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3552.4000000000087</v>
      </c>
      <c r="AN55" s="905">
        <f>INDEX(G55:R55,1,MATCH(Parametres!$B$3,G$1:R$1,0))*IF(OR(F55="L",F55="S",F55="I"),-1,1)</f>
        <v>86434.71</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37083</v>
      </c>
      <c r="O56" s="706">
        <v>37083</v>
      </c>
      <c r="P56" s="706">
        <v>0</v>
      </c>
      <c r="Q56" s="706">
        <v>0</v>
      </c>
      <c r="R56" s="706">
        <v>0</v>
      </c>
      <c r="S56" s="706">
        <v>4635.38</v>
      </c>
      <c r="T56" s="706">
        <v>4635.38</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5670</v>
      </c>
      <c r="AN56" s="905">
        <f>INDEX(G56:R56,1,MATCH(Parametres!$B$3,G$1:R$1,0))*IF(OR(F56="L",F56="S",F56="I"),-1,1)</f>
        <v>37083</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3386.95</v>
      </c>
      <c r="O57" s="706">
        <v>5374.95</v>
      </c>
      <c r="P57" s="706">
        <v>0</v>
      </c>
      <c r="Q57" s="706">
        <v>0</v>
      </c>
      <c r="R57" s="706">
        <v>0</v>
      </c>
      <c r="S57" s="706">
        <v>423.37</v>
      </c>
      <c r="T57" s="706">
        <v>423.37</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1.7999999999997272</v>
      </c>
      <c r="AN57" s="905">
        <f>INDEX(G57:R57,1,MATCH(Parametres!$B$3,G$1:R$1,0))*IF(OR(F57="L",F57="S",F57="I"),-1,1)</f>
        <v>3386.95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141477.46</v>
      </c>
      <c r="O58" s="706">
        <v>141477.46</v>
      </c>
      <c r="P58" s="706">
        <v>0</v>
      </c>
      <c r="Q58" s="706">
        <v>0</v>
      </c>
      <c r="R58" s="706">
        <v>0</v>
      </c>
      <c r="S58" s="706">
        <v>17684.68</v>
      </c>
      <c r="T58" s="706">
        <v>17684.68</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9089.429999999993</v>
      </c>
      <c r="AN58" s="905">
        <f>INDEX(G58:R58,1,MATCH(Parametres!$B$3,G$1:R$1,0))*IF(OR(F58="L",F58="S",F58="I"),-1,1)</f>
        <v>141477.46</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55881.85</v>
      </c>
      <c r="O62" s="706">
        <v>55881.85</v>
      </c>
      <c r="P62" s="706">
        <v>0</v>
      </c>
      <c r="Q62" s="706">
        <v>0</v>
      </c>
      <c r="R62" s="706">
        <v>0</v>
      </c>
      <c r="S62" s="706">
        <v>6985.23</v>
      </c>
      <c r="T62" s="706">
        <v>6985.23</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1568.8199999999997</v>
      </c>
      <c r="AN62" s="905">
        <f>INDEX(G62:R62,1,MATCH(Parametres!$B$3,G$1:R$1,0))*IF(OR(F62="L",F62="S",F62="I"),-1,1)</f>
        <v>55881.85</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22070.41</v>
      </c>
      <c r="O63" s="706">
        <v>22070.41</v>
      </c>
      <c r="P63" s="706">
        <v>0</v>
      </c>
      <c r="Q63" s="706">
        <v>0</v>
      </c>
      <c r="R63" s="706">
        <v>0</v>
      </c>
      <c r="S63" s="706">
        <v>2758.8</v>
      </c>
      <c r="T63" s="706">
        <v>2758.8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895.32999999999811</v>
      </c>
      <c r="AN63" s="905">
        <f>INDEX(G63:R63,1,MATCH(Parametres!$B$3,G$1:R$1,0))*IF(OR(F63="L",F63="S",F63="I"),-1,1)</f>
        <v>22070.41</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14624.3</v>
      </c>
      <c r="O64" s="706">
        <v>14624.3</v>
      </c>
      <c r="P64" s="706">
        <v>0</v>
      </c>
      <c r="Q64" s="706">
        <v>0</v>
      </c>
      <c r="R64" s="706">
        <v>0</v>
      </c>
      <c r="S64" s="706">
        <v>1828.04</v>
      </c>
      <c r="T64" s="706">
        <v>1828.04</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893.67000000000007</v>
      </c>
      <c r="AN64" s="905">
        <f>INDEX(G64:R64,1,MATCH(Parametres!$B$3,G$1:R$1,0))*IF(OR(F64="L",F64="S",F64="I"),-1,1)</f>
        <v>14624.3</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102912.18</v>
      </c>
      <c r="O65" s="706">
        <v>102912.18</v>
      </c>
      <c r="P65" s="706">
        <v>0</v>
      </c>
      <c r="Q65" s="706">
        <v>0</v>
      </c>
      <c r="R65" s="706">
        <v>0</v>
      </c>
      <c r="S65" s="706">
        <v>12864.02</v>
      </c>
      <c r="T65" s="706">
        <v>12864.02</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4902.3799999999901</v>
      </c>
      <c r="AN65" s="905">
        <f>INDEX(G65:R65,1,MATCH(Parametres!$B$3,G$1:R$1,0))*IF(OR(F65="L",F65="S",F65="I"),-1,1)</f>
        <v>102912.18</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32841.620000000003</v>
      </c>
      <c r="O66" s="706">
        <v>32841.620000000003</v>
      </c>
      <c r="P66" s="706">
        <v>0</v>
      </c>
      <c r="Q66" s="706">
        <v>0</v>
      </c>
      <c r="R66" s="706">
        <v>0</v>
      </c>
      <c r="S66" s="706">
        <v>4105.2</v>
      </c>
      <c r="T66" s="706">
        <v>4105.2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2356.2400000000016</v>
      </c>
      <c r="AN66" s="905">
        <f>INDEX(G66:R66,1,MATCH(Parametres!$B$3,G$1:R$1,0))*IF(OR(F66="L",F66="S",F66="I"),-1,1)</f>
        <v>32841.620000000003</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19563.05</v>
      </c>
      <c r="O67" s="706">
        <v>19563.05</v>
      </c>
      <c r="P67" s="706">
        <v>0</v>
      </c>
      <c r="Q67" s="706">
        <v>0</v>
      </c>
      <c r="R67" s="706">
        <v>0</v>
      </c>
      <c r="S67" s="706">
        <v>2445.38</v>
      </c>
      <c r="T67" s="706">
        <v>2445.38</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1248.2199999999975</v>
      </c>
      <c r="AN67" s="905">
        <f>INDEX(G67:R67,1,MATCH(Parametres!$B$3,G$1:R$1,0))*IF(OR(F67="L",F67="S",F67="I"),-1,1)</f>
        <v>19563.05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12135.6</v>
      </c>
      <c r="O68" s="706">
        <v>12135.6</v>
      </c>
      <c r="P68" s="706">
        <v>0</v>
      </c>
      <c r="Q68" s="706">
        <v>0</v>
      </c>
      <c r="R68" s="706">
        <v>0</v>
      </c>
      <c r="S68" s="706">
        <v>1516.95</v>
      </c>
      <c r="T68" s="706">
        <v>1516.95</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2013.2200000000012</v>
      </c>
      <c r="AN68" s="905">
        <f>INDEX(G68:R68,1,MATCH(Parametres!$B$3,G$1:R$1,0))*IF(OR(F68="L",F68="S",F68="I"),-1,1)</f>
        <v>12135.6</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113251.84</v>
      </c>
      <c r="O71" s="706">
        <v>113251.84</v>
      </c>
      <c r="P71" s="706">
        <v>0</v>
      </c>
      <c r="Q71" s="706">
        <v>0</v>
      </c>
      <c r="R71" s="706">
        <v>0</v>
      </c>
      <c r="S71" s="706">
        <v>14156.48</v>
      </c>
      <c r="T71" s="706">
        <v>14156.48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5207.7899999999936</v>
      </c>
      <c r="AN71" s="905">
        <f>INDEX(G71:R71,1,MATCH(Parametres!$B$3,G$1:R$1,0))*IF(OR(F71="L",F71="S",F71="I"),-1,1)</f>
        <v>113251.84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28602.46</v>
      </c>
      <c r="O73" s="706">
        <v>28602.46</v>
      </c>
      <c r="P73" s="706">
        <v>0</v>
      </c>
      <c r="Q73" s="706">
        <v>0</v>
      </c>
      <c r="R73" s="706">
        <v>0</v>
      </c>
      <c r="S73" s="706">
        <v>3575.31</v>
      </c>
      <c r="T73" s="706">
        <v>3575.31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3657.2799999999988</v>
      </c>
      <c r="AN73" s="905">
        <f>INDEX(G73:R73,1,MATCH(Parametres!$B$3,G$1:R$1,0))*IF(OR(F73="L",F73="S",F73="I"),-1,1)</f>
        <v>28602.46</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46424.04</v>
      </c>
      <c r="O74" s="706">
        <v>46424.04</v>
      </c>
      <c r="P74" s="706">
        <v>0</v>
      </c>
      <c r="Q74" s="706">
        <v>0</v>
      </c>
      <c r="R74" s="706">
        <v>0</v>
      </c>
      <c r="S74" s="706">
        <v>5803.01</v>
      </c>
      <c r="T74" s="706">
        <v>5803.01</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-1345.5299999999988</v>
      </c>
      <c r="AN74" s="905">
        <f>INDEX(G74:R74,1,MATCH(Parametres!$B$3,G$1:R$1,0))*IF(OR(F74="L",F74="S",F74="I"),-1,1)</f>
        <v>46424.04</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135147.66</v>
      </c>
      <c r="O75" s="706">
        <v>135147.66</v>
      </c>
      <c r="P75" s="706">
        <v>0</v>
      </c>
      <c r="Q75" s="706">
        <v>0</v>
      </c>
      <c r="R75" s="706">
        <v>0</v>
      </c>
      <c r="S75" s="706">
        <v>16893.46</v>
      </c>
      <c r="T75" s="706">
        <v>16893.46</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12618.260000000009</v>
      </c>
      <c r="AN75" s="905">
        <f>INDEX(G75:R75,1,MATCH(Parametres!$B$3,G$1:R$1,0))*IF(OR(F75="L",F75="S",F75="I"),-1,1)</f>
        <v>135147.66</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43475.42</v>
      </c>
      <c r="O76" s="706">
        <v>43475.42</v>
      </c>
      <c r="P76" s="706">
        <v>0</v>
      </c>
      <c r="Q76" s="706">
        <v>0</v>
      </c>
      <c r="R76" s="706">
        <v>0</v>
      </c>
      <c r="S76" s="706">
        <v>5434.43</v>
      </c>
      <c r="T76" s="706">
        <v>5434.43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3802.8600000000006</v>
      </c>
      <c r="AN76" s="905">
        <f>INDEX(G76:R76,1,MATCH(Parametres!$B$3,G$1:R$1,0))*IF(OR(F76="L",F76="S",F76="I"),-1,1)</f>
        <v>43475.42</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25115.49</v>
      </c>
      <c r="O77" s="706">
        <v>25115.49</v>
      </c>
      <c r="P77" s="706">
        <v>0</v>
      </c>
      <c r="Q77" s="706">
        <v>0</v>
      </c>
      <c r="R77" s="706">
        <v>0</v>
      </c>
      <c r="S77" s="706">
        <v>3139.44</v>
      </c>
      <c r="T77" s="706">
        <v>3139.44</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2295.8900000000031</v>
      </c>
      <c r="AN77" s="905">
        <f>INDEX(G77:R77,1,MATCH(Parametres!$B$3,G$1:R$1,0))*IF(OR(F77="L",F77="S",F77="I"),-1,1)</f>
        <v>25115.49</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13619.46</v>
      </c>
      <c r="O78" s="706">
        <v>13619.46</v>
      </c>
      <c r="P78" s="706">
        <v>0</v>
      </c>
      <c r="Q78" s="706">
        <v>0</v>
      </c>
      <c r="R78" s="706">
        <v>0</v>
      </c>
      <c r="S78" s="706">
        <v>1702.43</v>
      </c>
      <c r="T78" s="706">
        <v>1702.43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3566.4299999999985</v>
      </c>
      <c r="AN78" s="905">
        <f>INDEX(G78:R78,1,MATCH(Parametres!$B$3,G$1:R$1,0))*IF(OR(F78="L",F78="S",F78="I"),-1,1)</f>
        <v>13619.46</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27366.92</v>
      </c>
      <c r="O81" s="706">
        <v>27366.92</v>
      </c>
      <c r="P81" s="706">
        <v>0</v>
      </c>
      <c r="Q81" s="706">
        <v>0</v>
      </c>
      <c r="R81" s="706">
        <v>0</v>
      </c>
      <c r="S81" s="706">
        <v>3420.87</v>
      </c>
      <c r="T81" s="706">
        <v>3420.87</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712.09999999999854</v>
      </c>
      <c r="AN81" s="905">
        <f>INDEX(G81:R81,1,MATCH(Parametres!$B$3,G$1:R$1,0))*IF(OR(F81="L",F81="S",F81="I"),-1,1)</f>
        <v>27366.92</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17729.509999999998</v>
      </c>
      <c r="O83" s="706">
        <v>17729.509999999998</v>
      </c>
      <c r="P83" s="706">
        <v>0</v>
      </c>
      <c r="Q83" s="706">
        <v>0</v>
      </c>
      <c r="R83" s="706">
        <v>0</v>
      </c>
      <c r="S83" s="706">
        <v>2216.19</v>
      </c>
      <c r="T83" s="706">
        <v>2216.19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321.23999999999796</v>
      </c>
      <c r="AN83" s="905">
        <f>INDEX(G83:R83,1,MATCH(Parametres!$B$3,G$1:R$1,0))*IF(OR(F83="L",F83="S",F83="I"),-1,1)</f>
        <v>17729.509999999998</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8388.23</v>
      </c>
      <c r="O84" s="706">
        <v>8388.23</v>
      </c>
      <c r="P84" s="706">
        <v>0</v>
      </c>
      <c r="Q84" s="706">
        <v>0</v>
      </c>
      <c r="R84" s="706">
        <v>0</v>
      </c>
      <c r="S84" s="706">
        <v>1048.53</v>
      </c>
      <c r="T84" s="706">
        <v>1048.53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406.10999999999967</v>
      </c>
      <c r="AN84" s="905">
        <f>INDEX(G84:R84,1,MATCH(Parametres!$B$3,G$1:R$1,0))*IF(OR(F84="L",F84="S",F84="I"),-1,1)</f>
        <v>8388.23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57216.51</v>
      </c>
      <c r="O85" s="706">
        <v>57650.55</v>
      </c>
      <c r="P85" s="706">
        <v>0</v>
      </c>
      <c r="Q85" s="706">
        <v>0</v>
      </c>
      <c r="R85" s="706">
        <v>0</v>
      </c>
      <c r="S85" s="706">
        <v>7152.06</v>
      </c>
      <c r="T85" s="706">
        <v>7152.06</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3485.260000000002</v>
      </c>
      <c r="AN85" s="905">
        <f>INDEX(G85:R85,1,MATCH(Parametres!$B$3,G$1:R$1,0))*IF(OR(F85="L",F85="S",F85="I"),-1,1)</f>
        <v>57216.51</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14422.02</v>
      </c>
      <c r="O86" s="706">
        <v>14528.57</v>
      </c>
      <c r="P86" s="706">
        <v>0</v>
      </c>
      <c r="Q86" s="706">
        <v>0</v>
      </c>
      <c r="R86" s="706">
        <v>0</v>
      </c>
      <c r="S86" s="706">
        <v>1802.75</v>
      </c>
      <c r="T86" s="706">
        <v>1802.75</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840.69000000000051</v>
      </c>
      <c r="AN86" s="905">
        <f>INDEX(G86:R86,1,MATCH(Parametres!$B$3,G$1:R$1,0))*IF(OR(F86="L",F86="S",F86="I"),-1,1)</f>
        <v>14422.02</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7776.8</v>
      </c>
      <c r="O87" s="706">
        <v>7776.8</v>
      </c>
      <c r="P87" s="706">
        <v>0</v>
      </c>
      <c r="Q87" s="706">
        <v>0</v>
      </c>
      <c r="R87" s="706">
        <v>0</v>
      </c>
      <c r="S87" s="706">
        <v>972.1</v>
      </c>
      <c r="T87" s="706">
        <v>972.1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261.32999999999993</v>
      </c>
      <c r="AN87" s="905">
        <f>INDEX(G87:R87,1,MATCH(Parametres!$B$3,G$1:R$1,0))*IF(OR(F87="L",F87="S",F87="I"),-1,1)</f>
        <v>7776.8</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3052.53</v>
      </c>
      <c r="O88" s="706">
        <v>3052.53</v>
      </c>
      <c r="P88" s="706">
        <v>0</v>
      </c>
      <c r="Q88" s="706">
        <v>0</v>
      </c>
      <c r="R88" s="706">
        <v>0</v>
      </c>
      <c r="S88" s="706">
        <v>381.57</v>
      </c>
      <c r="T88" s="706">
        <v>381.57</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936.05000000000018</v>
      </c>
      <c r="AN88" s="905">
        <f>INDEX(G88:R88,1,MATCH(Parametres!$B$3,G$1:R$1,0))*IF(OR(F88="L",F88="S",F88="I"),-1,1)</f>
        <v>3052.53</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21025.95</v>
      </c>
      <c r="O92" s="706">
        <v>21025.95</v>
      </c>
      <c r="P92" s="706">
        <v>0</v>
      </c>
      <c r="Q92" s="706">
        <v>0</v>
      </c>
      <c r="R92" s="706">
        <v>0</v>
      </c>
      <c r="S92" s="706">
        <v>2628.24</v>
      </c>
      <c r="T92" s="706">
        <v>2628.24</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3484.5499999999993</v>
      </c>
      <c r="AN92" s="905">
        <f>INDEX(G92:R92,1,MATCH(Parametres!$B$3,G$1:R$1,0))*IF(OR(F92="L",F92="S",F92="I"),-1,1)</f>
        <v>21025.95</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12876.3</v>
      </c>
      <c r="O94" s="706">
        <v>12876.3</v>
      </c>
      <c r="P94" s="706">
        <v>0</v>
      </c>
      <c r="Q94" s="706">
        <v>0</v>
      </c>
      <c r="R94" s="706">
        <v>0</v>
      </c>
      <c r="S94" s="706">
        <v>1609.54</v>
      </c>
      <c r="T94" s="706">
        <v>1609.54</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2379.9799999999996</v>
      </c>
      <c r="AN94" s="905">
        <f>INDEX(G94:R94,1,MATCH(Parametres!$B$3,G$1:R$1,0))*IF(OR(F94="L",F94="S",F94="I"),-1,1)</f>
        <v>12876.3</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969.07</v>
      </c>
      <c r="O95" s="706">
        <v>969.07</v>
      </c>
      <c r="P95" s="706">
        <v>0</v>
      </c>
      <c r="Q95" s="706">
        <v>0</v>
      </c>
      <c r="R95" s="706">
        <v>0</v>
      </c>
      <c r="S95" s="706">
        <v>121.13</v>
      </c>
      <c r="T95" s="706">
        <v>121.13</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204.42000000000007</v>
      </c>
      <c r="AN95" s="905">
        <f>INDEX(G95:R95,1,MATCH(Parametres!$B$3,G$1:R$1,0))*IF(OR(F95="L",F95="S",F95="I"),-1,1)</f>
        <v>969.07</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26414.16</v>
      </c>
      <c r="O96" s="706">
        <v>26414.16</v>
      </c>
      <c r="P96" s="706">
        <v>0</v>
      </c>
      <c r="Q96" s="706">
        <v>0</v>
      </c>
      <c r="R96" s="706">
        <v>0</v>
      </c>
      <c r="S96" s="706">
        <v>3301.77</v>
      </c>
      <c r="T96" s="706">
        <v>3301.77</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4091.1899999999987</v>
      </c>
      <c r="AN96" s="905">
        <f>INDEX(G96:R96,1,MATCH(Parametres!$B$3,G$1:R$1,0))*IF(OR(F96="L",F96="S",F96="I"),-1,1)</f>
        <v>26414.16</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7801.5</v>
      </c>
      <c r="O97" s="706">
        <v>7801.5</v>
      </c>
      <c r="P97" s="706">
        <v>0</v>
      </c>
      <c r="Q97" s="706">
        <v>0</v>
      </c>
      <c r="R97" s="706">
        <v>0</v>
      </c>
      <c r="S97" s="706">
        <v>975.19</v>
      </c>
      <c r="T97" s="706">
        <v>975.19</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1451.8400000000001</v>
      </c>
      <c r="AN97" s="905">
        <f>INDEX(G97:R97,1,MATCH(Parametres!$B$3,G$1:R$1,0))*IF(OR(F97="L",F97="S",F97="I"),-1,1)</f>
        <v>7801.5</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7262.97</v>
      </c>
      <c r="O98" s="706">
        <v>7262.97</v>
      </c>
      <c r="P98" s="706">
        <v>0</v>
      </c>
      <c r="Q98" s="706">
        <v>0</v>
      </c>
      <c r="R98" s="706">
        <v>0</v>
      </c>
      <c r="S98" s="706">
        <v>907.87</v>
      </c>
      <c r="T98" s="706">
        <v>907.87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1103.6300000000001</v>
      </c>
      <c r="AN98" s="905">
        <f>INDEX(G98:R98,1,MATCH(Parametres!$B$3,G$1:R$1,0))*IF(OR(F98="L",F98="S",F98="I"),-1,1)</f>
        <v>7262.97</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1954.16</v>
      </c>
      <c r="O99" s="706">
        <v>1954.16</v>
      </c>
      <c r="P99" s="706">
        <v>0</v>
      </c>
      <c r="Q99" s="706">
        <v>0</v>
      </c>
      <c r="R99" s="706">
        <v>0</v>
      </c>
      <c r="S99" s="706">
        <v>244.27</v>
      </c>
      <c r="T99" s="706">
        <v>244.27</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619.72</v>
      </c>
      <c r="AN99" s="905">
        <f>INDEX(G99:R99,1,MATCH(Parametres!$B$3,G$1:R$1,0))*IF(OR(F99="L",F99="S",F99="I"),-1,1)</f>
        <v>1954.16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13481.04</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9530.85</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9216.24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3054.47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8469.51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76970.02</v>
      </c>
      <c r="O109" s="706">
        <v>76970.02</v>
      </c>
      <c r="P109" s="706">
        <v>0</v>
      </c>
      <c r="Q109" s="706">
        <v>0</v>
      </c>
      <c r="R109" s="706">
        <v>0</v>
      </c>
      <c r="S109" s="706">
        <v>9621.25</v>
      </c>
      <c r="T109" s="706">
        <v>9621.25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-561.34999999999127</v>
      </c>
      <c r="AN109" s="905">
        <f>INDEX(G109:R109,1,MATCH(Parametres!$B$3,G$1:R$1,0))*IF(OR(F109="L",F109="S",F109="I"),-1,1)</f>
        <v>76970.02</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32572.87</v>
      </c>
      <c r="O110" s="706">
        <v>32572.87</v>
      </c>
      <c r="P110" s="706">
        <v>0</v>
      </c>
      <c r="Q110" s="706">
        <v>0</v>
      </c>
      <c r="R110" s="706">
        <v>0</v>
      </c>
      <c r="S110" s="706">
        <v>4071.61</v>
      </c>
      <c r="T110" s="706">
        <v>4071.61</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-45.889999999999418</v>
      </c>
      <c r="AN110" s="905">
        <f>INDEX(G110:R110,1,MATCH(Parametres!$B$3,G$1:R$1,0))*IF(OR(F110="L",F110="S",F110="I"),-1,1)</f>
        <v>32572.87</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38361.18</v>
      </c>
      <c r="O112" s="706">
        <v>38361.18</v>
      </c>
      <c r="P112" s="706">
        <v>0</v>
      </c>
      <c r="Q112" s="706">
        <v>0</v>
      </c>
      <c r="R112" s="706">
        <v>0</v>
      </c>
      <c r="S112" s="706">
        <v>4795.1499999999996</v>
      </c>
      <c r="T112" s="706">
        <v>4795.1499999999996</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1333.9499999999971</v>
      </c>
      <c r="AN112" s="905">
        <f>INDEX(G112:R112,1,MATCH(Parametres!$B$3,G$1:R$1,0))*IF(OR(F112="L",F112="S",F112="I"),-1,1)</f>
        <v>38361.18</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-2513.87</v>
      </c>
      <c r="O113" s="706">
        <v>-2513.87</v>
      </c>
      <c r="P113" s="706">
        <v>0</v>
      </c>
      <c r="Q113" s="706">
        <v>0</v>
      </c>
      <c r="R113" s="706">
        <v>0</v>
      </c>
      <c r="S113" s="706">
        <v>-314.23</v>
      </c>
      <c r="T113" s="706">
        <v>-314.23</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-1590</v>
      </c>
      <c r="AN113" s="905">
        <f>INDEX(G113:R113,1,MATCH(Parametres!$B$3,G$1:R$1,0))*IF(OR(F113="L",F113="S",F113="I"),-1,1)</f>
        <v>-2513.87</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15143.53</v>
      </c>
      <c r="O114" s="706">
        <v>15143.53</v>
      </c>
      <c r="P114" s="706">
        <v>0</v>
      </c>
      <c r="Q114" s="706">
        <v>0</v>
      </c>
      <c r="R114" s="706">
        <v>0</v>
      </c>
      <c r="S114" s="706">
        <v>1892.94</v>
      </c>
      <c r="T114" s="706">
        <v>1892.94</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241.71000000000095</v>
      </c>
      <c r="AN114" s="905">
        <f>INDEX(G114:R114,1,MATCH(Parametres!$B$3,G$1:R$1,0))*IF(OR(F114="L",F114="S",F114="I"),-1,1)</f>
        <v>15143.53</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10221.01</v>
      </c>
      <c r="O124" s="706">
        <v>10221.01</v>
      </c>
      <c r="P124" s="706">
        <v>0</v>
      </c>
      <c r="Q124" s="706">
        <v>0</v>
      </c>
      <c r="R124" s="706">
        <v>0</v>
      </c>
      <c r="S124" s="706">
        <v>1277.6300000000001</v>
      </c>
      <c r="T124" s="706">
        <v>1277.6300000000001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255.18000000000029</v>
      </c>
      <c r="AN124" s="905">
        <f>INDEX(G124:R124,1,MATCH(Parametres!$B$3,G$1:R$1,0))*IF(OR(F124="L",F124="S",F124="I"),-1,1)</f>
        <v>10221.01</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7249.13</v>
      </c>
      <c r="O125" s="706">
        <v>7249.13</v>
      </c>
      <c r="P125" s="706">
        <v>0</v>
      </c>
      <c r="Q125" s="706">
        <v>0</v>
      </c>
      <c r="R125" s="706">
        <v>0</v>
      </c>
      <c r="S125" s="706">
        <v>906.14</v>
      </c>
      <c r="T125" s="706">
        <v>906.14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245.94999999999982</v>
      </c>
      <c r="AN125" s="905">
        <f>INDEX(G125:R125,1,MATCH(Parametres!$B$3,G$1:R$1,0))*IF(OR(F125="L",F125="S",F125="I"),-1,1)</f>
        <v>7249.13</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10219.459999999999</v>
      </c>
      <c r="O127" s="706">
        <v>10219.459999999999</v>
      </c>
      <c r="P127" s="706">
        <v>0</v>
      </c>
      <c r="Q127" s="706">
        <v>0</v>
      </c>
      <c r="R127" s="706">
        <v>0</v>
      </c>
      <c r="S127" s="706">
        <v>1277.43</v>
      </c>
      <c r="T127" s="706">
        <v>1277.43</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255.97999999999956</v>
      </c>
      <c r="AN127" s="905">
        <f>INDEX(G127:R127,1,MATCH(Parametres!$B$3,G$1:R$1,0))*IF(OR(F127="L",F127="S",F127="I"),-1,1)</f>
        <v>10219.459999999999</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3346.36</v>
      </c>
      <c r="O128" s="706">
        <v>3346.36</v>
      </c>
      <c r="P128" s="706">
        <v>0</v>
      </c>
      <c r="Q128" s="706">
        <v>0</v>
      </c>
      <c r="R128" s="706">
        <v>0</v>
      </c>
      <c r="S128" s="706">
        <v>418.3</v>
      </c>
      <c r="T128" s="706">
        <v>418.3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79.230000000000018</v>
      </c>
      <c r="AN128" s="905">
        <f>INDEX(G128:R128,1,MATCH(Parametres!$B$3,G$1:R$1,0))*IF(OR(F128="L",F128="S",F128="I"),-1,1)</f>
        <v>3346.36</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3346.24</v>
      </c>
      <c r="O129" s="706">
        <v>3346.24</v>
      </c>
      <c r="P129" s="706">
        <v>0</v>
      </c>
      <c r="Q129" s="706">
        <v>0</v>
      </c>
      <c r="R129" s="706">
        <v>0</v>
      </c>
      <c r="S129" s="706">
        <v>418.28</v>
      </c>
      <c r="T129" s="706">
        <v>418.28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79.209999999999582</v>
      </c>
      <c r="AN129" s="905">
        <f>INDEX(G129:R129,1,MATCH(Parametres!$B$3,G$1:R$1,0))*IF(OR(F129="L",F129="S",F129="I"),-1,1)</f>
        <v>3346.24</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hidden="1"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hidden="1"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15358.4</v>
      </c>
      <c r="O139" s="706">
        <v>15358.4</v>
      </c>
      <c r="P139" s="706">
        <v>0</v>
      </c>
      <c r="Q139" s="706">
        <v>0</v>
      </c>
      <c r="R139" s="706">
        <v>0</v>
      </c>
      <c r="S139" s="706">
        <v>1919.8</v>
      </c>
      <c r="T139" s="706">
        <v>1919.8</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918.09000000000015</v>
      </c>
      <c r="AN139" s="905">
        <f>INDEX(G139:R139,1,MATCH(Parametres!$B$3,G$1:R$1,0))*IF(OR(F139="L",F139="S",F139="I"),-1,1)</f>
        <v>15358.4</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5488.83</v>
      </c>
      <c r="O140" s="706">
        <v>5488.83</v>
      </c>
      <c r="P140" s="706">
        <v>0</v>
      </c>
      <c r="Q140" s="706">
        <v>0</v>
      </c>
      <c r="R140" s="706">
        <v>0</v>
      </c>
      <c r="S140" s="706">
        <v>686.1</v>
      </c>
      <c r="T140" s="706">
        <v>686.1</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409.60000000000036</v>
      </c>
      <c r="AN140" s="905">
        <f>INDEX(G140:R140,1,MATCH(Parametres!$B$3,G$1:R$1,0))*IF(OR(F140="L",F140="S",F140="I"),-1,1)</f>
        <v>5488.83</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10410.01</v>
      </c>
      <c r="O142" s="706">
        <v>10410.01</v>
      </c>
      <c r="P142" s="706">
        <v>0</v>
      </c>
      <c r="Q142" s="706">
        <v>0</v>
      </c>
      <c r="R142" s="706">
        <v>0</v>
      </c>
      <c r="S142" s="706">
        <v>1301.25</v>
      </c>
      <c r="T142" s="706">
        <v>1301.25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1028.7800000000007</v>
      </c>
      <c r="AN142" s="905">
        <f>INDEX(G142:R142,1,MATCH(Parametres!$B$3,G$1:R$1,0))*IF(OR(F142="L",F142="S",F142="I"),-1,1)</f>
        <v>10410.01</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3100.23</v>
      </c>
      <c r="O143" s="706">
        <v>3100.23</v>
      </c>
      <c r="P143" s="706">
        <v>0</v>
      </c>
      <c r="Q143" s="706">
        <v>0</v>
      </c>
      <c r="R143" s="706">
        <v>0</v>
      </c>
      <c r="S143" s="706">
        <v>387.53</v>
      </c>
      <c r="T143" s="706">
        <v>387.53</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204.80000000000018</v>
      </c>
      <c r="AN143" s="905">
        <f>INDEX(G143:R143,1,MATCH(Parametres!$B$3,G$1:R$1,0))*IF(OR(F143="L",F143="S",F143="I"),-1,1)</f>
        <v>3100.23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3305.98</v>
      </c>
      <c r="O144" s="706">
        <v>3305.98</v>
      </c>
      <c r="P144" s="706">
        <v>0</v>
      </c>
      <c r="Q144" s="706">
        <v>0</v>
      </c>
      <c r="R144" s="706">
        <v>0</v>
      </c>
      <c r="S144" s="706">
        <v>413.25</v>
      </c>
      <c r="T144" s="706">
        <v>413.25</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332.13999999999987</v>
      </c>
      <c r="AN144" s="905">
        <f>INDEX(G144:R144,1,MATCH(Parametres!$B$3,G$1:R$1,0))*IF(OR(F144="L",F144="S",F144="I"),-1,1)</f>
        <v>3305.98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1201.48</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40873.279999999999</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85408.28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1337.86</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11215.67</v>
      </c>
      <c r="O154" s="706">
        <v>11215.67</v>
      </c>
      <c r="P154" s="706">
        <v>0</v>
      </c>
      <c r="Q154" s="706">
        <v>0</v>
      </c>
      <c r="R154" s="706">
        <v>0</v>
      </c>
      <c r="S154" s="706">
        <v>1401.96</v>
      </c>
      <c r="T154" s="706">
        <v>1401.96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1103</v>
      </c>
      <c r="AN154" s="905">
        <f>INDEX(G154:R154,1,MATCH(Parametres!$B$3,G$1:R$1,0))*IF(OR(F154="L",F154="S",F154="I"),-1,1)</f>
        <v>11215.67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3206.73</v>
      </c>
      <c r="O155" s="706">
        <v>3206.73</v>
      </c>
      <c r="P155" s="706">
        <v>0</v>
      </c>
      <c r="Q155" s="706">
        <v>0</v>
      </c>
      <c r="R155" s="706">
        <v>0</v>
      </c>
      <c r="S155" s="706">
        <v>400.84</v>
      </c>
      <c r="T155" s="706">
        <v>400.84</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0</v>
      </c>
      <c r="AN155" s="905">
        <f>INDEX(G155:R155,1,MATCH(Parametres!$B$3,G$1:R$1,0))*IF(OR(F155="L",F155="S",F155="I"),-1,1)</f>
        <v>3206.73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6809.86</v>
      </c>
      <c r="O157" s="706">
        <v>6809.86</v>
      </c>
      <c r="P157" s="706">
        <v>0</v>
      </c>
      <c r="Q157" s="706">
        <v>0</v>
      </c>
      <c r="R157" s="706">
        <v>0</v>
      </c>
      <c r="S157" s="706">
        <v>851.23</v>
      </c>
      <c r="T157" s="706">
        <v>851.23</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1103</v>
      </c>
      <c r="AN157" s="905">
        <f>INDEX(G157:R157,1,MATCH(Parametres!$B$3,G$1:R$1,0))*IF(OR(F157="L",F157="S",F157="I"),-1,1)</f>
        <v>6809.86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693.05</v>
      </c>
      <c r="O158" s="706">
        <v>693.05</v>
      </c>
      <c r="P158" s="706">
        <v>0</v>
      </c>
      <c r="Q158" s="706">
        <v>0</v>
      </c>
      <c r="R158" s="706">
        <v>0</v>
      </c>
      <c r="S158" s="706">
        <v>86.63</v>
      </c>
      <c r="T158" s="706">
        <v>86.63</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0</v>
      </c>
      <c r="AN158" s="905">
        <f>INDEX(G158:R158,1,MATCH(Parametres!$B$3,G$1:R$1,0))*IF(OR(F158="L",F158="S",F158="I"),-1,1)</f>
        <v>693.05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5071.71</v>
      </c>
      <c r="O159" s="706">
        <v>5071.71</v>
      </c>
      <c r="P159" s="706">
        <v>0</v>
      </c>
      <c r="Q159" s="706">
        <v>0</v>
      </c>
      <c r="R159" s="706">
        <v>0</v>
      </c>
      <c r="S159" s="706">
        <v>633.96</v>
      </c>
      <c r="T159" s="706">
        <v>633.96</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1103.0100000000002</v>
      </c>
      <c r="AN159" s="905">
        <f>INDEX(G159:R159,1,MATCH(Parametres!$B$3,G$1:R$1,0))*IF(OR(F159="L",F159="S",F159="I"),-1,1)</f>
        <v>5071.71</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88107.5</v>
      </c>
      <c r="O168" s="706">
        <v>88406.5</v>
      </c>
      <c r="P168" s="706">
        <v>0</v>
      </c>
      <c r="Q168" s="706">
        <v>0</v>
      </c>
      <c r="R168" s="706">
        <v>0</v>
      </c>
      <c r="S168" s="706">
        <v>11013.44</v>
      </c>
      <c r="T168" s="706">
        <v>11013.44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7847.3600000000006</v>
      </c>
      <c r="AN168" s="905">
        <f>INDEX(G168:R168,1,MATCH(Parametres!$B$3,G$1:R$1,0))*IF(OR(F168="L",F168="S",F168="I"),-1,1)</f>
        <v>88107.5</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67090.77</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12017.01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8125.33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2056.21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25265.31</v>
      </c>
      <c r="O180" s="706">
        <v>25415.31</v>
      </c>
      <c r="P180" s="706">
        <v>0</v>
      </c>
      <c r="Q180" s="706">
        <v>0</v>
      </c>
      <c r="R180" s="706">
        <v>0</v>
      </c>
      <c r="S180" s="706">
        <v>3158.16</v>
      </c>
      <c r="T180" s="706">
        <v>3158.16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3819.3100000000013</v>
      </c>
      <c r="AN180" s="905">
        <f>INDEX(G180:R180,1,MATCH(Parametres!$B$3,G$1:R$1,0))*IF(OR(F180="L",F180="S",F180="I"),-1,1)</f>
        <v>25265.31</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11368.35</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26648.92</v>
      </c>
      <c r="O185" s="706">
        <v>27738.12</v>
      </c>
      <c r="P185" s="706">
        <v>0</v>
      </c>
      <c r="Q185" s="706">
        <v>0</v>
      </c>
      <c r="R185" s="706">
        <v>0</v>
      </c>
      <c r="S185" s="706">
        <v>3331.12</v>
      </c>
      <c r="T185" s="706">
        <v>3331.12</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4206.7199999999975</v>
      </c>
      <c r="AN185" s="905">
        <f>INDEX(G185:R185,1,MATCH(Parametres!$B$3,G$1:R$1,0))*IF(OR(F185="L",F185="S",F185="I"),-1,1)</f>
        <v>26648.92</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11503.22</v>
      </c>
      <c r="O186" s="706">
        <v>12229.35</v>
      </c>
      <c r="P186" s="706">
        <v>0</v>
      </c>
      <c r="Q186" s="706">
        <v>0</v>
      </c>
      <c r="R186" s="706">
        <v>0</v>
      </c>
      <c r="S186" s="706">
        <v>1437.9</v>
      </c>
      <c r="T186" s="706">
        <v>1437.9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1589.1499999999996</v>
      </c>
      <c r="AN186" s="905">
        <f>INDEX(G186:R186,1,MATCH(Parametres!$B$3,G$1:R$1,0))*IF(OR(F186="L",F186="S",F186="I"),-1,1)</f>
        <v>11503.22</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23278.95</v>
      </c>
      <c r="O188" s="706">
        <v>24368.15</v>
      </c>
      <c r="P188" s="706">
        <v>0</v>
      </c>
      <c r="Q188" s="706">
        <v>0</v>
      </c>
      <c r="R188" s="706">
        <v>0</v>
      </c>
      <c r="S188" s="706">
        <v>2909.87</v>
      </c>
      <c r="T188" s="706">
        <v>2909.87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2510.7200000000012</v>
      </c>
      <c r="AN188" s="905">
        <f>INDEX(G188:R188,1,MATCH(Parametres!$B$3,G$1:R$1,0))*IF(OR(F188="L",F188="S",F188="I"),-1,1)</f>
        <v>23278.95</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16187.37</v>
      </c>
      <c r="O189" s="706">
        <v>17306.439999999999</v>
      </c>
      <c r="P189" s="706">
        <v>0</v>
      </c>
      <c r="Q189" s="706">
        <v>0</v>
      </c>
      <c r="R189" s="706">
        <v>0</v>
      </c>
      <c r="S189" s="706">
        <v>2023.42</v>
      </c>
      <c r="T189" s="706">
        <v>2023.42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1676.5700000000015</v>
      </c>
      <c r="AN189" s="905">
        <f>INDEX(G189:R189,1,MATCH(Parametres!$B$3,G$1:R$1,0))*IF(OR(F189="L",F189="S",F189="I"),-1,1)</f>
        <v>16187.37</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15837.58</v>
      </c>
      <c r="O190" s="706">
        <v>16979.96</v>
      </c>
      <c r="P190" s="706">
        <v>0</v>
      </c>
      <c r="Q190" s="706">
        <v>0</v>
      </c>
      <c r="R190" s="706">
        <v>0</v>
      </c>
      <c r="S190" s="706">
        <v>1979.7</v>
      </c>
      <c r="T190" s="706">
        <v>1979.7</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1778.8700000000008</v>
      </c>
      <c r="AN190" s="905">
        <f>INDEX(G190:R190,1,MATCH(Parametres!$B$3,G$1:R$1,0))*IF(OR(F190="L",F190="S",F190="I"),-1,1)</f>
        <v>15837.58</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29268.400000000001</v>
      </c>
      <c r="O194" s="706">
        <v>29898.400000000001</v>
      </c>
      <c r="P194" s="706">
        <v>0</v>
      </c>
      <c r="Q194" s="706">
        <v>0</v>
      </c>
      <c r="R194" s="706">
        <v>0</v>
      </c>
      <c r="S194" s="706">
        <v>3658.55</v>
      </c>
      <c r="T194" s="706">
        <v>3658.55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1881.0699999999997</v>
      </c>
      <c r="AN194" s="905">
        <f>INDEX(G194:R194,1,MATCH(Parametres!$B$3,G$1:R$1,0))*IF(OR(F194="L",F194="S",F194="I"),-1,1)</f>
        <v>29268.400000000001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74184.03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2901.48</v>
      </c>
      <c r="O203" s="706">
        <v>2901.48</v>
      </c>
      <c r="P203" s="706">
        <v>0</v>
      </c>
      <c r="Q203" s="706">
        <v>0</v>
      </c>
      <c r="R203" s="706">
        <v>0</v>
      </c>
      <c r="S203" s="706">
        <v>362.69</v>
      </c>
      <c r="T203" s="706">
        <v>362.69</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0</v>
      </c>
      <c r="AN203" s="905">
        <f>INDEX(G203:R203,1,MATCH(Parametres!$B$3,G$1:R$1,0))*IF(OR(F203="L",F203="S",F203="I"),-1,1)</f>
        <v>2901.48</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20157.41</v>
      </c>
      <c r="O204" s="706">
        <v>20157.41</v>
      </c>
      <c r="P204" s="706">
        <v>0</v>
      </c>
      <c r="Q204" s="706">
        <v>0</v>
      </c>
      <c r="R204" s="706">
        <v>0</v>
      </c>
      <c r="S204" s="706">
        <v>2519.6799999999998</v>
      </c>
      <c r="T204" s="706">
        <v>2519.6799999999998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485.27999999999884</v>
      </c>
      <c r="AN204" s="905">
        <f>INDEX(G204:R204,1,MATCH(Parametres!$B$3,G$1:R$1,0))*IF(OR(F204="L",F204="S",F204="I"),-1,1)</f>
        <v>20157.41</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13374.25</v>
      </c>
      <c r="O206" s="706">
        <v>13374.25</v>
      </c>
      <c r="P206" s="706">
        <v>0</v>
      </c>
      <c r="Q206" s="706">
        <v>0</v>
      </c>
      <c r="R206" s="706">
        <v>0</v>
      </c>
      <c r="S206" s="706">
        <v>1671.78</v>
      </c>
      <c r="T206" s="706">
        <v>1671.78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307.79999999999927</v>
      </c>
      <c r="AN206" s="905">
        <f>INDEX(G206:R206,1,MATCH(Parametres!$B$3,G$1:R$1,0))*IF(OR(F206="L",F206="S",F206="I"),-1,1)</f>
        <v>13374.25</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20187.47</v>
      </c>
      <c r="O210" s="706">
        <v>20187.47</v>
      </c>
      <c r="P210" s="706">
        <v>0</v>
      </c>
      <c r="Q210" s="706">
        <v>0</v>
      </c>
      <c r="R210" s="706">
        <v>0</v>
      </c>
      <c r="S210" s="706">
        <v>2523.4299999999998</v>
      </c>
      <c r="T210" s="706">
        <v>2523.4299999999998</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461.70000000000073</v>
      </c>
      <c r="AN210" s="905">
        <f>INDEX(G210:R210,1,MATCH(Parametres!$B$3,G$1:R$1,0))*IF(OR(F210="L",F210="S",F210="I"),-1,1)</f>
        <v>20187.47</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6687.14</v>
      </c>
      <c r="O212" s="706">
        <v>6687.14</v>
      </c>
      <c r="P212" s="706">
        <v>0</v>
      </c>
      <c r="Q212" s="706">
        <v>0</v>
      </c>
      <c r="R212" s="706">
        <v>0</v>
      </c>
      <c r="S212" s="706">
        <v>835.89</v>
      </c>
      <c r="T212" s="706">
        <v>835.89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153.90000000000055</v>
      </c>
      <c r="AN212" s="905">
        <f>INDEX(G212:R212,1,MATCH(Parametres!$B$3,G$1:R$1,0))*IF(OR(F212="L",F212="S",F212="I"),-1,1)</f>
        <v>6687.14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6687.14</v>
      </c>
      <c r="O214" s="706">
        <v>6687.14</v>
      </c>
      <c r="P214" s="706">
        <v>0</v>
      </c>
      <c r="Q214" s="706">
        <v>0</v>
      </c>
      <c r="R214" s="706">
        <v>0</v>
      </c>
      <c r="S214" s="706">
        <v>835.89</v>
      </c>
      <c r="T214" s="706">
        <v>835.89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153.89000000000033</v>
      </c>
      <c r="AN214" s="905">
        <f>INDEX(G214:R214,1,MATCH(Parametres!$B$3,G$1:R$1,0))*IF(OR(F214="L",F214="S",F214="I"),-1,1)</f>
        <v>6687.14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16259.64</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12478.02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5491.07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11555.68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12510.68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4593.6400000000003</v>
      </c>
      <c r="O231" s="706">
        <v>4593.6400000000003</v>
      </c>
      <c r="P231" s="706">
        <v>0</v>
      </c>
      <c r="Q231" s="706">
        <v>0</v>
      </c>
      <c r="R231" s="706">
        <v>0</v>
      </c>
      <c r="S231" s="706">
        <v>574.21</v>
      </c>
      <c r="T231" s="706">
        <v>574.21</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476.36999999999989</v>
      </c>
      <c r="AN231" s="905">
        <f>INDEX(G231:R231,1,MATCH(Parametres!$B$3,G$1:R$1,0))*IF(OR(F231="L",F231="S",F231="I"),-1,1)</f>
        <v>4593.6400000000003</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2640.09</v>
      </c>
      <c r="O232" s="706">
        <v>2640.09</v>
      </c>
      <c r="P232" s="706">
        <v>0</v>
      </c>
      <c r="Q232" s="706">
        <v>0</v>
      </c>
      <c r="R232" s="706">
        <v>0</v>
      </c>
      <c r="S232" s="706">
        <v>330.01</v>
      </c>
      <c r="T232" s="706">
        <v>330.01</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317.57999999999993</v>
      </c>
      <c r="AN232" s="905">
        <f>INDEX(G232:R232,1,MATCH(Parametres!$B$3,G$1:R$1,0))*IF(OR(F232="L",F232="S",F232="I"),-1,1)</f>
        <v>2640.09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4315.01</v>
      </c>
      <c r="O234" s="706">
        <v>4315.01</v>
      </c>
      <c r="P234" s="706">
        <v>0</v>
      </c>
      <c r="Q234" s="706">
        <v>0</v>
      </c>
      <c r="R234" s="706">
        <v>0</v>
      </c>
      <c r="S234" s="706">
        <v>539.38</v>
      </c>
      <c r="T234" s="706">
        <v>539.38</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531.37000000000035</v>
      </c>
      <c r="AN234" s="905">
        <f>INDEX(G234:R234,1,MATCH(Parametres!$B$3,G$1:R$1,0))*IF(OR(F234="L",F234="S",F234="I"),-1,1)</f>
        <v>4315.01</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1320.06</v>
      </c>
      <c r="O235" s="706">
        <v>1320.06</v>
      </c>
      <c r="P235" s="706">
        <v>0</v>
      </c>
      <c r="Q235" s="706">
        <v>0</v>
      </c>
      <c r="R235" s="706">
        <v>0</v>
      </c>
      <c r="S235" s="706">
        <v>165.01</v>
      </c>
      <c r="T235" s="706">
        <v>165.01</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158.78999999999996</v>
      </c>
      <c r="AN235" s="905">
        <f>INDEX(G235:R235,1,MATCH(Parametres!$B$3,G$1:R$1,0))*IF(OR(F235="L",F235="S",F235="I"),-1,1)</f>
        <v>1320.06</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1319.97</v>
      </c>
      <c r="O236" s="706">
        <v>1319.97</v>
      </c>
      <c r="P236" s="706">
        <v>0</v>
      </c>
      <c r="Q236" s="706">
        <v>0</v>
      </c>
      <c r="R236" s="706">
        <v>0</v>
      </c>
      <c r="S236" s="706">
        <v>165</v>
      </c>
      <c r="T236" s="706">
        <v>165</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158.76</v>
      </c>
      <c r="AN236" s="905">
        <f>INDEX(G236:R236,1,MATCH(Parametres!$B$3,G$1:R$1,0))*IF(OR(F236="L",F236="S",F236="I"),-1,1)</f>
        <v>1319.97</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385394.42</v>
      </c>
      <c r="O246" s="706">
        <v>385336.24</v>
      </c>
      <c r="P246" s="706">
        <v>0</v>
      </c>
      <c r="Q246" s="706">
        <v>0</v>
      </c>
      <c r="R246" s="706">
        <v>0</v>
      </c>
      <c r="S246" s="706">
        <v>48174.3</v>
      </c>
      <c r="T246" s="706">
        <v>48174.3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-37249.69</v>
      </c>
      <c r="AN246" s="905">
        <f>INDEX(G246:R246,1,MATCH(Parametres!$B$3,G$1:R$1,0))*IF(OR(F246="L",F246="S",F246="I"),-1,1)</f>
        <v>385394.42</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205052.98</v>
      </c>
      <c r="O247" s="706">
        <v>205052.98</v>
      </c>
      <c r="P247" s="706">
        <v>0</v>
      </c>
      <c r="Q247" s="706">
        <v>0</v>
      </c>
      <c r="R247" s="706">
        <v>0</v>
      </c>
      <c r="S247" s="706">
        <v>25631.62</v>
      </c>
      <c r="T247" s="706">
        <v>25631.62</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-3992.5</v>
      </c>
      <c r="AN247" s="905">
        <f>INDEX(G247:R247,1,MATCH(Parametres!$B$3,G$1:R$1,0))*IF(OR(F247="L",F247="S",F247="I"),-1,1)</f>
        <v>205052.98</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159165.54999999999</v>
      </c>
      <c r="O248" s="706">
        <v>159165.54999999999</v>
      </c>
      <c r="P248" s="706">
        <v>0</v>
      </c>
      <c r="Q248" s="706">
        <v>0</v>
      </c>
      <c r="R248" s="706">
        <v>0</v>
      </c>
      <c r="S248" s="706">
        <v>19895.689999999999</v>
      </c>
      <c r="T248" s="706">
        <v>19895.689999999999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-900</v>
      </c>
      <c r="AN248" s="905">
        <f>INDEX(G248:R248,1,MATCH(Parametres!$B$3,G$1:R$1,0))*IF(OR(F248="L",F248="S",F248="I"),-1,1)</f>
        <v>159165.54999999999</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9726.86</v>
      </c>
      <c r="O252" s="706">
        <v>9726.86</v>
      </c>
      <c r="P252" s="706">
        <v>0</v>
      </c>
      <c r="Q252" s="706">
        <v>0</v>
      </c>
      <c r="R252" s="706">
        <v>0</v>
      </c>
      <c r="S252" s="706">
        <v>1215.8599999999999</v>
      </c>
      <c r="T252" s="706">
        <v>1215.8599999999999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1455.8400000000001</v>
      </c>
      <c r="AN252" s="905">
        <f>INDEX(G252:R252,1,MATCH(Parametres!$B$3,G$1:R$1,0))*IF(OR(F252="L",F252="S",F252="I"),-1,1)</f>
        <v>9726.86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23764.959999999999</v>
      </c>
      <c r="O259" s="706">
        <v>23764.959999999999</v>
      </c>
      <c r="P259" s="706">
        <v>0</v>
      </c>
      <c r="Q259" s="706">
        <v>0</v>
      </c>
      <c r="R259" s="706">
        <v>0</v>
      </c>
      <c r="S259" s="706">
        <v>2970.62</v>
      </c>
      <c r="T259" s="706">
        <v>2970.62</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23764.959999999999</v>
      </c>
      <c r="AN259" s="905">
        <f>INDEX(G259:R259,1,MATCH(Parametres!$B$3,G$1:R$1,0))*IF(OR(F259="L",F259="S",F259="I"),-1,1)</f>
        <v>23764.959999999999</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170520.44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113680.3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170520.44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56840.15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56840.15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16171.87</v>
      </c>
      <c r="O278" s="706">
        <v>16171.87</v>
      </c>
      <c r="P278" s="706">
        <v>0</v>
      </c>
      <c r="Q278" s="706">
        <v>0</v>
      </c>
      <c r="R278" s="706">
        <v>0</v>
      </c>
      <c r="S278" s="706">
        <v>2021.48</v>
      </c>
      <c r="T278" s="706">
        <v>2021.48</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0</v>
      </c>
      <c r="AN278" s="905">
        <f>INDEX(G278:R278,1,MATCH(Parametres!$B$3,G$1:R$1,0))*IF(OR(F278="L",F278="S",F278="I"),-1,1)</f>
        <v>16171.87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10781.24</v>
      </c>
      <c r="O279" s="706">
        <v>10781.24</v>
      </c>
      <c r="P279" s="706">
        <v>0</v>
      </c>
      <c r="Q279" s="706">
        <v>0</v>
      </c>
      <c r="R279" s="706">
        <v>0</v>
      </c>
      <c r="S279" s="706">
        <v>1347.66</v>
      </c>
      <c r="T279" s="706">
        <v>1347.66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0</v>
      </c>
      <c r="AN279" s="905">
        <f>INDEX(G279:R279,1,MATCH(Parametres!$B$3,G$1:R$1,0))*IF(OR(F279="L",F279="S",F279="I"),-1,1)</f>
        <v>10781.24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16171.87</v>
      </c>
      <c r="O281" s="706">
        <v>16171.87</v>
      </c>
      <c r="P281" s="706">
        <v>0</v>
      </c>
      <c r="Q281" s="706">
        <v>0</v>
      </c>
      <c r="R281" s="706">
        <v>0</v>
      </c>
      <c r="S281" s="706">
        <v>2021.48</v>
      </c>
      <c r="T281" s="706">
        <v>2021.48</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0</v>
      </c>
      <c r="AN281" s="905">
        <f>INDEX(G281:R281,1,MATCH(Parametres!$B$3,G$1:R$1,0))*IF(OR(F281="L",F281="S",F281="I"),-1,1)</f>
        <v>16171.87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5390.6</v>
      </c>
      <c r="O282" s="706">
        <v>5390.6</v>
      </c>
      <c r="P282" s="706">
        <v>0</v>
      </c>
      <c r="Q282" s="706">
        <v>0</v>
      </c>
      <c r="R282" s="706">
        <v>0</v>
      </c>
      <c r="S282" s="706">
        <v>673.83</v>
      </c>
      <c r="T282" s="706">
        <v>673.83</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0</v>
      </c>
      <c r="AN282" s="905">
        <f>INDEX(G282:R282,1,MATCH(Parametres!$B$3,G$1:R$1,0))*IF(OR(F282="L",F282="S",F282="I"),-1,1)</f>
        <v>5390.6</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5390.61</v>
      </c>
      <c r="O283" s="706">
        <v>5390.61</v>
      </c>
      <c r="P283" s="706">
        <v>0</v>
      </c>
      <c r="Q283" s="706">
        <v>0</v>
      </c>
      <c r="R283" s="706">
        <v>0</v>
      </c>
      <c r="S283" s="706">
        <v>673.83</v>
      </c>
      <c r="T283" s="706">
        <v>673.83</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0</v>
      </c>
      <c r="AN283" s="905">
        <f>INDEX(G283:R283,1,MATCH(Parametres!$B$3,G$1:R$1,0))*IF(OR(F283="L",F283="S",F283="I"),-1,1)</f>
        <v>5390.61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24187.47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15604.49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30325.91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13007.19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9903.18</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0</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1401.07</v>
      </c>
      <c r="O343" s="706">
        <v>1401.07</v>
      </c>
      <c r="P343" s="706">
        <v>0</v>
      </c>
      <c r="Q343" s="706">
        <v>0</v>
      </c>
      <c r="R343" s="706">
        <v>0</v>
      </c>
      <c r="S343" s="706">
        <v>175.13</v>
      </c>
      <c r="T343" s="706">
        <v>175.13</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76.970000000000027</v>
      </c>
      <c r="AN343" s="905">
        <f>INDEX(G343:R343,1,MATCH(Parametres!$B$3,G$1:R$1,0))*IF(OR(F343="L",F343="S",F343="I"),-1,1)</f>
        <v>1401.07</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438.49</v>
      </c>
      <c r="O344" s="706">
        <v>438.49</v>
      </c>
      <c r="P344" s="706">
        <v>0</v>
      </c>
      <c r="Q344" s="706">
        <v>0</v>
      </c>
      <c r="R344" s="706">
        <v>0</v>
      </c>
      <c r="S344" s="706">
        <v>54.81</v>
      </c>
      <c r="T344" s="706">
        <v>54.81</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37.490000000000009</v>
      </c>
      <c r="AN344" s="905">
        <f>INDEX(G344:R344,1,MATCH(Parametres!$B$3,G$1:R$1,0))*IF(OR(F344="L",F344="S",F344="I"),-1,1)</f>
        <v>438.49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5492.1</v>
      </c>
      <c r="O345" s="706">
        <v>5950.46</v>
      </c>
      <c r="P345" s="706">
        <v>0</v>
      </c>
      <c r="Q345" s="706">
        <v>0</v>
      </c>
      <c r="R345" s="706">
        <v>0</v>
      </c>
      <c r="S345" s="706">
        <v>686.51</v>
      </c>
      <c r="T345" s="706">
        <v>686.51</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528.1200000000008</v>
      </c>
      <c r="AN345" s="905">
        <f>INDEX(G345:R345,1,MATCH(Parametres!$B$3,G$1:R$1,0))*IF(OR(F345="L",F345="S",F345="I"),-1,1)</f>
        <v>5492.1</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393.3</v>
      </c>
      <c r="O346" s="706">
        <v>393.3</v>
      </c>
      <c r="P346" s="706">
        <v>0</v>
      </c>
      <c r="Q346" s="706">
        <v>0</v>
      </c>
      <c r="R346" s="706">
        <v>0</v>
      </c>
      <c r="S346" s="706">
        <v>49.16</v>
      </c>
      <c r="T346" s="706">
        <v>49.16</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7.5</v>
      </c>
      <c r="AN346" s="905">
        <f>INDEX(G346:R346,1,MATCH(Parametres!$B$3,G$1:R$1,0))*IF(OR(F346="L",F346="S",F346="I"),-1,1)</f>
        <v>393.3</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246.91</v>
      </c>
      <c r="O347" s="706">
        <v>246.91</v>
      </c>
      <c r="P347" s="706">
        <v>0</v>
      </c>
      <c r="Q347" s="706">
        <v>0</v>
      </c>
      <c r="R347" s="706">
        <v>0</v>
      </c>
      <c r="S347" s="706">
        <v>30.86</v>
      </c>
      <c r="T347" s="706">
        <v>30.86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14.990000000000009</v>
      </c>
      <c r="AN347" s="905">
        <f>INDEX(G347:R347,1,MATCH(Parametres!$B$3,G$1:R$1,0))*IF(OR(F347="L",F347="S",F347="I"),-1,1)</f>
        <v>246.91</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2165809.17</v>
      </c>
      <c r="O356" s="706">
        <v>1231835.78</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1009209.2</v>
      </c>
      <c r="AN356" s="905">
        <f>INDEX(G356:R356,1,MATCH(Parametres!$B$3,G$1:R$1,0))*IF(OR(F356="L",F356="S",F356="I"),-1,1)</f>
        <v>2165809.17</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240594.93</v>
      </c>
      <c r="O363" s="706">
        <v>-137060.32</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-419001.61000000004</v>
      </c>
      <c r="AN363" s="905">
        <f>INDEX(G363:R363,1,MATCH(Parametres!$B$3,G$1:R$1,0))*IF(OR(F363="L",F363="S",F363="I"),-1,1)</f>
        <v>240594.93</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12052.95</v>
      </c>
      <c r="O367" s="706">
        <v>51230.16</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7559.3700000000008</v>
      </c>
      <c r="AN367" s="905">
        <f>INDEX(G367:R367,1,MATCH(Parametres!$B$3,G$1:R$1,0))*IF(OR(F367="L",F367="S",F367="I"),-1,1)</f>
        <v>12052.95</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502762.58</v>
      </c>
      <c r="O369" s="706">
        <v>527697.12</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-11259.359999999986</v>
      </c>
      <c r="AN369" s="905">
        <f>INDEX(G369:R369,1,MATCH(Parametres!$B$3,G$1:R$1,0))*IF(OR(F369="L",F369="S",F369="I"),-1,1)</f>
        <v>502762.58</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-47732.29</v>
      </c>
      <c r="O370" s="706">
        <v>-164399.97</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-7940.4100000000035</v>
      </c>
      <c r="AN370" s="905">
        <f>INDEX(G370:R370,1,MATCH(Parametres!$B$3,G$1:R$1,0))*IF(OR(F370="L",F370="S",F370="I"),-1,1)</f>
        <v>-47732.29</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-19593.45</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63553.78</v>
      </c>
      <c r="O373" s="706">
        <v>67967.17</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-3407.6800000000076</v>
      </c>
      <c r="AN373" s="905">
        <f>INDEX(G373:R373,1,MATCH(Parametres!$B$3,G$1:R$1,0))*IF(OR(F373="L",F373="S",F373="I"),-1,1)</f>
        <v>63553.78</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468263.41</v>
      </c>
      <c r="O374" s="706">
        <v>530129.85</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-361170.77999999997</v>
      </c>
      <c r="AN374" s="905">
        <f>INDEX(G374:R374,1,MATCH(Parametres!$B$3,G$1:R$1,0))*IF(OR(F374="L",F374="S",F374="I"),-1,1)</f>
        <v>468263.41</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14197.63</v>
      </c>
      <c r="O375" s="706">
        <v>14197.63</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-4834.6600000000017</v>
      </c>
      <c r="AN375" s="905">
        <f>INDEX(G375:R375,1,MATCH(Parametres!$B$3,G$1:R$1,0))*IF(OR(F375="L",F375="S",F375="I"),-1,1)</f>
        <v>14197.63</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90007.02</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670321.37</v>
      </c>
      <c r="O377" s="706">
        <v>670321.37</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615372.61</v>
      </c>
      <c r="AN377" s="905">
        <f>INDEX(G377:R377,1,MATCH(Parametres!$B$3,G$1:R$1,0))*IF(OR(F377="L",F377="S",F377="I"),-1,1)</f>
        <v>670321.37</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218509.92</v>
      </c>
      <c r="O380" s="706">
        <v>218509.92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-283300.40000000002</v>
      </c>
      <c r="AN380" s="905">
        <f>INDEX(G380:R380,1,MATCH(Parametres!$B$3,G$1:R$1,0))*IF(OR(F380="L",F380="S",F380="I"),-1,1)</f>
        <v>218509.92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155734.04999999999</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453908.4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930029.12</v>
      </c>
      <c r="O390" s="706">
        <v>930029.12</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392726.08999999997</v>
      </c>
      <c r="AN390" s="905">
        <f>INDEX(G390:R390,1,MATCH(Parametres!$B$3,G$1:R$1,0))*IF(OR(F390="L",F390="S",F390="I"),-1,1)</f>
        <v>930029.12</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210674.35</v>
      </c>
      <c r="O401" s="706">
        <v>210674.35</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78.179999999993015</v>
      </c>
      <c r="AN401" s="905">
        <f>INDEX(G401:R401,1,MATCH(Parametres!$B$3,G$1:R$1,0))*IF(OR(F401="L",F401="S",F401="I"),-1,1)</f>
        <v>210674.35</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16092481.640000001</v>
      </c>
      <c r="O426" s="706">
        <v>17266880.140000001</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-1461295.3499999978</v>
      </c>
      <c r="AN426" s="905">
        <f>INDEX(G426:R426,1,MATCH(Parametres!$B$3,G$1:R$1,0))*IF(OR(F426="L",F426="S",F426="I"),-1,1)</f>
        <v>16092481.640000001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225052.61</v>
      </c>
      <c r="O427" s="706">
        <v>225052.61</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-231999.10000000003</v>
      </c>
      <c r="AN427" s="905">
        <f>INDEX(G427:R427,1,MATCH(Parametres!$B$3,G$1:R$1,0))*IF(OR(F427="L",F427="S",F427="I"),-1,1)</f>
        <v>225052.61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2460616.1</v>
      </c>
      <c r="O429" s="706">
        <v>2463978.3199999998</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52089.5</v>
      </c>
      <c r="AN429" s="905">
        <f>INDEX(G429:R429,1,MATCH(Parametres!$B$3,G$1:R$1,0))*IF(OR(F429="L",F429="S",F429="I"),-1,1)</f>
        <v>2460616.1</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640827.80000000005</v>
      </c>
      <c r="O430" s="706">
        <v>641619.75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248013.50000000006</v>
      </c>
      <c r="AN430" s="905">
        <f>INDEX(G430:R430,1,MATCH(Parametres!$B$3,G$1:R$1,0))*IF(OR(F430="L",F430="S",F430="I"),-1,1)</f>
        <v>640827.80000000005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3150102.75</v>
      </c>
      <c r="O431" s="706">
        <v>3166018.75</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-4926342.96</v>
      </c>
      <c r="AN431" s="905">
        <f>INDEX(G431:R431,1,MATCH(Parametres!$B$3,G$1:R$1,0))*IF(OR(F431="L",F431="S",F431="I"),-1,1)</f>
        <v>3150102.75</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515453.16</v>
      </c>
      <c r="O434" s="706">
        <v>509353.25</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-33561.740000000049</v>
      </c>
      <c r="AN434" s="905">
        <f>INDEX(G434:R434,1,MATCH(Parametres!$B$3,G$1:R$1,0))*IF(OR(F434="L",F434="S",F434="I"),-1,1)</f>
        <v>515453.16</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49321.279999999999</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13390.16</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-6971.03</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-22593.23</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1947</v>
      </c>
      <c r="D441" s="706" t="s">
        <v>1948</v>
      </c>
      <c r="E441" s="706" t="s">
        <v>333</v>
      </c>
      <c r="F441" s="706" t="s">
        <v>1136</v>
      </c>
      <c r="G441" s="706">
        <v>0</v>
      </c>
      <c r="H441" s="706">
        <v>0</v>
      </c>
      <c r="I441" s="706">
        <v>-8841.08</v>
      </c>
      <c r="J441" s="706">
        <v>2842.76</v>
      </c>
      <c r="K441" s="706">
        <v>1000.16</v>
      </c>
      <c r="L441" s="706">
        <v>3641.58</v>
      </c>
      <c r="M441" s="706">
        <v>2446.71</v>
      </c>
      <c r="N441" s="706">
        <v>9263.57</v>
      </c>
      <c r="O441" s="706">
        <v>9263.57</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G24550</v>
      </c>
      <c r="AK441" s="905" t="str">
        <f t="shared" si="37"/>
        <v>INV ESSENCES</v>
      </c>
      <c r="AL441" s="905">
        <f>IFERROR(INDEX(G441:R441,1,MATCH(Parametres!$B$3,G$1:R$1,0)-1)*IF(OR(F441="L",F441="S",F441="I"),-1,1),"")</f>
        <v>2446.71</v>
      </c>
      <c r="AM441" s="905">
        <f t="shared" si="38"/>
        <v>6816.86</v>
      </c>
      <c r="AN441" s="905">
        <f>INDEX(G441:R441,1,MATCH(Parametres!$B$3,G$1:R$1,0))*IF(OR(F441="L",F441="S",F441="I"),-1,1)</f>
        <v>9263.57</v>
      </c>
      <c r="AO441" s="487" t="str">
        <f>+VLOOKUP($AJ441,Data_Validation!$A:$D,1,0)</f>
        <v>G24550</v>
      </c>
      <c r="AP441" s="487" t="str">
        <f>+VLOOKUP($AJ441,Data_Validation!$A:$D,3,0)</f>
        <v>Bilan</v>
      </c>
      <c r="AQ441" s="487" t="str">
        <f>+VLOOKUP($AJ441,Data_Validation!$A:$D,4,0)</f>
        <v>Inventaire Pièces, Pneus, Huile</v>
      </c>
      <c r="AR441" s="487" t="s">
        <v>299</v>
      </c>
      <c r="AS441" s="487">
        <f>+VLOOKUP($AJ441,Data_Validation!$A:$E,5,0)</f>
        <v>0</v>
      </c>
      <c r="AT441" s="904" t="str">
        <f t="shared" si="39"/>
        <v>G24550</v>
      </c>
      <c r="AU441" s="488" t="str">
        <f t="shared" si="40"/>
        <v>INV ESSENCES</v>
      </c>
      <c r="AV441" s="899">
        <f>IFERROR(INDEX(V441:AG441,1,MATCH(Parametres!$B$3,V$1:AG$1,0)-1)*IF(OR(C441="L",C441="S",C441="I"),-1,1),"")</f>
        <v>0</v>
      </c>
      <c r="AW441" s="899">
        <f t="shared" si="41"/>
        <v>0</v>
      </c>
      <c r="AX441" s="899">
        <f>INDEX(V441:AG441,1,MATCH(Parametres!$B$3,V$1:AG$1,0))*IF(OR(C441="L",C441="S",C441="I"),-1,1)</f>
        <v>0</v>
      </c>
      <c r="AY441" s="487" t="s">
        <v>337</v>
      </c>
      <c r="AZ441" s="487">
        <f>+VLOOKUP($AJ441,Data_Validation!$A:$E,5,0)</f>
        <v>0</v>
      </c>
    </row>
    <row r="442" spans="1:52" ht="15.75" hidden="1" customHeight="1">
      <c r="A442" s="706" t="s">
        <v>1148</v>
      </c>
      <c r="B442" s="706">
        <v>2026</v>
      </c>
      <c r="C442" s="706" t="s">
        <v>1949</v>
      </c>
      <c r="D442" s="706" t="s">
        <v>1950</v>
      </c>
      <c r="E442" s="706" t="s">
        <v>333</v>
      </c>
      <c r="F442" s="706" t="s">
        <v>1136</v>
      </c>
      <c r="G442" s="706">
        <v>0</v>
      </c>
      <c r="H442" s="706">
        <v>0</v>
      </c>
      <c r="I442" s="706">
        <v>-3834.91</v>
      </c>
      <c r="J442" s="706">
        <v>1512.03</v>
      </c>
      <c r="K442" s="706">
        <v>1408.68</v>
      </c>
      <c r="L442" s="706">
        <v>2592.38</v>
      </c>
      <c r="M442" s="706">
        <v>-651.07000000000005</v>
      </c>
      <c r="N442" s="706">
        <v>4283.16</v>
      </c>
      <c r="O442" s="706">
        <v>4283.16</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G24560</v>
      </c>
      <c r="AK442" s="905" t="str">
        <f t="shared" si="37"/>
        <v>INV. DIESEL</v>
      </c>
      <c r="AL442" s="905">
        <f>IFERROR(INDEX(G442:R442,1,MATCH(Parametres!$B$3,G$1:R$1,0)-1)*IF(OR(F442="L",F442="S",F442="I"),-1,1),"")</f>
        <v>-651.07000000000005</v>
      </c>
      <c r="AM442" s="905">
        <f t="shared" si="38"/>
        <v>4934.2299999999996</v>
      </c>
      <c r="AN442" s="905">
        <f>INDEX(G442:R442,1,MATCH(Parametres!$B$3,G$1:R$1,0))*IF(OR(F442="L",F442="S",F442="I"),-1,1)</f>
        <v>4283.16</v>
      </c>
      <c r="AO442" s="487" t="str">
        <f>+VLOOKUP($AJ442,Data_Validation!$A:$D,1,0)</f>
        <v>G24560</v>
      </c>
      <c r="AP442" s="487" t="str">
        <f>+VLOOKUP($AJ442,Data_Validation!$A:$D,3,0)</f>
        <v>Bilan</v>
      </c>
      <c r="AQ442" s="487" t="str">
        <f>+VLOOKUP($AJ442,Data_Validation!$A:$D,4,0)</f>
        <v>Inventaire Pièces, Pneus, Huile</v>
      </c>
      <c r="AR442" s="487" t="s">
        <v>299</v>
      </c>
      <c r="AS442" s="487">
        <f>+VLOOKUP($AJ442,Data_Validation!$A:$E,5,0)</f>
        <v>0</v>
      </c>
      <c r="AT442" s="904" t="str">
        <f t="shared" si="39"/>
        <v>G24560</v>
      </c>
      <c r="AU442" s="488" t="str">
        <f t="shared" si="40"/>
        <v>INV. DIESEL</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1951</v>
      </c>
      <c r="D443" s="706" t="s">
        <v>1952</v>
      </c>
      <c r="E443" s="706" t="s">
        <v>1141</v>
      </c>
      <c r="F443" s="706" t="s">
        <v>1136</v>
      </c>
      <c r="G443" s="706">
        <v>2037.5</v>
      </c>
      <c r="H443" s="706">
        <v>3942.97</v>
      </c>
      <c r="I443" s="706">
        <v>1107.92</v>
      </c>
      <c r="J443" s="706">
        <v>1029.97</v>
      </c>
      <c r="K443" s="706">
        <v>1080.6400000000001</v>
      </c>
      <c r="L443" s="706">
        <v>843.99</v>
      </c>
      <c r="M443" s="706">
        <v>725</v>
      </c>
      <c r="N443" s="706">
        <v>510</v>
      </c>
      <c r="O443" s="706">
        <v>555</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G24600</v>
      </c>
      <c r="AK443" s="905" t="str">
        <f t="shared" si="37"/>
        <v>INV. SOUS-CONTRATS</v>
      </c>
      <c r="AL443" s="905">
        <f>IFERROR(INDEX(G443:R443,1,MATCH(Parametres!$B$3,G$1:R$1,0)-1)*IF(OR(F443="L",F443="S",F443="I"),-1,1),"")</f>
        <v>725</v>
      </c>
      <c r="AM443" s="905">
        <f t="shared" si="38"/>
        <v>-215</v>
      </c>
      <c r="AN443" s="905">
        <f>INDEX(G443:R443,1,MATCH(Parametres!$B$3,G$1:R$1,0))*IF(OR(F443="L",F443="S",F443="I"),-1,1)</f>
        <v>510</v>
      </c>
      <c r="AO443" s="487" t="str">
        <f>+VLOOKUP($AJ443,Data_Validation!$A:$D,1,0)</f>
        <v>G24600</v>
      </c>
      <c r="AP443" s="487" t="str">
        <f>+VLOOKUP($AJ443,Data_Validation!$A:$D,3,0)</f>
        <v>Bilan</v>
      </c>
      <c r="AQ443" s="487" t="str">
        <f>+VLOOKUP($AJ443,Data_Validation!$A:$D,4,0)</f>
        <v>Sous-Traitance</v>
      </c>
      <c r="AR443" s="487" t="s">
        <v>299</v>
      </c>
      <c r="AS443" s="487">
        <f>+VLOOKUP($AJ443,Data_Validation!$A:$E,5,0)</f>
        <v>0</v>
      </c>
      <c r="AT443" s="904" t="str">
        <f t="shared" si="39"/>
        <v>G24600</v>
      </c>
      <c r="AU443" s="488" t="str">
        <f t="shared" si="40"/>
        <v>INV. SOUS-CONTRATS</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1953</v>
      </c>
      <c r="D444" s="706" t="s">
        <v>1954</v>
      </c>
      <c r="E444" s="706" t="s">
        <v>1141</v>
      </c>
      <c r="F444" s="706" t="s">
        <v>1136</v>
      </c>
      <c r="G444" s="706">
        <v>38095.96</v>
      </c>
      <c r="H444" s="706">
        <v>39080.800000000003</v>
      </c>
      <c r="I444" s="706">
        <v>26044.55</v>
      </c>
      <c r="J444" s="706">
        <v>15024.15</v>
      </c>
      <c r="K444" s="706">
        <v>11973.65</v>
      </c>
      <c r="L444" s="706">
        <v>25888.880000000001</v>
      </c>
      <c r="M444" s="706">
        <v>24004.19</v>
      </c>
      <c r="N444" s="706">
        <v>27399.84</v>
      </c>
      <c r="O444" s="706">
        <v>26285.119999999999</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G24601</v>
      </c>
      <c r="AK444" s="905" t="str">
        <f t="shared" si="37"/>
        <v>INV. SOUS-CONTRAT BODY</v>
      </c>
      <c r="AL444" s="905">
        <f>IFERROR(INDEX(G444:R444,1,MATCH(Parametres!$B$3,G$1:R$1,0)-1)*IF(OR(F444="L",F444="S",F444="I"),-1,1),"")</f>
        <v>24004.19</v>
      </c>
      <c r="AM444" s="905">
        <f t="shared" si="38"/>
        <v>3395.6500000000015</v>
      </c>
      <c r="AN444" s="905">
        <f>INDEX(G444:R444,1,MATCH(Parametres!$B$3,G$1:R$1,0))*IF(OR(F444="L",F444="S",F444="I"),-1,1)</f>
        <v>27399.84</v>
      </c>
      <c r="AO444" s="487" t="str">
        <f>+VLOOKUP($AJ444,Data_Validation!$A:$D,1,0)</f>
        <v>G24601</v>
      </c>
      <c r="AP444" s="487" t="str">
        <f>+VLOOKUP($AJ444,Data_Validation!$A:$D,3,0)</f>
        <v>Bilan</v>
      </c>
      <c r="AQ444" s="487" t="str">
        <f>+VLOOKUP($AJ444,Data_Validation!$A:$D,4,0)</f>
        <v>Sous-Traitance</v>
      </c>
      <c r="AR444" s="487" t="s">
        <v>299</v>
      </c>
      <c r="AS444" s="487">
        <f>+VLOOKUP($AJ444,Data_Validation!$A:$E,5,0)</f>
        <v>0</v>
      </c>
      <c r="AT444" s="904" t="str">
        <f t="shared" si="39"/>
        <v>G24601</v>
      </c>
      <c r="AU444" s="488" t="str">
        <f t="shared" si="40"/>
        <v>INV. SOUS-CONTRAT BODY</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1955</v>
      </c>
      <c r="D445" s="706" t="s">
        <v>1956</v>
      </c>
      <c r="E445" s="706" t="s">
        <v>1141</v>
      </c>
      <c r="F445" s="706" t="s">
        <v>1136</v>
      </c>
      <c r="G445" s="706">
        <v>0</v>
      </c>
      <c r="H445" s="706">
        <v>0</v>
      </c>
      <c r="I445" s="706">
        <v>0</v>
      </c>
      <c r="J445" s="706">
        <v>0</v>
      </c>
      <c r="K445" s="706">
        <v>0</v>
      </c>
      <c r="L445" s="706">
        <v>0</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G24602</v>
      </c>
      <c r="AK445" s="905" t="str">
        <f t="shared" si="37"/>
        <v>INV. S-T BODY -CLIENT</v>
      </c>
      <c r="AL445" s="905">
        <f>IFERROR(INDEX(G445:R445,1,MATCH(Parametres!$B$3,G$1:R$1,0)-1)*IF(OR(F445="L",F445="S",F445="I"),-1,1),"")</f>
        <v>0</v>
      </c>
      <c r="AM445" s="905">
        <f t="shared" si="38"/>
        <v>0</v>
      </c>
      <c r="AN445" s="905">
        <f>INDEX(G445:R445,1,MATCH(Parametres!$B$3,G$1:R$1,0))*IF(OR(F445="L",F445="S",F445="I"),-1,1)</f>
        <v>0</v>
      </c>
      <c r="AO445" s="487" t="str">
        <f>+VLOOKUP($AJ445,Data_Validation!$A:$D,1,0)</f>
        <v>G24602</v>
      </c>
      <c r="AP445" s="487" t="str">
        <f>+VLOOKUP($AJ445,Data_Validation!$A:$D,3,0)</f>
        <v>Bilan</v>
      </c>
      <c r="AQ445" s="487" t="str">
        <f>+VLOOKUP($AJ445,Data_Validation!$A:$D,4,0)</f>
        <v>Sous-Traitance</v>
      </c>
      <c r="AR445" s="487" t="s">
        <v>299</v>
      </c>
      <c r="AS445" s="487">
        <f>+VLOOKUP($AJ445,Data_Validation!$A:$E,5,0)</f>
        <v>0</v>
      </c>
      <c r="AT445" s="904" t="str">
        <f t="shared" si="39"/>
        <v>G24602</v>
      </c>
      <c r="AU445" s="488" t="str">
        <f t="shared" si="40"/>
        <v>INV. S-T BODY -CLIENT</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1957</v>
      </c>
      <c r="D446" s="706" t="s">
        <v>3323</v>
      </c>
      <c r="E446" s="706" t="s">
        <v>333</v>
      </c>
      <c r="F446" s="706" t="s">
        <v>1136</v>
      </c>
      <c r="G446" s="706">
        <v>13586.27</v>
      </c>
      <c r="H446" s="706">
        <v>14938.99</v>
      </c>
      <c r="I446" s="706">
        <v>5194.54</v>
      </c>
      <c r="J446" s="706">
        <v>3700.94</v>
      </c>
      <c r="K446" s="706">
        <v>25056.65</v>
      </c>
      <c r="L446" s="706">
        <v>16535.2</v>
      </c>
      <c r="M446" s="706">
        <v>15516.08</v>
      </c>
      <c r="N446" s="706">
        <v>-458.09</v>
      </c>
      <c r="O446" s="706">
        <v>-3596.23</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G24700</v>
      </c>
      <c r="AK446" s="905" t="str">
        <f t="shared" si="37"/>
        <v>TRAVAUX EN COURS SERVICE</v>
      </c>
      <c r="AL446" s="905">
        <f>IFERROR(INDEX(G446:R446,1,MATCH(Parametres!$B$3,G$1:R$1,0)-1)*IF(OR(F446="L",F446="S",F446="I"),-1,1),"")</f>
        <v>15516.08</v>
      </c>
      <c r="AM446" s="905">
        <f t="shared" si="38"/>
        <v>-15974.17</v>
      </c>
      <c r="AN446" s="905">
        <f>INDEX(G446:R446,1,MATCH(Parametres!$B$3,G$1:R$1,0))*IF(OR(F446="L",F446="S",F446="I"),-1,1)</f>
        <v>-458.09</v>
      </c>
      <c r="AO446" s="487" t="str">
        <f>+VLOOKUP($AJ446,Data_Validation!$A:$D,1,0)</f>
        <v>G24700</v>
      </c>
      <c r="AP446" s="487" t="str">
        <f>+VLOOKUP($AJ446,Data_Validation!$A:$D,3,0)</f>
        <v>Bilan</v>
      </c>
      <c r="AQ446" s="487" t="str">
        <f>+VLOOKUP($AJ446,Data_Validation!$A:$D,4,0)</f>
        <v>Travaux en Cours</v>
      </c>
      <c r="AR446" s="487" t="s">
        <v>299</v>
      </c>
      <c r="AS446" s="487">
        <f>+VLOOKUP($AJ446,Data_Validation!$A:$E,5,0)</f>
        <v>0</v>
      </c>
      <c r="AT446" s="904" t="str">
        <f t="shared" si="39"/>
        <v>G24700</v>
      </c>
      <c r="AU446" s="488" t="str">
        <f t="shared" si="40"/>
        <v>TRAVAUX EN COURS SERVICE</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1959</v>
      </c>
      <c r="D447" s="706" t="s">
        <v>1960</v>
      </c>
      <c r="E447" s="706" t="s">
        <v>333</v>
      </c>
      <c r="F447" s="706" t="s">
        <v>1136</v>
      </c>
      <c r="G447" s="706">
        <v>0</v>
      </c>
      <c r="H447" s="706">
        <v>0</v>
      </c>
      <c r="I447" s="706">
        <v>0</v>
      </c>
      <c r="J447" s="706">
        <v>0</v>
      </c>
      <c r="K447" s="706">
        <v>0</v>
      </c>
      <c r="L447" s="706">
        <v>475.32</v>
      </c>
      <c r="M447" s="706">
        <v>20.8</v>
      </c>
      <c r="N447" s="706">
        <v>6291.33</v>
      </c>
      <c r="O447" s="706">
        <v>4957.1000000000004</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G24702</v>
      </c>
      <c r="AK447" s="905" t="str">
        <f t="shared" si="37"/>
        <v>TRAVAUX EN COURS ESTHETIQ</v>
      </c>
      <c r="AL447" s="905">
        <f>IFERROR(INDEX(G447:R447,1,MATCH(Parametres!$B$3,G$1:R$1,0)-1)*IF(OR(F447="L",F447="S",F447="I"),-1,1),"")</f>
        <v>20.8</v>
      </c>
      <c r="AM447" s="905">
        <f t="shared" si="38"/>
        <v>6270.53</v>
      </c>
      <c r="AN447" s="905">
        <f>INDEX(G447:R447,1,MATCH(Parametres!$B$3,G$1:R$1,0))*IF(OR(F447="L",F447="S",F447="I"),-1,1)</f>
        <v>6291.33</v>
      </c>
      <c r="AO447" s="487" t="str">
        <f>+VLOOKUP($AJ447,Data_Validation!$A:$D,1,0)</f>
        <v>G24702</v>
      </c>
      <c r="AP447" s="487" t="str">
        <f>+VLOOKUP($AJ447,Data_Validation!$A:$D,3,0)</f>
        <v>Bilan</v>
      </c>
      <c r="AQ447" s="487" t="str">
        <f>+VLOOKUP($AJ447,Data_Validation!$A:$D,4,0)</f>
        <v>Travaux en Cours</v>
      </c>
      <c r="AR447" s="487" t="s">
        <v>299</v>
      </c>
      <c r="AS447" s="487">
        <f>+VLOOKUP($AJ447,Data_Validation!$A:$E,5,0)</f>
        <v>0</v>
      </c>
      <c r="AT447" s="904" t="str">
        <f t="shared" si="39"/>
        <v>G24702</v>
      </c>
      <c r="AU447" s="488" t="str">
        <f t="shared" si="40"/>
        <v>TRAVAUX EN COURS ESTHETIQ</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1961</v>
      </c>
      <c r="D448" s="706" t="s">
        <v>1962</v>
      </c>
      <c r="E448" s="706" t="s">
        <v>333</v>
      </c>
      <c r="F448" s="706" t="s">
        <v>1136</v>
      </c>
      <c r="G448" s="706">
        <v>8432.51</v>
      </c>
      <c r="H448" s="706">
        <v>7668.38</v>
      </c>
      <c r="I448" s="706">
        <v>5211.6400000000003</v>
      </c>
      <c r="J448" s="706">
        <v>3099.09</v>
      </c>
      <c r="K448" s="706">
        <v>1845.4</v>
      </c>
      <c r="L448" s="706">
        <v>4222.2299999999996</v>
      </c>
      <c r="M448" s="706">
        <v>3855.83</v>
      </c>
      <c r="N448" s="706">
        <v>-899.81</v>
      </c>
      <c r="O448" s="706">
        <v>-3559.08</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G24705</v>
      </c>
      <c r="AK448" s="905" t="str">
        <f t="shared" si="37"/>
        <v>TRAVAUX EN COURS-CARROSS</v>
      </c>
      <c r="AL448" s="905">
        <f>IFERROR(INDEX(G448:R448,1,MATCH(Parametres!$B$3,G$1:R$1,0)-1)*IF(OR(F448="L",F448="S",F448="I"),-1,1),"")</f>
        <v>3855.83</v>
      </c>
      <c r="AM448" s="905">
        <f t="shared" si="38"/>
        <v>-4755.6399999999994</v>
      </c>
      <c r="AN448" s="905">
        <f>INDEX(G448:R448,1,MATCH(Parametres!$B$3,G$1:R$1,0))*IF(OR(F448="L",F448="S",F448="I"),-1,1)</f>
        <v>-899.81</v>
      </c>
      <c r="AO448" s="487" t="str">
        <f>+VLOOKUP($AJ448,Data_Validation!$A:$D,1,0)</f>
        <v>G24705</v>
      </c>
      <c r="AP448" s="487" t="str">
        <f>+VLOOKUP($AJ448,Data_Validation!$A:$D,3,0)</f>
        <v>Bilan</v>
      </c>
      <c r="AQ448" s="487" t="str">
        <f>+VLOOKUP($AJ448,Data_Validation!$A:$D,4,0)</f>
        <v>Travaux en Cours</v>
      </c>
      <c r="AR448" s="487" t="s">
        <v>299</v>
      </c>
      <c r="AS448" s="487">
        <f>+VLOOKUP($AJ448,Data_Validation!$A:$E,5,0)</f>
        <v>0</v>
      </c>
      <c r="AT448" s="904" t="str">
        <f t="shared" si="39"/>
        <v>G24705</v>
      </c>
      <c r="AU448" s="488" t="str">
        <f t="shared" si="40"/>
        <v>TRAVAUX EN COURS-CARROSS</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1963</v>
      </c>
      <c r="D449" s="706" t="s">
        <v>1964</v>
      </c>
      <c r="E449" s="706" t="s">
        <v>333</v>
      </c>
      <c r="F449" s="706" t="s">
        <v>1136</v>
      </c>
      <c r="G449" s="706">
        <v>0</v>
      </c>
      <c r="H449" s="706">
        <v>0</v>
      </c>
      <c r="I449" s="706">
        <v>0</v>
      </c>
      <c r="J449" s="706">
        <v>0</v>
      </c>
      <c r="K449" s="706">
        <v>-9700.1200000000008</v>
      </c>
      <c r="L449" s="706">
        <v>993.85</v>
      </c>
      <c r="M449" s="706">
        <v>633.54999999999995</v>
      </c>
      <c r="N449" s="706">
        <v>-1782.79</v>
      </c>
      <c r="O449" s="706">
        <v>-3289.02</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G24707</v>
      </c>
      <c r="AK449" s="905" t="str">
        <f t="shared" si="37"/>
        <v>TRAVAUX EN COURS SAAQ</v>
      </c>
      <c r="AL449" s="905">
        <f>IFERROR(INDEX(G449:R449,1,MATCH(Parametres!$B$3,G$1:R$1,0)-1)*IF(OR(F449="L",F449="S",F449="I"),-1,1),"")</f>
        <v>633.54999999999995</v>
      </c>
      <c r="AM449" s="905">
        <f t="shared" si="38"/>
        <v>-2416.34</v>
      </c>
      <c r="AN449" s="905">
        <f>INDEX(G449:R449,1,MATCH(Parametres!$B$3,G$1:R$1,0))*IF(OR(F449="L",F449="S",F449="I"),-1,1)</f>
        <v>-1782.79</v>
      </c>
      <c r="AO449" s="487" t="str">
        <f>+VLOOKUP($AJ449,Data_Validation!$A:$D,1,0)</f>
        <v>G24707</v>
      </c>
      <c r="AP449" s="487" t="str">
        <f>+VLOOKUP($AJ449,Data_Validation!$A:$D,3,0)</f>
        <v>Bilan</v>
      </c>
      <c r="AQ449" s="487" t="str">
        <f>+VLOOKUP($AJ449,Data_Validation!$A:$D,4,0)</f>
        <v>Travaux en Cours</v>
      </c>
      <c r="AR449" s="487" t="s">
        <v>299</v>
      </c>
      <c r="AS449" s="487">
        <f>+VLOOKUP($AJ449,Data_Validation!$A:$E,5,0)</f>
        <v>0</v>
      </c>
      <c r="AT449" s="904" t="str">
        <f t="shared" si="39"/>
        <v>G24707</v>
      </c>
      <c r="AU449" s="488" t="str">
        <f t="shared" si="40"/>
        <v>TRAVAUX EN COURS SAAQ</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1965</v>
      </c>
      <c r="D450" s="706" t="s">
        <v>1966</v>
      </c>
      <c r="E450" s="706" t="s">
        <v>1139</v>
      </c>
      <c r="F450" s="706" t="s">
        <v>1136</v>
      </c>
      <c r="G450" s="706">
        <v>31000</v>
      </c>
      <c r="H450" s="706">
        <v>22000</v>
      </c>
      <c r="I450" s="706">
        <v>56000</v>
      </c>
      <c r="J450" s="706">
        <v>222000</v>
      </c>
      <c r="K450" s="706">
        <v>260000</v>
      </c>
      <c r="L450" s="706">
        <v>261000</v>
      </c>
      <c r="M450" s="706">
        <v>337000</v>
      </c>
      <c r="N450" s="706">
        <v>374000</v>
      </c>
      <c r="O450" s="706">
        <v>374000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G25000</v>
      </c>
      <c r="AK450" s="905" t="str">
        <f t="shared" si="37"/>
        <v>A RECEVOIR ROULEZ ELECT</v>
      </c>
      <c r="AL450" s="905">
        <f>IFERROR(INDEX(G450:R450,1,MATCH(Parametres!$B$3,G$1:R$1,0)-1)*IF(OR(F450="L",F450="S",F450="I"),-1,1),"")</f>
        <v>337000</v>
      </c>
      <c r="AM450" s="905">
        <f t="shared" si="38"/>
        <v>37000</v>
      </c>
      <c r="AN450" s="905">
        <f>INDEX(G450:R450,1,MATCH(Parametres!$B$3,G$1:R$1,0))*IF(OR(F450="L",F450="S",F450="I"),-1,1)</f>
        <v>374000</v>
      </c>
      <c r="AO450" s="487" t="str">
        <f>+VLOOKUP($AJ450,Data_Validation!$A:$D,1,0)</f>
        <v>G25000</v>
      </c>
      <c r="AP450" s="487" t="str">
        <f>+VLOOKUP($AJ450,Data_Validation!$A:$D,3,0)</f>
        <v>Bilan</v>
      </c>
      <c r="AQ450" s="487" t="str">
        <f>+VLOOKUP($AJ450,Data_Validation!$A:$D,4,0)</f>
        <v>Recevables Autres</v>
      </c>
      <c r="AR450" s="487" t="s">
        <v>299</v>
      </c>
      <c r="AS450" s="487">
        <f>+VLOOKUP($AJ450,Data_Validation!$A:$E,5,0)</f>
        <v>0</v>
      </c>
      <c r="AT450" s="904" t="str">
        <f t="shared" si="39"/>
        <v>G25000</v>
      </c>
      <c r="AU450" s="488" t="str">
        <f t="shared" si="40"/>
        <v>A RECEVOIR ROULEZ ELECT</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1967</v>
      </c>
      <c r="D451" s="706" t="s">
        <v>1968</v>
      </c>
      <c r="E451" s="706" t="s">
        <v>333</v>
      </c>
      <c r="F451" s="706" t="s">
        <v>1136</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G258</v>
      </c>
      <c r="AK451" s="905" t="str">
        <f t="shared" si="37"/>
        <v>PNEUS USAGÉS</v>
      </c>
      <c r="AL451" s="905">
        <f>IFERROR(INDEX(G451:R451,1,MATCH(Parametres!$B$3,G$1:R$1,0)-1)*IF(OR(F451="L",F451="S",F451="I"),-1,1),"")</f>
        <v>0</v>
      </c>
      <c r="AM451" s="905">
        <f t="shared" si="38"/>
        <v>0</v>
      </c>
      <c r="AN451" s="905">
        <f>INDEX(G451:R451,1,MATCH(Parametres!$B$3,G$1:R$1,0))*IF(OR(F451="L",F451="S",F451="I"),-1,1)</f>
        <v>0</v>
      </c>
      <c r="AO451" s="487" t="e">
        <f>+VLOOKUP($AJ451,Data_Validation!$A:$D,1,0)</f>
        <v>#N/A</v>
      </c>
      <c r="AP451" s="487" t="e">
        <f>+VLOOKUP($AJ451,Data_Validation!$A:$D,3,0)</f>
        <v>#N/A</v>
      </c>
      <c r="AQ451" s="487" t="e">
        <f>+VLOOKUP($AJ451,Data_Validation!$A:$D,4,0)</f>
        <v>#N/A</v>
      </c>
      <c r="AR451" s="487" t="s">
        <v>299</v>
      </c>
      <c r="AS451" s="487" t="e">
        <f>+VLOOKUP($AJ451,Data_Validation!$A:$E,5,0)</f>
        <v>#N/A</v>
      </c>
      <c r="AT451" s="904" t="str">
        <f t="shared" si="39"/>
        <v>G258</v>
      </c>
      <c r="AU451" s="488" t="str">
        <f t="shared" si="40"/>
        <v>PNEUS USAGÉS</v>
      </c>
      <c r="AV451" s="899">
        <f>IFERROR(INDEX(V451:AG451,1,MATCH(Parametres!$B$3,V$1:AG$1,0)-1)*IF(OR(C451="L",C451="S",C451="I"),-1,1),"")</f>
        <v>0</v>
      </c>
      <c r="AW451" s="899">
        <f t="shared" si="41"/>
        <v>0</v>
      </c>
      <c r="AX451" s="899">
        <f>INDEX(V451:AG451,1,MATCH(Parametres!$B$3,V$1:AG$1,0))*IF(OR(C451="L",C451="S",C451="I"),-1,1)</f>
        <v>0</v>
      </c>
      <c r="AY451" s="487" t="s">
        <v>337</v>
      </c>
      <c r="AZ451" s="487" t="e">
        <f>+VLOOKUP($AJ451,Data_Validation!$A:$E,5,0)</f>
        <v>#N/A</v>
      </c>
    </row>
    <row r="452" spans="1:52" ht="15.75" hidden="1" customHeight="1">
      <c r="A452" s="706" t="s">
        <v>1148</v>
      </c>
      <c r="B452" s="706">
        <v>2026</v>
      </c>
      <c r="C452" s="706" t="s">
        <v>1969</v>
      </c>
      <c r="D452" s="706" t="s">
        <v>1970</v>
      </c>
      <c r="E452" s="706" t="s">
        <v>1135</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G25800</v>
      </c>
      <c r="AK452" s="905" t="str">
        <f t="shared" ref="AK452:AK466" si="43">D452</f>
        <v>PNEUS COURTOISIES</v>
      </c>
      <c r="AL452" s="905">
        <f>IFERROR(INDEX(G452:R452,1,MATCH(Parametres!$B$3,G$1:R$1,0)-1)*IF(OR(F452="L",F452="S",F452="I"),-1,1),"")</f>
        <v>0</v>
      </c>
      <c r="AM452" s="905">
        <f t="shared" ref="AM452:AM515" si="44">AN452-AL452</f>
        <v>0</v>
      </c>
      <c r="AN452" s="905">
        <f>INDEX(G452:R452,1,MATCH(Parametres!$B$3,G$1:R$1,0))*IF(OR(F452="L",F452="S",F452="I"),-1,1)</f>
        <v>0</v>
      </c>
      <c r="AO452" s="487" t="str">
        <f>+VLOOKUP($AJ452,Data_Validation!$A:$D,1,0)</f>
        <v>G25800</v>
      </c>
      <c r="AP452" s="487">
        <f>+VLOOKUP($AJ452,Data_Validation!$A:$D,3,0)</f>
        <v>0</v>
      </c>
      <c r="AQ452" s="487">
        <f>+VLOOKUP($AJ452,Data_Validation!$A:$D,4,0)</f>
        <v>0</v>
      </c>
      <c r="AR452" s="487" t="s">
        <v>299</v>
      </c>
      <c r="AS452" s="487">
        <f>+VLOOKUP($AJ452,Data_Validation!$A:$E,5,0)</f>
        <v>0</v>
      </c>
      <c r="AT452" s="904" t="str">
        <f t="shared" ref="AT452:AT515" si="45">C452</f>
        <v>G25800</v>
      </c>
      <c r="AU452" s="488" t="str">
        <f t="shared" ref="AU452:AU515" si="46">D452</f>
        <v>PNEUS COURTOISIES</v>
      </c>
      <c r="AV452" s="899">
        <f>IFERROR(INDEX(V452:AG452,1,MATCH(Parametres!$B$3,V$1:AG$1,0)-1)*IF(OR(C452="L",C452="S",C452="I"),-1,1),"")</f>
        <v>0</v>
      </c>
      <c r="AW452" s="899">
        <f t="shared" ref="AW452:AW515" si="47">AX452-AV452</f>
        <v>0</v>
      </c>
      <c r="AX452" s="899">
        <f>INDEX(V452:AG452,1,MATCH(Parametres!$B$3,V$1:AG$1,0))*IF(OR(C452="L",C452="S",C452="I"),-1,1)</f>
        <v>0</v>
      </c>
      <c r="AY452" s="487" t="s">
        <v>337</v>
      </c>
      <c r="AZ452" s="487">
        <f>+VLOOKUP($AJ452,Data_Validation!$A:$E,5,0)</f>
        <v>0</v>
      </c>
    </row>
    <row r="453" spans="1:52" ht="15" hidden="1" customHeight="1">
      <c r="A453" s="706" t="s">
        <v>1148</v>
      </c>
      <c r="B453" s="706">
        <v>2026</v>
      </c>
      <c r="C453" s="706" t="s">
        <v>1971</v>
      </c>
      <c r="D453" s="706" t="s">
        <v>1972</v>
      </c>
      <c r="E453" s="706" t="s">
        <v>333</v>
      </c>
      <c r="F453" s="706" t="s">
        <v>1136</v>
      </c>
      <c r="G453" s="706">
        <v>-272876.02</v>
      </c>
      <c r="H453" s="706">
        <v>-272876.02</v>
      </c>
      <c r="I453" s="706">
        <v>-272876.02</v>
      </c>
      <c r="J453" s="706">
        <v>-272876.02</v>
      </c>
      <c r="K453" s="706">
        <v>-272876.02</v>
      </c>
      <c r="L453" s="706">
        <v>-272876.02</v>
      </c>
      <c r="M453" s="706">
        <v>124974.69</v>
      </c>
      <c r="N453" s="706">
        <v>124974.69</v>
      </c>
      <c r="O453" s="706">
        <v>124974.69</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G26000</v>
      </c>
      <c r="AK453" s="905" t="str">
        <f t="shared" si="43"/>
        <v>PORTEFEUILLE</v>
      </c>
      <c r="AL453" s="905">
        <f>IFERROR(INDEX(G453:R453,1,MATCH(Parametres!$B$3,G$1:R$1,0)-1)*IF(OR(F453="L",F453="S",F453="I"),-1,1),"")</f>
        <v>124974.69</v>
      </c>
      <c r="AM453" s="905">
        <f t="shared" si="44"/>
        <v>0</v>
      </c>
      <c r="AN453" s="905">
        <f>INDEX(G453:R453,1,MATCH(Parametres!$B$3,G$1:R$1,0))*IF(OR(F453="L",F453="S",F453="I"),-1,1)</f>
        <v>124974.69</v>
      </c>
      <c r="AO453" s="487" t="str">
        <f>+VLOOKUP($AJ453,Data_Validation!$A:$D,1,0)</f>
        <v>G26000</v>
      </c>
      <c r="AP453" s="487" t="str">
        <f>+VLOOKUP($AJ453,Data_Validation!$A:$D,3,0)</f>
        <v>Bilan</v>
      </c>
      <c r="AQ453" s="487" t="str">
        <f>+VLOOKUP($AJ453,Data_Validation!$A:$D,4,0)</f>
        <v>Encaisse</v>
      </c>
      <c r="AR453" s="487" t="s">
        <v>299</v>
      </c>
      <c r="AS453" s="487">
        <f>+VLOOKUP($AJ453,Data_Validation!$A:$E,5,0)</f>
        <v>0</v>
      </c>
      <c r="AT453" s="904" t="str">
        <f t="shared" si="45"/>
        <v>G26000</v>
      </c>
      <c r="AU453" s="488" t="str">
        <f t="shared" si="46"/>
        <v>PORTEFEUILLE</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1973</v>
      </c>
      <c r="D454" s="706" t="s">
        <v>1974</v>
      </c>
      <c r="E454" s="706" t="s">
        <v>1139</v>
      </c>
      <c r="F454" s="706" t="s">
        <v>1136</v>
      </c>
      <c r="G454" s="706">
        <v>-44258.66</v>
      </c>
      <c r="H454" s="706">
        <v>-34155.68</v>
      </c>
      <c r="I454" s="706">
        <v>-22499.8</v>
      </c>
      <c r="J454" s="706">
        <v>-24469.61</v>
      </c>
      <c r="K454" s="706">
        <v>-25313.77</v>
      </c>
      <c r="L454" s="706">
        <v>-17216.88</v>
      </c>
      <c r="M454" s="706">
        <v>-19164.75</v>
      </c>
      <c r="N454" s="706">
        <v>-13144.21</v>
      </c>
      <c r="O454" s="706">
        <v>-11220.66</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G26101</v>
      </c>
      <c r="AK454" s="905" t="str">
        <f t="shared" si="43"/>
        <v>INSPECTIONS (PDI)</v>
      </c>
      <c r="AL454" s="905">
        <f>IFERROR(INDEX(G454:R454,1,MATCH(Parametres!$B$3,G$1:R$1,0)-1)*IF(OR(F454="L",F454="S",F454="I"),-1,1),"")</f>
        <v>-19164.75</v>
      </c>
      <c r="AM454" s="905">
        <f t="shared" si="44"/>
        <v>6020.5400000000009</v>
      </c>
      <c r="AN454" s="905">
        <f>INDEX(G454:R454,1,MATCH(Parametres!$B$3,G$1:R$1,0))*IF(OR(F454="L",F454="S",F454="I"),-1,1)</f>
        <v>-13144.21</v>
      </c>
      <c r="AO454" s="487" t="str">
        <f>+VLOOKUP($AJ454,Data_Validation!$A:$D,1,0)</f>
        <v>G26101</v>
      </c>
      <c r="AP454" s="487" t="str">
        <f>+VLOOKUP($AJ454,Data_Validation!$A:$D,3,0)</f>
        <v>Bilan</v>
      </c>
      <c r="AQ454" s="487" t="str">
        <f>+VLOOKUP($AJ454,Data_Validation!$A:$D,4,0)</f>
        <v>Recevables Manufacturier</v>
      </c>
      <c r="AR454" s="487" t="s">
        <v>299</v>
      </c>
      <c r="AS454" s="487">
        <f>+VLOOKUP($AJ454,Data_Validation!$A:$E,5,0)</f>
        <v>0</v>
      </c>
      <c r="AT454" s="904" t="str">
        <f t="shared" si="45"/>
        <v>G26101</v>
      </c>
      <c r="AU454" s="488" t="str">
        <f t="shared" si="46"/>
        <v>INSPECTIONS (PDI)</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1975</v>
      </c>
      <c r="D455" s="706" t="s">
        <v>1976</v>
      </c>
      <c r="E455" s="706" t="s">
        <v>1139</v>
      </c>
      <c r="F455" s="706" t="s">
        <v>1136</v>
      </c>
      <c r="G455" s="706">
        <v>18960.740000000002</v>
      </c>
      <c r="H455" s="706">
        <v>25362.17</v>
      </c>
      <c r="I455" s="706">
        <v>54403.18</v>
      </c>
      <c r="J455" s="706">
        <v>141724.88</v>
      </c>
      <c r="K455" s="706">
        <v>69583.12</v>
      </c>
      <c r="L455" s="706">
        <v>54266.01</v>
      </c>
      <c r="M455" s="706">
        <v>100765.95</v>
      </c>
      <c r="N455" s="706">
        <v>107441.57</v>
      </c>
      <c r="O455" s="706">
        <v>57871.71</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G26103</v>
      </c>
      <c r="AK455" s="905" t="str">
        <f t="shared" si="43"/>
        <v>PROGRAMMES DIVERS</v>
      </c>
      <c r="AL455" s="905">
        <f>IFERROR(INDEX(G455:R455,1,MATCH(Parametres!$B$3,G$1:R$1,0)-1)*IF(OR(F455="L",F455="S",F455="I"),-1,1),"")</f>
        <v>100765.95</v>
      </c>
      <c r="AM455" s="905">
        <f t="shared" si="44"/>
        <v>6675.6200000000099</v>
      </c>
      <c r="AN455" s="905">
        <f>INDEX(G455:R455,1,MATCH(Parametres!$B$3,G$1:R$1,0))*IF(OR(F455="L",F455="S",F455="I"),-1,1)</f>
        <v>107441.57</v>
      </c>
      <c r="AO455" s="487" t="str">
        <f>+VLOOKUP($AJ455,Data_Validation!$A:$D,1,0)</f>
        <v>G26103</v>
      </c>
      <c r="AP455" s="487" t="str">
        <f>+VLOOKUP($AJ455,Data_Validation!$A:$D,3,0)</f>
        <v>Bilan</v>
      </c>
      <c r="AQ455" s="487" t="str">
        <f>+VLOOKUP($AJ455,Data_Validation!$A:$D,4,0)</f>
        <v>Recevables Manufacturier</v>
      </c>
      <c r="AR455" s="487" t="s">
        <v>299</v>
      </c>
      <c r="AS455" s="487">
        <f>+VLOOKUP($AJ455,Data_Validation!$A:$E,5,0)</f>
        <v>0</v>
      </c>
      <c r="AT455" s="904" t="str">
        <f t="shared" si="45"/>
        <v>G26103</v>
      </c>
      <c r="AU455" s="488" t="str">
        <f t="shared" si="46"/>
        <v>PROGRAMMES DIVERS</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1977</v>
      </c>
      <c r="D456" s="706" t="s">
        <v>1978</v>
      </c>
      <c r="E456" s="706" t="s">
        <v>1139</v>
      </c>
      <c r="F456" s="706" t="s">
        <v>1136</v>
      </c>
      <c r="G456" s="706">
        <v>43678.21</v>
      </c>
      <c r="H456" s="706">
        <v>110693.25</v>
      </c>
      <c r="I456" s="706">
        <v>213508.24</v>
      </c>
      <c r="J456" s="706">
        <v>205889.26</v>
      </c>
      <c r="K456" s="706">
        <v>187655.35</v>
      </c>
      <c r="L456" s="706">
        <v>188850.77</v>
      </c>
      <c r="M456" s="706">
        <v>149459.75</v>
      </c>
      <c r="N456" s="706">
        <v>138480.95000000001</v>
      </c>
      <c r="O456" s="706">
        <v>137915.64000000001</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G26104</v>
      </c>
      <c r="AK456" s="905" t="str">
        <f t="shared" si="43"/>
        <v>PROGRAMMES FLOTTES</v>
      </c>
      <c r="AL456" s="905">
        <f>IFERROR(INDEX(G456:R456,1,MATCH(Parametres!$B$3,G$1:R$1,0)-1)*IF(OR(F456="L",F456="S",F456="I"),-1,1),"")</f>
        <v>149459.75</v>
      </c>
      <c r="AM456" s="905">
        <f t="shared" si="44"/>
        <v>-10978.799999999988</v>
      </c>
      <c r="AN456" s="905">
        <f>INDEX(G456:R456,1,MATCH(Parametres!$B$3,G$1:R$1,0))*IF(OR(F456="L",F456="S",F456="I"),-1,1)</f>
        <v>138480.95000000001</v>
      </c>
      <c r="AO456" s="487" t="str">
        <f>+VLOOKUP($AJ456,Data_Validation!$A:$D,1,0)</f>
        <v>G26104</v>
      </c>
      <c r="AP456" s="487" t="str">
        <f>+VLOOKUP($AJ456,Data_Validation!$A:$D,3,0)</f>
        <v>Bilan</v>
      </c>
      <c r="AQ456" s="487" t="str">
        <f>+VLOOKUP($AJ456,Data_Validation!$A:$D,4,0)</f>
        <v>Recevables Manufacturier</v>
      </c>
      <c r="AR456" s="487" t="s">
        <v>299</v>
      </c>
      <c r="AS456" s="487">
        <f>+VLOOKUP($AJ456,Data_Validation!$A:$E,5,0)</f>
        <v>0</v>
      </c>
      <c r="AT456" s="904" t="str">
        <f t="shared" si="45"/>
        <v>G26104</v>
      </c>
      <c r="AU456" s="488" t="str">
        <f t="shared" si="46"/>
        <v>PROGRAMMES FLOTTES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1979</v>
      </c>
      <c r="D457" s="706" t="s">
        <v>1980</v>
      </c>
      <c r="E457" s="706" t="s">
        <v>333</v>
      </c>
      <c r="F457" s="706" t="s">
        <v>1136</v>
      </c>
      <c r="G457" s="706">
        <v>15471.14</v>
      </c>
      <c r="H457" s="706">
        <v>12865.94</v>
      </c>
      <c r="I457" s="706">
        <v>9569.19</v>
      </c>
      <c r="J457" s="706">
        <v>6234.69</v>
      </c>
      <c r="K457" s="706">
        <v>3129.69</v>
      </c>
      <c r="L457" s="706">
        <v>213.69</v>
      </c>
      <c r="M457" s="706">
        <v>-2756.31</v>
      </c>
      <c r="N457" s="706">
        <v>-4990.5600000000004</v>
      </c>
      <c r="O457" s="706">
        <v>-5206.5600000000004</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G26155</v>
      </c>
      <c r="AK457" s="905" t="str">
        <f t="shared" si="43"/>
        <v>VIGNETTES AUTO / CAMIONS</v>
      </c>
      <c r="AL457" s="905">
        <f>IFERROR(INDEX(G457:R457,1,MATCH(Parametres!$B$3,G$1:R$1,0)-1)*IF(OR(F457="L",F457="S",F457="I"),-1,1),"")</f>
        <v>-2756.31</v>
      </c>
      <c r="AM457" s="905">
        <f t="shared" si="44"/>
        <v>-2234.2500000000005</v>
      </c>
      <c r="AN457" s="905">
        <f>INDEX(G457:R457,1,MATCH(Parametres!$B$3,G$1:R$1,0))*IF(OR(F457="L",F457="S",F457="I"),-1,1)</f>
        <v>-4990.5600000000004</v>
      </c>
      <c r="AO457" s="487" t="str">
        <f>+VLOOKUP($AJ457,Data_Validation!$A:$D,1,0)</f>
        <v>G26155</v>
      </c>
      <c r="AP457" s="487" t="str">
        <f>+VLOOKUP($AJ457,Data_Validation!$A:$D,3,0)</f>
        <v>Bilan</v>
      </c>
      <c r="AQ457" s="487" t="str">
        <f>+VLOOKUP($AJ457,Data_Validation!$A:$D,4,0)</f>
        <v>Frais Payés d'Avance</v>
      </c>
      <c r="AR457" s="487" t="s">
        <v>299</v>
      </c>
      <c r="AS457" s="487">
        <f>+VLOOKUP($AJ457,Data_Validation!$A:$E,5,0)</f>
        <v>0</v>
      </c>
      <c r="AT457" s="904" t="str">
        <f t="shared" si="45"/>
        <v>G26155</v>
      </c>
      <c r="AU457" s="488" t="str">
        <f t="shared" si="46"/>
        <v>VIGNETTES AUTO / CAMIONS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1981</v>
      </c>
      <c r="D458" s="706" t="s">
        <v>1982</v>
      </c>
      <c r="E458" s="706" t="s">
        <v>1135</v>
      </c>
      <c r="F458" s="706" t="s">
        <v>1136</v>
      </c>
      <c r="G458" s="706">
        <v>32.19</v>
      </c>
      <c r="H458" s="706">
        <v>22215.22</v>
      </c>
      <c r="I458" s="706">
        <v>25872.63</v>
      </c>
      <c r="J458" s="706">
        <v>9272.42</v>
      </c>
      <c r="K458" s="706">
        <v>-16776.28</v>
      </c>
      <c r="L458" s="706">
        <v>17695.38</v>
      </c>
      <c r="M458" s="706">
        <v>-2517.75</v>
      </c>
      <c r="N458" s="706">
        <v>51423.38</v>
      </c>
      <c r="O458" s="706">
        <v>11438.6</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G26300</v>
      </c>
      <c r="AK458" s="905" t="str">
        <f t="shared" si="43"/>
        <v>RECLAMATION EN GARANTIE</v>
      </c>
      <c r="AL458" s="905">
        <f>IFERROR(INDEX(G458:R458,1,MATCH(Parametres!$B$3,G$1:R$1,0)-1)*IF(OR(F458="L",F458="S",F458="I"),-1,1),"")</f>
        <v>-2517.75</v>
      </c>
      <c r="AM458" s="905">
        <f t="shared" si="44"/>
        <v>53941.13</v>
      </c>
      <c r="AN458" s="905">
        <f>INDEX(G458:R458,1,MATCH(Parametres!$B$3,G$1:R$1,0))*IF(OR(F458="L",F458="S",F458="I"),-1,1)</f>
        <v>51423.38</v>
      </c>
      <c r="AO458" s="487" t="str">
        <f>+VLOOKUP($AJ458,Data_Validation!$A:$D,1,0)</f>
        <v>G26300</v>
      </c>
      <c r="AP458" s="487" t="str">
        <f>+VLOOKUP($AJ458,Data_Validation!$A:$D,3,0)</f>
        <v>Bilan</v>
      </c>
      <c r="AQ458" s="487" t="str">
        <f>+VLOOKUP($AJ458,Data_Validation!$A:$D,4,0)</f>
        <v>Recevables Garantie Manufacturier</v>
      </c>
      <c r="AR458" s="487" t="s">
        <v>299</v>
      </c>
      <c r="AS458" s="487">
        <f>+VLOOKUP($AJ458,Data_Validation!$A:$E,5,0)</f>
        <v>0</v>
      </c>
      <c r="AT458" s="904" t="str">
        <f t="shared" si="45"/>
        <v>G26300</v>
      </c>
      <c r="AU458" s="488" t="str">
        <f t="shared" si="46"/>
        <v>RECLAMATION EN GARANTIE</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1983</v>
      </c>
      <c r="D459" s="706" t="s">
        <v>1984</v>
      </c>
      <c r="E459" s="706" t="s">
        <v>1135</v>
      </c>
      <c r="F459" s="706" t="s">
        <v>1136</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G26302</v>
      </c>
      <c r="AK459" s="905" t="str">
        <f t="shared" si="43"/>
        <v>RECLAMATIONS P.P.C.</v>
      </c>
      <c r="AL459" s="905">
        <f>IFERROR(INDEX(G459:R459,1,MATCH(Parametres!$B$3,G$1:R$1,0)-1)*IF(OR(F459="L",F459="S",F459="I"),-1,1),"")</f>
        <v>0</v>
      </c>
      <c r="AM459" s="905">
        <f t="shared" si="44"/>
        <v>0</v>
      </c>
      <c r="AN459" s="905">
        <f>INDEX(G459:R459,1,MATCH(Parametres!$B$3,G$1:R$1,0))*IF(OR(F459="L",F459="S",F459="I"),-1,1)</f>
        <v>0</v>
      </c>
      <c r="AO459" s="487" t="e">
        <f>+VLOOKUP($AJ459,Data_Validation!$A:$D,1,0)</f>
        <v>#N/A</v>
      </c>
      <c r="AP459" s="487" t="e">
        <f>+VLOOKUP($AJ459,Data_Validation!$A:$D,3,0)</f>
        <v>#N/A</v>
      </c>
      <c r="AQ459" s="487" t="e">
        <f>+VLOOKUP($AJ459,Data_Validation!$A:$D,4,0)</f>
        <v>#N/A</v>
      </c>
      <c r="AR459" s="487" t="s">
        <v>299</v>
      </c>
      <c r="AS459" s="487" t="e">
        <f>+VLOOKUP($AJ459,Data_Validation!$A:$E,5,0)</f>
        <v>#N/A</v>
      </c>
      <c r="AT459" s="904" t="str">
        <f t="shared" si="45"/>
        <v>G26302</v>
      </c>
      <c r="AU459" s="488" t="str">
        <f t="shared" si="46"/>
        <v>RECLAMATIONS P.P.C.</v>
      </c>
      <c r="AV459" s="899">
        <f>IFERROR(INDEX(V459:AG459,1,MATCH(Parametres!$B$3,V$1:AG$1,0)-1)*IF(OR(C459="L",C459="S",C459="I"),-1,1),"")</f>
        <v>0</v>
      </c>
      <c r="AW459" s="899">
        <f t="shared" si="47"/>
        <v>0</v>
      </c>
      <c r="AX459" s="899">
        <f>INDEX(V459:AG459,1,MATCH(Parametres!$B$3,V$1:AG$1,0))*IF(OR(C459="L",C459="S",C459="I"),-1,1)</f>
        <v>0</v>
      </c>
      <c r="AY459" s="487" t="s">
        <v>337</v>
      </c>
      <c r="AZ459" s="487" t="e">
        <f>+VLOOKUP($AJ459,Data_Validation!$A:$E,5,0)</f>
        <v>#N/A</v>
      </c>
    </row>
    <row r="460" spans="1:52" ht="15" hidden="1" customHeight="1">
      <c r="A460" s="706" t="s">
        <v>1148</v>
      </c>
      <c r="B460" s="706">
        <v>2026</v>
      </c>
      <c r="C460" s="706" t="s">
        <v>1985</v>
      </c>
      <c r="D460" s="706" t="s">
        <v>1986</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G26303</v>
      </c>
      <c r="AK460" s="905" t="str">
        <f t="shared" si="43"/>
        <v>DEDUCTIBLE CLAIMS</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G26303</v>
      </c>
      <c r="AU460" s="488" t="str">
        <f t="shared" si="46"/>
        <v>DEDUCTIBLE CLAIMS</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1987</v>
      </c>
      <c r="D461" s="706" t="s">
        <v>1988</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G26310</v>
      </c>
      <c r="AK461" s="905" t="str">
        <f t="shared" si="43"/>
        <v>TRANSPORT-TELECON</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G26310</v>
      </c>
      <c r="AU461" s="488" t="str">
        <f t="shared" si="46"/>
        <v>TRANSPORT-TELECON</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1989</v>
      </c>
      <c r="D462" s="706" t="s">
        <v>1990</v>
      </c>
      <c r="E462" s="706" t="s">
        <v>333</v>
      </c>
      <c r="F462" s="706" t="s">
        <v>1136</v>
      </c>
      <c r="G462" s="706">
        <v>2387030.44</v>
      </c>
      <c r="H462" s="706">
        <v>2383593.9700000002</v>
      </c>
      <c r="I462" s="706">
        <v>621662.51</v>
      </c>
      <c r="J462" s="706">
        <v>1147588.6599999999</v>
      </c>
      <c r="K462" s="706">
        <v>1872312.81</v>
      </c>
      <c r="L462" s="706">
        <v>856501.22</v>
      </c>
      <c r="M462" s="706">
        <v>856501.22</v>
      </c>
      <c r="N462" s="706">
        <v>839643.37</v>
      </c>
      <c r="O462" s="706">
        <v>839643.37</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G26500</v>
      </c>
      <c r="AK462" s="905" t="str">
        <f t="shared" si="43"/>
        <v>TPS TVH TVQ À RECEVOIR</v>
      </c>
      <c r="AL462" s="905">
        <f>IFERROR(INDEX(G462:R462,1,MATCH(Parametres!$B$3,G$1:R$1,0)-1)*IF(OR(F462="L",F462="S",F462="I"),-1,1),"")</f>
        <v>856501.22</v>
      </c>
      <c r="AM462" s="905">
        <f t="shared" si="44"/>
        <v>-16857.849999999977</v>
      </c>
      <c r="AN462" s="905">
        <f>INDEX(G462:R462,1,MATCH(Parametres!$B$3,G$1:R$1,0))*IF(OR(F462="L",F462="S",F462="I"),-1,1)</f>
        <v>839643.37</v>
      </c>
      <c r="AO462" s="487" t="str">
        <f>+VLOOKUP($AJ462,Data_Validation!$A:$D,1,0)</f>
        <v>G26500</v>
      </c>
      <c r="AP462" s="487" t="str">
        <f>+VLOOKUP($AJ462,Data_Validation!$A:$D,3,0)</f>
        <v>Bilan</v>
      </c>
      <c r="AQ462" s="487" t="str">
        <f>+VLOOKUP($AJ462,Data_Validation!$A:$D,4,0)</f>
        <v>Recevables Autres</v>
      </c>
      <c r="AR462" s="487" t="s">
        <v>299</v>
      </c>
      <c r="AS462" s="487">
        <f>+VLOOKUP($AJ462,Data_Validation!$A:$E,5,0)</f>
        <v>0</v>
      </c>
      <c r="AT462" s="904" t="str">
        <f t="shared" si="45"/>
        <v>G26500</v>
      </c>
      <c r="AU462" s="488" t="str">
        <f t="shared" si="46"/>
        <v>TPS TVH TVQ À RECEVOIR</v>
      </c>
      <c r="AV462" s="899">
        <f>IFERROR(INDEX(V462:AG462,1,MATCH(Parametres!$B$3,V$1:AG$1,0)-1)*IF(OR(C462="L",C462="S",C462="I"),-1,1),"")</f>
        <v>0</v>
      </c>
      <c r="AW462" s="899">
        <f t="shared" si="47"/>
        <v>0</v>
      </c>
      <c r="AX462" s="899">
        <f>INDEX(V462:AG462,1,MATCH(Parametres!$B$3,V$1:AG$1,0))*IF(OR(C462="L",C462="S",C462="I"),-1,1)</f>
        <v>0</v>
      </c>
      <c r="AY462" s="487" t="s">
        <v>337</v>
      </c>
      <c r="AZ462" s="487">
        <f>+VLOOKUP($AJ462,Data_Validation!$A:$E,5,0)</f>
        <v>0</v>
      </c>
    </row>
    <row r="463" spans="1:52" ht="15" hidden="1" customHeight="1">
      <c r="A463" s="706" t="s">
        <v>1148</v>
      </c>
      <c r="B463" s="706">
        <v>2026</v>
      </c>
      <c r="C463" s="706" t="s">
        <v>1991</v>
      </c>
      <c r="D463" s="706" t="s">
        <v>1992</v>
      </c>
      <c r="E463" s="706" t="s">
        <v>333</v>
      </c>
      <c r="F463" s="706" t="s">
        <v>1136</v>
      </c>
      <c r="G463" s="706">
        <v>-12300</v>
      </c>
      <c r="H463" s="706">
        <v>68962.92</v>
      </c>
      <c r="I463" s="706">
        <v>61612.92</v>
      </c>
      <c r="J463" s="706">
        <v>-15909.27</v>
      </c>
      <c r="K463" s="706">
        <v>-23259.27</v>
      </c>
      <c r="L463" s="706">
        <v>-7218.54</v>
      </c>
      <c r="M463" s="706">
        <v>-8751.59</v>
      </c>
      <c r="N463" s="706">
        <v>7585.25</v>
      </c>
      <c r="O463" s="706">
        <v>7585.25</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G27000</v>
      </c>
      <c r="AK463" s="905" t="str">
        <f t="shared" si="43"/>
        <v>TAXES PAYEES D'AVANCE</v>
      </c>
      <c r="AL463" s="905">
        <f>IFERROR(INDEX(G463:R463,1,MATCH(Parametres!$B$3,G$1:R$1,0)-1)*IF(OR(F463="L",F463="S",F463="I"),-1,1),"")</f>
        <v>-8751.59</v>
      </c>
      <c r="AM463" s="905">
        <f t="shared" si="44"/>
        <v>16336.84</v>
      </c>
      <c r="AN463" s="905">
        <f>INDEX(G463:R463,1,MATCH(Parametres!$B$3,G$1:R$1,0))*IF(OR(F463="L",F463="S",F463="I"),-1,1)</f>
        <v>7585.25</v>
      </c>
      <c r="AO463" s="487" t="str">
        <f>+VLOOKUP($AJ463,Data_Validation!$A:$D,1,0)</f>
        <v>G27000</v>
      </c>
      <c r="AP463" s="487" t="str">
        <f>+VLOOKUP($AJ463,Data_Validation!$A:$D,3,0)</f>
        <v>Bilan</v>
      </c>
      <c r="AQ463" s="487" t="str">
        <f>+VLOOKUP($AJ463,Data_Validation!$A:$D,4,0)</f>
        <v>Frais Payés d'Avance</v>
      </c>
      <c r="AR463" s="487" t="s">
        <v>299</v>
      </c>
      <c r="AS463" s="487">
        <f>+VLOOKUP($AJ463,Data_Validation!$A:$E,5,0)</f>
        <v>0</v>
      </c>
      <c r="AT463" s="904" t="str">
        <f t="shared" si="45"/>
        <v>G27000</v>
      </c>
      <c r="AU463" s="488" t="str">
        <f t="shared" si="46"/>
        <v>TAXES PAYEES D'AVANCE</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1993</v>
      </c>
      <c r="D464" s="706" t="s">
        <v>1994</v>
      </c>
      <c r="E464" s="706" t="s">
        <v>333</v>
      </c>
      <c r="F464" s="706" t="s">
        <v>1136</v>
      </c>
      <c r="G464" s="706">
        <v>0</v>
      </c>
      <c r="H464" s="706">
        <v>0</v>
      </c>
      <c r="I464" s="706">
        <v>0</v>
      </c>
      <c r="J464" s="706">
        <v>-4727.6099999999997</v>
      </c>
      <c r="K464" s="706">
        <v>33093.25</v>
      </c>
      <c r="L464" s="706">
        <v>28365.64</v>
      </c>
      <c r="M464" s="706">
        <v>23638.03</v>
      </c>
      <c r="N464" s="706">
        <v>18910.419999999998</v>
      </c>
      <c r="O464" s="706">
        <v>18910.419999999998</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G27010</v>
      </c>
      <c r="AK464" s="905" t="str">
        <f t="shared" si="43"/>
        <v>FPA TAXES TERRAIN</v>
      </c>
      <c r="AL464" s="905">
        <f>IFERROR(INDEX(G464:R464,1,MATCH(Parametres!$B$3,G$1:R$1,0)-1)*IF(OR(F464="L",F464="S",F464="I"),-1,1),"")</f>
        <v>23638.03</v>
      </c>
      <c r="AM464" s="905">
        <f t="shared" si="44"/>
        <v>-4727.6100000000006</v>
      </c>
      <c r="AN464" s="905">
        <f>INDEX(G464:R464,1,MATCH(Parametres!$B$3,G$1:R$1,0))*IF(OR(F464="L",F464="S",F464="I"),-1,1)</f>
        <v>18910.419999999998</v>
      </c>
      <c r="AO464" s="487" t="str">
        <f>+VLOOKUP($AJ464,Data_Validation!$A:$D,1,0)</f>
        <v>G27010</v>
      </c>
      <c r="AP464" s="487" t="str">
        <f>+VLOOKUP($AJ464,Data_Validation!$A:$D,3,0)</f>
        <v>Bilan</v>
      </c>
      <c r="AQ464" s="487" t="str">
        <f>+VLOOKUP($AJ464,Data_Validation!$A:$D,4,0)</f>
        <v>Frais Payés d'Avance</v>
      </c>
      <c r="AR464" s="487" t="s">
        <v>299</v>
      </c>
      <c r="AS464" s="487">
        <f>+VLOOKUP($AJ464,Data_Validation!$A:$E,5,0)</f>
        <v>0</v>
      </c>
      <c r="AT464" s="904" t="str">
        <f t="shared" si="45"/>
        <v>G27010</v>
      </c>
      <c r="AU464" s="488" t="str">
        <f t="shared" si="46"/>
        <v>FPA TAXES TERRAIN</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1995</v>
      </c>
      <c r="D465" s="706" t="s">
        <v>1996</v>
      </c>
      <c r="E465" s="706" t="s">
        <v>333</v>
      </c>
      <c r="F465" s="706" t="s">
        <v>1136</v>
      </c>
      <c r="G465" s="706">
        <v>73932.25</v>
      </c>
      <c r="H465" s="706">
        <v>67211.13</v>
      </c>
      <c r="I465" s="706">
        <v>60490.01</v>
      </c>
      <c r="J465" s="706">
        <v>53768.89</v>
      </c>
      <c r="K465" s="706">
        <v>47047.77</v>
      </c>
      <c r="L465" s="706">
        <v>40326.65</v>
      </c>
      <c r="M465" s="706">
        <v>32485.34</v>
      </c>
      <c r="N465" s="706">
        <v>24644.05</v>
      </c>
      <c r="O465" s="706">
        <v>24644.05</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G27100</v>
      </c>
      <c r="AK465" s="905" t="str">
        <f t="shared" si="43"/>
        <v>ASSURANCES PAYEES AVANCE</v>
      </c>
      <c r="AL465" s="905">
        <f>IFERROR(INDEX(G465:R465,1,MATCH(Parametres!$B$3,G$1:R$1,0)-1)*IF(OR(F465="L",F465="S",F465="I"),-1,1),"")</f>
        <v>32485.34</v>
      </c>
      <c r="AM465" s="905">
        <f t="shared" si="44"/>
        <v>-7841.2900000000009</v>
      </c>
      <c r="AN465" s="905">
        <f>INDEX(G465:R465,1,MATCH(Parametres!$B$3,G$1:R$1,0))*IF(OR(F465="L",F465="S",F465="I"),-1,1)</f>
        <v>24644.05</v>
      </c>
      <c r="AO465" s="487" t="str">
        <f>+VLOOKUP($AJ465,Data_Validation!$A:$D,1,0)</f>
        <v>G27100</v>
      </c>
      <c r="AP465" s="487" t="str">
        <f>+VLOOKUP($AJ465,Data_Validation!$A:$D,3,0)</f>
        <v>Bilan</v>
      </c>
      <c r="AQ465" s="487" t="str">
        <f>+VLOOKUP($AJ465,Data_Validation!$A:$D,4,0)</f>
        <v>Frais Payés d'Avance</v>
      </c>
      <c r="AR465" s="487" t="s">
        <v>299</v>
      </c>
      <c r="AS465" s="487">
        <f>+VLOOKUP($AJ465,Data_Validation!$A:$E,5,0)</f>
        <v>0</v>
      </c>
      <c r="AT465" s="904" t="str">
        <f t="shared" si="45"/>
        <v>G27100</v>
      </c>
      <c r="AU465" s="488" t="str">
        <f t="shared" si="46"/>
        <v>ASSURANCES PAYEES 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1997</v>
      </c>
      <c r="D466" s="706" t="s">
        <v>1998</v>
      </c>
      <c r="E466" s="706" t="s">
        <v>333</v>
      </c>
      <c r="F466" s="706" t="s">
        <v>1136</v>
      </c>
      <c r="G466" s="706">
        <v>412825.86</v>
      </c>
      <c r="H466" s="706">
        <v>435676.05</v>
      </c>
      <c r="I466" s="706">
        <v>411403.29</v>
      </c>
      <c r="J466" s="706">
        <v>324485.84999999998</v>
      </c>
      <c r="K466" s="706">
        <v>301673.56</v>
      </c>
      <c r="L466" s="706">
        <v>299000.81</v>
      </c>
      <c r="M466" s="706">
        <v>279422.89</v>
      </c>
      <c r="N466" s="706">
        <v>271957.31</v>
      </c>
      <c r="O466" s="706">
        <v>271957.31</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G27400</v>
      </c>
      <c r="AK466" s="905" t="str">
        <f t="shared" si="43"/>
        <v>FRAIS PAYES AVANCE AUTRES</v>
      </c>
      <c r="AL466" s="905">
        <f>IFERROR(INDEX(G466:R466,1,MATCH(Parametres!$B$3,G$1:R$1,0)-1)*IF(OR(F466="L",F466="S",F466="I"),-1,1),"")</f>
        <v>279422.89</v>
      </c>
      <c r="AM466" s="905">
        <f t="shared" si="44"/>
        <v>-7465.5800000000163</v>
      </c>
      <c r="AN466" s="905">
        <f>INDEX(G466:R466,1,MATCH(Parametres!$B$3,G$1:R$1,0))*IF(OR(F466="L",F466="S",F466="I"),-1,1)</f>
        <v>271957.31</v>
      </c>
      <c r="AO466" s="487" t="str">
        <f>+VLOOKUP($AJ466,Data_Validation!$A:$D,1,0)</f>
        <v>G27400</v>
      </c>
      <c r="AP466" s="487" t="str">
        <f>+VLOOKUP($AJ466,Data_Validation!$A:$D,3,0)</f>
        <v>Bilan</v>
      </c>
      <c r="AQ466" s="487" t="str">
        <f>+VLOOKUP($AJ466,Data_Validation!$A:$D,4,0)</f>
        <v>Frais Payés d'Avance</v>
      </c>
      <c r="AR466" s="487" t="s">
        <v>299</v>
      </c>
      <c r="AS466" s="487">
        <f>+VLOOKUP($AJ466,Data_Validation!$A:$E,5,0)</f>
        <v>0</v>
      </c>
      <c r="AT466" s="904" t="str">
        <f t="shared" si="45"/>
        <v>G27400</v>
      </c>
      <c r="AU466" s="488" t="str">
        <f t="shared" si="46"/>
        <v>FRAIS PAYES AVANCE AUTRES</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1999</v>
      </c>
      <c r="D467" s="706" t="s">
        <v>2000</v>
      </c>
      <c r="E467" s="706" t="s">
        <v>1142</v>
      </c>
      <c r="F467" s="706" t="s">
        <v>1136</v>
      </c>
      <c r="G467" s="706">
        <v>0</v>
      </c>
      <c r="H467" s="706">
        <v>0</v>
      </c>
      <c r="I467" s="706">
        <v>0</v>
      </c>
      <c r="J467" s="706">
        <v>0</v>
      </c>
      <c r="K467" s="706">
        <v>0</v>
      </c>
      <c r="L467" s="706">
        <v>0</v>
      </c>
      <c r="M467" s="706">
        <v>0</v>
      </c>
      <c r="N467" s="706">
        <v>0</v>
      </c>
      <c r="O467" s="706">
        <v>0</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G27401</v>
      </c>
      <c r="AK467" s="905" t="str">
        <f t="shared" ref="AK467:AK530" si="49">D467</f>
        <v>DEPOT PAYÉ D'AVANCE</v>
      </c>
      <c r="AL467" s="905">
        <f>IFERROR(INDEX(G467:R467,1,MATCH(Parametres!$B$3,G$1:R$1,0)-1)*IF(OR(F467="L",F467="S",F467="I"),-1,1),"")</f>
        <v>0</v>
      </c>
      <c r="AM467" s="905">
        <f t="shared" si="44"/>
        <v>0</v>
      </c>
      <c r="AN467" s="905">
        <f>INDEX(G467:R467,1,MATCH(Parametres!$B$3,G$1:R$1,0))*IF(OR(F467="L",F467="S",F467="I"),-1,1)</f>
        <v>0</v>
      </c>
      <c r="AO467" s="487" t="e">
        <f>+VLOOKUP($AJ467,Data_Validation!$A:$D,1,0)</f>
        <v>#N/A</v>
      </c>
      <c r="AP467" s="487" t="e">
        <f>+VLOOKUP($AJ467,Data_Validation!$A:$D,3,0)</f>
        <v>#N/A</v>
      </c>
      <c r="AQ467" s="487" t="e">
        <f>+VLOOKUP($AJ467,Data_Validation!$A:$D,4,0)</f>
        <v>#N/A</v>
      </c>
      <c r="AR467" s="487" t="s">
        <v>299</v>
      </c>
      <c r="AS467" s="487" t="e">
        <f>+VLOOKUP($AJ467,Data_Validation!$A:$E,5,0)</f>
        <v>#N/A</v>
      </c>
      <c r="AT467" s="904" t="str">
        <f t="shared" si="45"/>
        <v>G27401</v>
      </c>
      <c r="AU467" s="488" t="str">
        <f t="shared" si="46"/>
        <v>DEPOT PAYÉ D'AVANCE</v>
      </c>
      <c r="AV467" s="899">
        <f>IFERROR(INDEX(V467:AG467,1,MATCH(Parametres!$B$3,V$1:AG$1,0)-1)*IF(OR(C467="L",C467="S",C467="I"),-1,1),"")</f>
        <v>0</v>
      </c>
      <c r="AW467" s="899">
        <f t="shared" si="47"/>
        <v>0</v>
      </c>
      <c r="AX467" s="899">
        <f>INDEX(V467:AG467,1,MATCH(Parametres!$B$3,V$1:AG$1,0))*IF(OR(C467="L",C467="S",C467="I"),-1,1)</f>
        <v>0</v>
      </c>
      <c r="AY467" s="487" t="s">
        <v>337</v>
      </c>
      <c r="AZ467" s="487" t="e">
        <f>+VLOOKUP($AJ467,Data_Validation!$A:$E,5,0)</f>
        <v>#N/A</v>
      </c>
    </row>
    <row r="468" spans="1:52" ht="15" hidden="1" customHeight="1">
      <c r="A468" s="706" t="s">
        <v>1148</v>
      </c>
      <c r="B468" s="706">
        <v>2026</v>
      </c>
      <c r="C468" s="706" t="s">
        <v>2001</v>
      </c>
      <c r="D468" s="706" t="s">
        <v>2002</v>
      </c>
      <c r="E468" s="706" t="s">
        <v>333</v>
      </c>
      <c r="F468" s="706" t="s">
        <v>1136</v>
      </c>
      <c r="G468" s="706">
        <v>0</v>
      </c>
      <c r="H468" s="706">
        <v>0</v>
      </c>
      <c r="I468" s="706">
        <v>0</v>
      </c>
      <c r="J468" s="706">
        <v>0</v>
      </c>
      <c r="K468" s="706">
        <v>-2657.94</v>
      </c>
      <c r="L468" s="706">
        <v>-2854.19</v>
      </c>
      <c r="M468" s="706">
        <v>-3375.66</v>
      </c>
      <c r="N468" s="706">
        <v>-3277.66</v>
      </c>
      <c r="O468" s="706">
        <v>-3277.66</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G27410</v>
      </c>
      <c r="AK468" s="905" t="str">
        <f t="shared" si="49"/>
        <v>HYDRO-QUEBEC</v>
      </c>
      <c r="AL468" s="905">
        <f>IFERROR(INDEX(G468:R468,1,MATCH(Parametres!$B$3,G$1:R$1,0)-1)*IF(OR(F468="L",F468="S",F468="I"),-1,1),"")</f>
        <v>-3375.66</v>
      </c>
      <c r="AM468" s="905">
        <f t="shared" si="44"/>
        <v>98</v>
      </c>
      <c r="AN468" s="905">
        <f>INDEX(G468:R468,1,MATCH(Parametres!$B$3,G$1:R$1,0))*IF(OR(F468="L",F468="S",F468="I"),-1,1)</f>
        <v>-3277.66</v>
      </c>
      <c r="AO468" s="487" t="str">
        <f>+VLOOKUP($AJ468,Data_Validation!$A:$D,1,0)</f>
        <v>G27410</v>
      </c>
      <c r="AP468" s="487" t="str">
        <f>+VLOOKUP($AJ468,Data_Validation!$A:$D,3,0)</f>
        <v>Bilan</v>
      </c>
      <c r="AQ468" s="487" t="str">
        <f>+VLOOKUP($AJ468,Data_Validation!$A:$D,4,0)</f>
        <v>Frais Payés d'Avance</v>
      </c>
      <c r="AR468" s="487" t="s">
        <v>299</v>
      </c>
      <c r="AS468" s="487">
        <f>+VLOOKUP($AJ468,Data_Validation!$A:$E,5,0)</f>
        <v>0</v>
      </c>
      <c r="AT468" s="904" t="str">
        <f t="shared" si="45"/>
        <v>G27410</v>
      </c>
      <c r="AU468" s="488" t="str">
        <f t="shared" si="46"/>
        <v>HYDRO-QUEBEC</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2003</v>
      </c>
      <c r="D469" s="706" t="s">
        <v>2004</v>
      </c>
      <c r="E469" s="706" t="s">
        <v>333</v>
      </c>
      <c r="F469" s="706" t="s">
        <v>1136</v>
      </c>
      <c r="G469" s="706">
        <v>0</v>
      </c>
      <c r="H469" s="706">
        <v>0</v>
      </c>
      <c r="I469" s="706">
        <v>0</v>
      </c>
      <c r="J469" s="706">
        <v>0</v>
      </c>
      <c r="K469" s="706">
        <v>14369.24</v>
      </c>
      <c r="L469" s="706">
        <v>10282.67</v>
      </c>
      <c r="M469" s="706">
        <v>5957.48</v>
      </c>
      <c r="N469" s="706">
        <v>1652.18</v>
      </c>
      <c r="O469" s="706">
        <v>1652.18</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G27411</v>
      </c>
      <c r="AK469" s="905" t="str">
        <f t="shared" si="49"/>
        <v>ENERGIR</v>
      </c>
      <c r="AL469" s="905">
        <f>IFERROR(INDEX(G469:R469,1,MATCH(Parametres!$B$3,G$1:R$1,0)-1)*IF(OR(F469="L",F469="S",F469="I"),-1,1),"")</f>
        <v>5957.48</v>
      </c>
      <c r="AM469" s="905">
        <f t="shared" si="44"/>
        <v>-4305.2999999999993</v>
      </c>
      <c r="AN469" s="905">
        <f>INDEX(G469:R469,1,MATCH(Parametres!$B$3,G$1:R$1,0))*IF(OR(F469="L",F469="S",F469="I"),-1,1)</f>
        <v>1652.18</v>
      </c>
      <c r="AO469" s="487" t="str">
        <f>+VLOOKUP($AJ469,Data_Validation!$A:$D,1,0)</f>
        <v>G27411</v>
      </c>
      <c r="AP469" s="487" t="str">
        <f>+VLOOKUP($AJ469,Data_Validation!$A:$D,3,0)</f>
        <v>Bilan</v>
      </c>
      <c r="AQ469" s="487" t="str">
        <f>+VLOOKUP($AJ469,Data_Validation!$A:$D,4,0)</f>
        <v>Frais Payés d'Avance</v>
      </c>
      <c r="AR469" s="487" t="s">
        <v>299</v>
      </c>
      <c r="AS469" s="487">
        <f>+VLOOKUP($AJ469,Data_Validation!$A:$E,5,0)</f>
        <v>0</v>
      </c>
      <c r="AT469" s="904" t="str">
        <f t="shared" si="45"/>
        <v>G27411</v>
      </c>
      <c r="AU469" s="488" t="str">
        <f t="shared" si="46"/>
        <v>ENERGIR</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2005</v>
      </c>
      <c r="D470" s="706" t="s">
        <v>2006</v>
      </c>
      <c r="E470" s="706" t="s">
        <v>333</v>
      </c>
      <c r="F470" s="706" t="s">
        <v>1136</v>
      </c>
      <c r="G470" s="706">
        <v>0</v>
      </c>
      <c r="H470" s="706">
        <v>0</v>
      </c>
      <c r="I470" s="706">
        <v>0</v>
      </c>
      <c r="J470" s="706">
        <v>0</v>
      </c>
      <c r="K470" s="706">
        <v>1515.5</v>
      </c>
      <c r="L470" s="706">
        <v>1299</v>
      </c>
      <c r="M470" s="706">
        <v>1082.5</v>
      </c>
      <c r="N470" s="706">
        <v>866</v>
      </c>
      <c r="O470" s="706">
        <v>866</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G27420</v>
      </c>
      <c r="AK470" s="905" t="str">
        <f t="shared" si="49"/>
        <v>COTISATION CCAQ</v>
      </c>
      <c r="AL470" s="905">
        <f>IFERROR(INDEX(G470:R470,1,MATCH(Parametres!$B$3,G$1:R$1,0)-1)*IF(OR(F470="L",F470="S",F470="I"),-1,1),"")</f>
        <v>1082.5</v>
      </c>
      <c r="AM470" s="905">
        <f t="shared" si="44"/>
        <v>-216.5</v>
      </c>
      <c r="AN470" s="905">
        <f>INDEX(G470:R470,1,MATCH(Parametres!$B$3,G$1:R$1,0))*IF(OR(F470="L",F470="S",F470="I"),-1,1)</f>
        <v>866</v>
      </c>
      <c r="AO470" s="487" t="str">
        <f>+VLOOKUP($AJ470,Data_Validation!$A:$D,1,0)</f>
        <v>G27420</v>
      </c>
      <c r="AP470" s="487" t="str">
        <f>+VLOOKUP($AJ470,Data_Validation!$A:$D,3,0)</f>
        <v>Bilan</v>
      </c>
      <c r="AQ470" s="487" t="str">
        <f>+VLOOKUP($AJ470,Data_Validation!$A:$D,4,0)</f>
        <v>Frais Payés d'Avance</v>
      </c>
      <c r="AR470" s="487" t="s">
        <v>299</v>
      </c>
      <c r="AS470" s="487">
        <f>+VLOOKUP($AJ470,Data_Validation!$A:$E,5,0)</f>
        <v>0</v>
      </c>
      <c r="AT470" s="904" t="str">
        <f t="shared" si="45"/>
        <v>G27420</v>
      </c>
      <c r="AU470" s="488" t="str">
        <f t="shared" si="46"/>
        <v>COTISATION CCAQ</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2007</v>
      </c>
      <c r="D471" s="706" t="s">
        <v>2008</v>
      </c>
      <c r="E471" s="706" t="s">
        <v>333</v>
      </c>
      <c r="F471" s="706" t="s">
        <v>1136</v>
      </c>
      <c r="G471" s="706">
        <v>0</v>
      </c>
      <c r="H471" s="706">
        <v>0</v>
      </c>
      <c r="I471" s="706">
        <v>0</v>
      </c>
      <c r="J471" s="706">
        <v>0</v>
      </c>
      <c r="K471" s="706">
        <v>1590.4</v>
      </c>
      <c r="L471" s="706">
        <v>1363.2</v>
      </c>
      <c r="M471" s="706">
        <v>1136</v>
      </c>
      <c r="N471" s="706">
        <v>908.8</v>
      </c>
      <c r="O471" s="706">
        <v>908.8</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G27421</v>
      </c>
      <c r="AK471" s="905" t="str">
        <f t="shared" si="49"/>
        <v>COTISATION CARRXPERT</v>
      </c>
      <c r="AL471" s="905">
        <f>IFERROR(INDEX(G471:R471,1,MATCH(Parametres!$B$3,G$1:R$1,0)-1)*IF(OR(F471="L",F471="S",F471="I"),-1,1),"")</f>
        <v>1136</v>
      </c>
      <c r="AM471" s="905">
        <f t="shared" si="44"/>
        <v>-227.20000000000005</v>
      </c>
      <c r="AN471" s="905">
        <f>INDEX(G471:R471,1,MATCH(Parametres!$B$3,G$1:R$1,0))*IF(OR(F471="L",F471="S",F471="I"),-1,1)</f>
        <v>908.8</v>
      </c>
      <c r="AO471" s="487" t="str">
        <f>+VLOOKUP($AJ471,Data_Validation!$A:$D,1,0)</f>
        <v>G27421</v>
      </c>
      <c r="AP471" s="487" t="str">
        <f>+VLOOKUP($AJ471,Data_Validation!$A:$D,3,0)</f>
        <v>Bilan</v>
      </c>
      <c r="AQ471" s="487" t="str">
        <f>+VLOOKUP($AJ471,Data_Validation!$A:$D,4,0)</f>
        <v>Frais Payés d'Avance</v>
      </c>
      <c r="AR471" s="487" t="s">
        <v>299</v>
      </c>
      <c r="AS471" s="487">
        <f>+VLOOKUP($AJ471,Data_Validation!$A:$E,5,0)</f>
        <v>0</v>
      </c>
      <c r="AT471" s="904" t="str">
        <f t="shared" si="45"/>
        <v>G27421</v>
      </c>
      <c r="AU471" s="488" t="str">
        <f t="shared" si="46"/>
        <v>COTISATION CARRXPERT</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2009</v>
      </c>
      <c r="D472" s="706" t="s">
        <v>2010</v>
      </c>
      <c r="E472" s="706" t="s">
        <v>333</v>
      </c>
      <c r="F472" s="706" t="s">
        <v>1136</v>
      </c>
      <c r="G472" s="706">
        <v>0</v>
      </c>
      <c r="H472" s="706">
        <v>0</v>
      </c>
      <c r="I472" s="706">
        <v>0</v>
      </c>
      <c r="J472" s="706">
        <v>0</v>
      </c>
      <c r="K472" s="706">
        <v>-49627.99</v>
      </c>
      <c r="L472" s="706">
        <v>-60176.6</v>
      </c>
      <c r="M472" s="706">
        <v>-61835.39</v>
      </c>
      <c r="N472" s="706">
        <v>-78548.19</v>
      </c>
      <c r="O472" s="706">
        <v>-78340.28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G27430</v>
      </c>
      <c r="AK472" s="905" t="str">
        <f t="shared" si="49"/>
        <v>PLAQUE PAYE D'AVANCE</v>
      </c>
      <c r="AL472" s="905">
        <f>IFERROR(INDEX(G472:R472,1,MATCH(Parametres!$B$3,G$1:R$1,0)-1)*IF(OR(F472="L",F472="S",F472="I"),-1,1),"")</f>
        <v>-61835.39</v>
      </c>
      <c r="AM472" s="905">
        <f t="shared" si="44"/>
        <v>-16712.800000000003</v>
      </c>
      <c r="AN472" s="905">
        <f>INDEX(G472:R472,1,MATCH(Parametres!$B$3,G$1:R$1,0))*IF(OR(F472="L",F472="S",F472="I"),-1,1)</f>
        <v>-78548.19</v>
      </c>
      <c r="AO472" s="487" t="str">
        <f>+VLOOKUP($AJ472,Data_Validation!$A:$D,1,0)</f>
        <v>G27430</v>
      </c>
      <c r="AP472" s="487" t="str">
        <f>+VLOOKUP($AJ472,Data_Validation!$A:$D,3,0)</f>
        <v>Bilan</v>
      </c>
      <c r="AQ472" s="487" t="str">
        <f>+VLOOKUP($AJ472,Data_Validation!$A:$D,4,0)</f>
        <v>Frais Payés d'Avance</v>
      </c>
      <c r="AR472" s="487" t="s">
        <v>299</v>
      </c>
      <c r="AS472" s="487">
        <f>+VLOOKUP($AJ472,Data_Validation!$A:$E,5,0)</f>
        <v>0</v>
      </c>
      <c r="AT472" s="904" t="str">
        <f t="shared" si="45"/>
        <v>G27430</v>
      </c>
      <c r="AU472" s="488" t="str">
        <f t="shared" si="46"/>
        <v>PLAQUE PAYE D'AVANCE</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2011</v>
      </c>
      <c r="D473" s="706" t="s">
        <v>2012</v>
      </c>
      <c r="E473" s="706" t="s">
        <v>333</v>
      </c>
      <c r="F473" s="706" t="s">
        <v>1136</v>
      </c>
      <c r="G473" s="706">
        <v>0</v>
      </c>
      <c r="H473" s="706">
        <v>0</v>
      </c>
      <c r="I473" s="706">
        <v>0</v>
      </c>
      <c r="J473" s="706">
        <v>0</v>
      </c>
      <c r="K473" s="706">
        <v>5445</v>
      </c>
      <c r="L473" s="706">
        <v>3645</v>
      </c>
      <c r="M473" s="706">
        <v>-2002.5</v>
      </c>
      <c r="N473" s="706">
        <v>-2790</v>
      </c>
      <c r="O473" s="706">
        <v>-2790</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G27440</v>
      </c>
      <c r="AK473" s="905" t="str">
        <f t="shared" si="49"/>
        <v>DENEIGEMENT PAYE D'AVANCE</v>
      </c>
      <c r="AL473" s="905">
        <f>IFERROR(INDEX(G473:R473,1,MATCH(Parametres!$B$3,G$1:R$1,0)-1)*IF(OR(F473="L",F473="S",F473="I"),-1,1),"")</f>
        <v>-2002.5</v>
      </c>
      <c r="AM473" s="905">
        <f t="shared" si="44"/>
        <v>-787.5</v>
      </c>
      <c r="AN473" s="905">
        <f>INDEX(G473:R473,1,MATCH(Parametres!$B$3,G$1:R$1,0))*IF(OR(F473="L",F473="S",F473="I"),-1,1)</f>
        <v>-2790</v>
      </c>
      <c r="AO473" s="487" t="str">
        <f>+VLOOKUP($AJ473,Data_Validation!$A:$D,1,0)</f>
        <v>G27440</v>
      </c>
      <c r="AP473" s="487" t="str">
        <f>+VLOOKUP($AJ473,Data_Validation!$A:$D,3,0)</f>
        <v>Bilan</v>
      </c>
      <c r="AQ473" s="487" t="str">
        <f>+VLOOKUP($AJ473,Data_Validation!$A:$D,4,0)</f>
        <v>Frais Payés d'Avance</v>
      </c>
      <c r="AR473" s="487" t="s">
        <v>299</v>
      </c>
      <c r="AS473" s="487">
        <f>+VLOOKUP($AJ473,Data_Validation!$A:$E,5,0)</f>
        <v>0</v>
      </c>
      <c r="AT473" s="904" t="str">
        <f t="shared" si="45"/>
        <v>G27440</v>
      </c>
      <c r="AU473" s="488" t="str">
        <f t="shared" si="46"/>
        <v>DENEIGEMENT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2013</v>
      </c>
      <c r="D474" s="706" t="s">
        <v>2014</v>
      </c>
      <c r="E474" s="706" t="s">
        <v>1143</v>
      </c>
      <c r="F474" s="706" t="s">
        <v>1136</v>
      </c>
      <c r="G474" s="706">
        <v>0</v>
      </c>
      <c r="H474" s="706">
        <v>0</v>
      </c>
      <c r="I474" s="706">
        <v>0</v>
      </c>
      <c r="J474" s="706">
        <v>0</v>
      </c>
      <c r="K474" s="706">
        <v>0</v>
      </c>
      <c r="L474" s="706">
        <v>0</v>
      </c>
      <c r="M474" s="706">
        <v>0</v>
      </c>
      <c r="N474" s="706">
        <v>0</v>
      </c>
      <c r="O474" s="706">
        <v>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G27700</v>
      </c>
      <c r="AK474" s="905" t="str">
        <f t="shared" si="49"/>
        <v>INV VEHICULE EN LOCATION</v>
      </c>
      <c r="AL474" s="905">
        <f>IFERROR(INDEX(G474:R474,1,MATCH(Parametres!$B$3,G$1:R$1,0)-1)*IF(OR(F474="L",F474="S",F474="I"),-1,1),"")</f>
        <v>0</v>
      </c>
      <c r="AM474" s="905">
        <f t="shared" si="44"/>
        <v>0</v>
      </c>
      <c r="AN474" s="905">
        <f>INDEX(G474:R474,1,MATCH(Parametres!$B$3,G$1:R$1,0))*IF(OR(F474="L",F474="S",F474="I"),-1,1)</f>
        <v>0</v>
      </c>
      <c r="AO474" s="487" t="e">
        <f>+VLOOKUP($AJ474,Data_Validation!$A:$D,1,0)</f>
        <v>#N/A</v>
      </c>
      <c r="AP474" s="487" t="e">
        <f>+VLOOKUP($AJ474,Data_Validation!$A:$D,3,0)</f>
        <v>#N/A</v>
      </c>
      <c r="AQ474" s="487" t="e">
        <f>+VLOOKUP($AJ474,Data_Validation!$A:$D,4,0)</f>
        <v>#N/A</v>
      </c>
      <c r="AR474" s="487" t="s">
        <v>299</v>
      </c>
      <c r="AS474" s="487" t="e">
        <f>+VLOOKUP($AJ474,Data_Validation!$A:$E,5,0)</f>
        <v>#N/A</v>
      </c>
      <c r="AT474" s="904" t="str">
        <f t="shared" si="45"/>
        <v>G27700</v>
      </c>
      <c r="AU474" s="488" t="str">
        <f t="shared" si="46"/>
        <v>INV VEHICULE EN LOCATION</v>
      </c>
      <c r="AV474" s="899">
        <f>IFERROR(INDEX(V474:AG474,1,MATCH(Parametres!$B$3,V$1:AG$1,0)-1)*IF(OR(C474="L",C474="S",C474="I"),-1,1),"")</f>
        <v>0</v>
      </c>
      <c r="AW474" s="899">
        <f t="shared" si="47"/>
        <v>0</v>
      </c>
      <c r="AX474" s="899">
        <f>INDEX(V474:AG474,1,MATCH(Parametres!$B$3,V$1:AG$1,0))*IF(OR(C474="L",C474="S",C474="I"),-1,1)</f>
        <v>0</v>
      </c>
      <c r="AY474" s="487" t="s">
        <v>337</v>
      </c>
      <c r="AZ474" s="487" t="e">
        <f>+VLOOKUP($AJ474,Data_Validation!$A:$E,5,0)</f>
        <v>#N/A</v>
      </c>
    </row>
    <row r="475" spans="1:52" ht="15" hidden="1" customHeight="1">
      <c r="A475" s="706" t="s">
        <v>1148</v>
      </c>
      <c r="B475" s="706">
        <v>2026</v>
      </c>
      <c r="C475" s="706" t="s">
        <v>2015</v>
      </c>
      <c r="D475" s="706" t="s">
        <v>2016</v>
      </c>
      <c r="E475" s="706" t="s">
        <v>333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G27701</v>
      </c>
      <c r="AK475" s="905" t="str">
        <f t="shared" si="49"/>
        <v>AMORT. ACC. VEH. LOCATION</v>
      </c>
      <c r="AL475" s="905">
        <f>IFERROR(INDEX(G475:R475,1,MATCH(Parametres!$B$3,G$1:R$1,0)-1)*IF(OR(F475="L",F475="S",F475="I"),-1,1),"")</f>
        <v>0</v>
      </c>
      <c r="AM475" s="905">
        <f t="shared" si="44"/>
        <v>0</v>
      </c>
      <c r="AN475" s="905">
        <f>INDEX(G475:R475,1,MATCH(Parametres!$B$3,G$1:R$1,0))*IF(OR(F475="L",F475="S",F475="I"),-1,1)</f>
        <v>0</v>
      </c>
      <c r="AO475" s="487" t="str">
        <f>+VLOOKUP($AJ475,Data_Validation!$A:$D,1,0)</f>
        <v>G27701</v>
      </c>
      <c r="AP475" s="487">
        <f>+VLOOKUP($AJ475,Data_Validation!$A:$D,3,0)</f>
        <v>0</v>
      </c>
      <c r="AQ475" s="487">
        <f>+VLOOKUP($AJ475,Data_Validation!$A:$D,4,0)</f>
        <v>0</v>
      </c>
      <c r="AR475" s="487" t="s">
        <v>299</v>
      </c>
      <c r="AS475" s="487">
        <f>+VLOOKUP($AJ475,Data_Validation!$A:$E,5,0)</f>
        <v>0</v>
      </c>
      <c r="AT475" s="904" t="str">
        <f t="shared" si="45"/>
        <v>G27701</v>
      </c>
      <c r="AU475" s="488" t="str">
        <f t="shared" si="46"/>
        <v>AMORT. ACC. VEH. LOCATION</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2017</v>
      </c>
      <c r="D476" s="706" t="s">
        <v>2018</v>
      </c>
      <c r="E476" s="706" t="s">
        <v>333</v>
      </c>
      <c r="F476" s="706" t="s">
        <v>1136</v>
      </c>
      <c r="G476" s="706">
        <v>1718553.45</v>
      </c>
      <c r="H476" s="706">
        <v>1718553.45</v>
      </c>
      <c r="I476" s="706">
        <v>1718553.45</v>
      </c>
      <c r="J476" s="706">
        <v>1718553.45</v>
      </c>
      <c r="K476" s="706">
        <v>1718553.45</v>
      </c>
      <c r="L476" s="706">
        <v>1718553.45</v>
      </c>
      <c r="M476" s="706">
        <v>1718553.45</v>
      </c>
      <c r="N476" s="706">
        <v>1718553.45</v>
      </c>
      <c r="O476" s="706">
        <v>1718553.45</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G28200</v>
      </c>
      <c r="AK476" s="905" t="str">
        <f t="shared" si="49"/>
        <v>MACHINERIE EQUIP. ATELIER</v>
      </c>
      <c r="AL476" s="905">
        <f>IFERROR(INDEX(G476:R476,1,MATCH(Parametres!$B$3,G$1:R$1,0)-1)*IF(OR(F476="L",F476="S",F476="I"),-1,1),"")</f>
        <v>1718553.45</v>
      </c>
      <c r="AM476" s="905">
        <f t="shared" si="44"/>
        <v>0</v>
      </c>
      <c r="AN476" s="905">
        <f>INDEX(G476:R476,1,MATCH(Parametres!$B$3,G$1:R$1,0))*IF(OR(F476="L",F476="S",F476="I"),-1,1)</f>
        <v>1718553.45</v>
      </c>
      <c r="AO476" s="487" t="str">
        <f>+VLOOKUP($AJ476,Data_Validation!$A:$D,1,0)</f>
        <v>G28200</v>
      </c>
      <c r="AP476" s="487" t="str">
        <f>+VLOOKUP($AJ476,Data_Validation!$A:$D,3,0)</f>
        <v>Bilan</v>
      </c>
      <c r="AQ476" s="487" t="str">
        <f>+VLOOKUP($AJ476,Data_Validation!$A:$D,4,0)</f>
        <v>Équipements Service</v>
      </c>
      <c r="AR476" s="487" t="s">
        <v>299</v>
      </c>
      <c r="AS476" s="487">
        <f>+VLOOKUP($AJ476,Data_Validation!$A:$E,5,0)</f>
        <v>0</v>
      </c>
      <c r="AT476" s="904" t="str">
        <f t="shared" si="45"/>
        <v>G28200</v>
      </c>
      <c r="AU476" s="488" t="str">
        <f t="shared" si="46"/>
        <v>MACHINERIE EQUIP. ATELIER</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2019</v>
      </c>
      <c r="D477" s="706" t="s">
        <v>2020</v>
      </c>
      <c r="E477" s="706" t="s">
        <v>333</v>
      </c>
      <c r="F477" s="706" t="s">
        <v>1136</v>
      </c>
      <c r="G477" s="706">
        <v>0</v>
      </c>
      <c r="H477" s="706">
        <v>0</v>
      </c>
      <c r="I477" s="706">
        <v>13498.78</v>
      </c>
      <c r="J477" s="706">
        <v>13498.78</v>
      </c>
      <c r="K477" s="706">
        <v>13498.78</v>
      </c>
      <c r="L477" s="706">
        <v>13498.78</v>
      </c>
      <c r="M477" s="706">
        <v>13498.78</v>
      </c>
      <c r="N477" s="706">
        <v>13498.78</v>
      </c>
      <c r="O477" s="706">
        <v>13498.78</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G28210</v>
      </c>
      <c r="AK477" s="905" t="str">
        <f t="shared" si="49"/>
        <v>MACHINERIE EQUIP. CARR</v>
      </c>
      <c r="AL477" s="905">
        <f>IFERROR(INDEX(G477:R477,1,MATCH(Parametres!$B$3,G$1:R$1,0)-1)*IF(OR(F477="L",F477="S",F477="I"),-1,1),"")</f>
        <v>13498.78</v>
      </c>
      <c r="AM477" s="905">
        <f t="shared" si="44"/>
        <v>0</v>
      </c>
      <c r="AN477" s="905">
        <f>INDEX(G477:R477,1,MATCH(Parametres!$B$3,G$1:R$1,0))*IF(OR(F477="L",F477="S",F477="I"),-1,1)</f>
        <v>13498.78</v>
      </c>
      <c r="AO477" s="487" t="str">
        <f>+VLOOKUP($AJ477,Data_Validation!$A:$D,1,0)</f>
        <v>G28210</v>
      </c>
      <c r="AP477" s="487" t="str">
        <f>+VLOOKUP($AJ477,Data_Validation!$A:$D,3,0)</f>
        <v>Bilan</v>
      </c>
      <c r="AQ477" s="487" t="str">
        <f>+VLOOKUP($AJ477,Data_Validation!$A:$D,4,0)</f>
        <v>Équipements Service</v>
      </c>
      <c r="AR477" s="487" t="s">
        <v>299</v>
      </c>
      <c r="AS477" s="487">
        <f>+VLOOKUP($AJ477,Data_Validation!$A:$E,5,0)</f>
        <v>0</v>
      </c>
      <c r="AT477" s="904" t="str">
        <f t="shared" si="45"/>
        <v>G28210</v>
      </c>
      <c r="AU477" s="488" t="str">
        <f t="shared" si="46"/>
        <v>MACHINERIE EQUIP. CARR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2021</v>
      </c>
      <c r="D478" s="706" t="s">
        <v>2022</v>
      </c>
      <c r="E478" s="706" t="s">
        <v>333</v>
      </c>
      <c r="F478" s="706" t="s">
        <v>1136</v>
      </c>
      <c r="G478" s="706">
        <v>7077.33</v>
      </c>
      <c r="H478" s="706">
        <v>7077.33</v>
      </c>
      <c r="I478" s="706">
        <v>7077.33</v>
      </c>
      <c r="J478" s="706">
        <v>7077.33</v>
      </c>
      <c r="K478" s="706">
        <v>7077.33</v>
      </c>
      <c r="L478" s="706">
        <v>7077.33</v>
      </c>
      <c r="M478" s="706">
        <v>7077.33</v>
      </c>
      <c r="N478" s="706">
        <v>7077.33</v>
      </c>
      <c r="O478" s="706">
        <v>7077.33</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G28300</v>
      </c>
      <c r="AK478" s="905" t="str">
        <f t="shared" si="49"/>
        <v>PNEUS ET ACC.DEMO/COURT</v>
      </c>
      <c r="AL478" s="905">
        <f>IFERROR(INDEX(G478:R478,1,MATCH(Parametres!$B$3,G$1:R$1,0)-1)*IF(OR(F478="L",F478="S",F478="I"),-1,1),"")</f>
        <v>7077.33</v>
      </c>
      <c r="AM478" s="905">
        <f t="shared" si="44"/>
        <v>0</v>
      </c>
      <c r="AN478" s="905">
        <f>INDEX(G478:R478,1,MATCH(Parametres!$B$3,G$1:R$1,0))*IF(OR(F478="L",F478="S",F478="I"),-1,1)</f>
        <v>7077.33</v>
      </c>
      <c r="AO478" s="487" t="str">
        <f>+VLOOKUP($AJ478,Data_Validation!$A:$D,1,0)</f>
        <v>G28300</v>
      </c>
      <c r="AP478" s="487" t="str">
        <f>+VLOOKUP($AJ478,Data_Validation!$A:$D,3,0)</f>
        <v>Bilan</v>
      </c>
      <c r="AQ478" s="487" t="str">
        <f>+VLOOKUP($AJ478,Data_Validation!$A:$D,4,0)</f>
        <v>Équipements Service</v>
      </c>
      <c r="AR478" s="487" t="s">
        <v>299</v>
      </c>
      <c r="AS478" s="487">
        <f>+VLOOKUP($AJ478,Data_Validation!$A:$E,5,0)</f>
        <v>0</v>
      </c>
      <c r="AT478" s="904" t="str">
        <f t="shared" si="45"/>
        <v>G28300</v>
      </c>
      <c r="AU478" s="488" t="str">
        <f t="shared" si="46"/>
        <v>PNEUS ET ACC.DEMO/COURT</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2023</v>
      </c>
      <c r="D479" s="706" t="s">
        <v>2024</v>
      </c>
      <c r="E479" s="706" t="s">
        <v>333</v>
      </c>
      <c r="F479" s="706" t="s">
        <v>1136</v>
      </c>
      <c r="G479" s="706">
        <v>368778.01</v>
      </c>
      <c r="H479" s="706">
        <v>368778.01</v>
      </c>
      <c r="I479" s="706">
        <v>368778.01</v>
      </c>
      <c r="J479" s="706">
        <v>368778.01</v>
      </c>
      <c r="K479" s="706">
        <v>368778.01</v>
      </c>
      <c r="L479" s="706">
        <v>368778.01</v>
      </c>
      <c r="M479" s="706">
        <v>368778.01</v>
      </c>
      <c r="N479" s="706">
        <v>368778.01</v>
      </c>
      <c r="O479" s="706">
        <v>368778.01</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G28400</v>
      </c>
      <c r="AK479" s="905" t="str">
        <f t="shared" si="49"/>
        <v>MOBILIER &amp; EQUIP BUREAU</v>
      </c>
      <c r="AL479" s="905">
        <f>IFERROR(INDEX(G479:R479,1,MATCH(Parametres!$B$3,G$1:R$1,0)-1)*IF(OR(F479="L",F479="S",F479="I"),-1,1),"")</f>
        <v>368778.01</v>
      </c>
      <c r="AM479" s="905">
        <f t="shared" si="44"/>
        <v>0</v>
      </c>
      <c r="AN479" s="905">
        <f>INDEX(G479:R479,1,MATCH(Parametres!$B$3,G$1:R$1,0))*IF(OR(F479="L",F479="S",F479="I"),-1,1)</f>
        <v>368778.01</v>
      </c>
      <c r="AO479" s="487" t="str">
        <f>+VLOOKUP($AJ479,Data_Validation!$A:$D,1,0)</f>
        <v>G28400</v>
      </c>
      <c r="AP479" s="487" t="str">
        <f>+VLOOKUP($AJ479,Data_Validation!$A:$D,3,0)</f>
        <v>Bilan</v>
      </c>
      <c r="AQ479" s="487" t="str">
        <f>+VLOOKUP($AJ479,Data_Validation!$A:$D,4,0)</f>
        <v>Mobilier</v>
      </c>
      <c r="AR479" s="487" t="s">
        <v>299</v>
      </c>
      <c r="AS479" s="487">
        <f>+VLOOKUP($AJ479,Data_Validation!$A:$E,5,0)</f>
        <v>0</v>
      </c>
      <c r="AT479" s="904" t="str">
        <f t="shared" si="45"/>
        <v>G28400</v>
      </c>
      <c r="AU479" s="488" t="str">
        <f t="shared" si="46"/>
        <v>MOBILIER &amp; EQUIP BUREAU</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2025</v>
      </c>
      <c r="D480" s="706" t="s">
        <v>2026</v>
      </c>
      <c r="E480" s="706" t="s">
        <v>333</v>
      </c>
      <c r="F480" s="706" t="s">
        <v>1136</v>
      </c>
      <c r="G480" s="706">
        <v>125277.95</v>
      </c>
      <c r="H480" s="706">
        <v>125277.95</v>
      </c>
      <c r="I480" s="706">
        <v>125277.95</v>
      </c>
      <c r="J480" s="706">
        <v>125277.95</v>
      </c>
      <c r="K480" s="706">
        <v>125277.95</v>
      </c>
      <c r="L480" s="706">
        <v>125277.95</v>
      </c>
      <c r="M480" s="706">
        <v>135777.95000000001</v>
      </c>
      <c r="N480" s="706">
        <v>135777.95000000001</v>
      </c>
      <c r="O480" s="706">
        <v>135777.95000000001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G28500</v>
      </c>
      <c r="AK480" s="905" t="str">
        <f t="shared" si="49"/>
        <v>LIFT PIECES / TRACTEUR</v>
      </c>
      <c r="AL480" s="905">
        <f>IFERROR(INDEX(G480:R480,1,MATCH(Parametres!$B$3,G$1:R$1,0)-1)*IF(OR(F480="L",F480="S",F480="I"),-1,1),"")</f>
        <v>135777.95000000001</v>
      </c>
      <c r="AM480" s="905">
        <f t="shared" si="44"/>
        <v>0</v>
      </c>
      <c r="AN480" s="905">
        <f>INDEX(G480:R480,1,MATCH(Parametres!$B$3,G$1:R$1,0))*IF(OR(F480="L",F480="S",F480="I"),-1,1)</f>
        <v>135777.95000000001</v>
      </c>
      <c r="AO480" s="487" t="str">
        <f>+VLOOKUP($AJ480,Data_Validation!$A:$D,1,0)</f>
        <v>G28500</v>
      </c>
      <c r="AP480" s="487" t="str">
        <f>+VLOOKUP($AJ480,Data_Validation!$A:$D,3,0)</f>
        <v>Bilan</v>
      </c>
      <c r="AQ480" s="487" t="str">
        <f>+VLOOKUP($AJ480,Data_Validation!$A:$D,4,0)</f>
        <v>Équipements Service</v>
      </c>
      <c r="AR480" s="487" t="s">
        <v>299</v>
      </c>
      <c r="AS480" s="487">
        <f>+VLOOKUP($AJ480,Data_Validation!$A:$E,5,0)</f>
        <v>0</v>
      </c>
      <c r="AT480" s="904" t="str">
        <f t="shared" si="45"/>
        <v>G28500</v>
      </c>
      <c r="AU480" s="488" t="str">
        <f t="shared" si="46"/>
        <v>LIFT PIECES / TRACTEUR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2027</v>
      </c>
      <c r="D481" s="706" t="s">
        <v>2028</v>
      </c>
      <c r="E481" s="706" t="s">
        <v>333</v>
      </c>
      <c r="F481" s="706" t="s">
        <v>1136</v>
      </c>
      <c r="G481" s="706">
        <v>214593.95</v>
      </c>
      <c r="H481" s="706">
        <v>214593.95</v>
      </c>
      <c r="I481" s="706">
        <v>214593.95</v>
      </c>
      <c r="J481" s="706">
        <v>214593.95</v>
      </c>
      <c r="K481" s="706">
        <v>214593.95</v>
      </c>
      <c r="L481" s="706">
        <v>214593.95</v>
      </c>
      <c r="M481" s="706">
        <v>214593.95</v>
      </c>
      <c r="N481" s="706">
        <v>220530.55</v>
      </c>
      <c r="O481" s="706">
        <v>220530.55</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G28600</v>
      </c>
      <c r="AK481" s="905" t="str">
        <f t="shared" si="49"/>
        <v>BATIMENT</v>
      </c>
      <c r="AL481" s="905">
        <f>IFERROR(INDEX(G481:R481,1,MATCH(Parametres!$B$3,G$1:R$1,0)-1)*IF(OR(F481="L",F481="S",F481="I"),-1,1),"")</f>
        <v>214593.95</v>
      </c>
      <c r="AM481" s="905">
        <f t="shared" si="44"/>
        <v>5936.5999999999767</v>
      </c>
      <c r="AN481" s="905">
        <f>INDEX(G481:R481,1,MATCH(Parametres!$B$3,G$1:R$1,0))*IF(OR(F481="L",F481="S",F481="I"),-1,1)</f>
        <v>220530.55</v>
      </c>
      <c r="AO481" s="487" t="str">
        <f>+VLOOKUP($AJ481,Data_Validation!$A:$D,1,0)</f>
        <v>G28600</v>
      </c>
      <c r="AP481" s="487" t="str">
        <f>+VLOOKUP($AJ481,Data_Validation!$A:$D,3,0)</f>
        <v>Bilan</v>
      </c>
      <c r="AQ481" s="487" t="str">
        <f>+VLOOKUP($AJ481,Data_Validation!$A:$D,4,0)</f>
        <v>Améliorations Locatives</v>
      </c>
      <c r="AR481" s="487" t="s">
        <v>299</v>
      </c>
      <c r="AS481" s="487">
        <f>+VLOOKUP($AJ481,Data_Validation!$A:$E,5,0)</f>
        <v>0</v>
      </c>
      <c r="AT481" s="904" t="str">
        <f t="shared" si="45"/>
        <v>G28600</v>
      </c>
      <c r="AU481" s="488" t="str">
        <f t="shared" si="46"/>
        <v>BATIMENT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2029</v>
      </c>
      <c r="D482" s="706" t="s">
        <v>2030</v>
      </c>
      <c r="E482" s="706" t="s">
        <v>333</v>
      </c>
      <c r="F482" s="706" t="s">
        <v>1136</v>
      </c>
      <c r="G482" s="706">
        <v>264203.43</v>
      </c>
      <c r="H482" s="706">
        <v>264203.43</v>
      </c>
      <c r="I482" s="706">
        <v>264203.43</v>
      </c>
      <c r="J482" s="706">
        <v>267836.38</v>
      </c>
      <c r="K482" s="706">
        <v>267836.38</v>
      </c>
      <c r="L482" s="706">
        <v>267836.38</v>
      </c>
      <c r="M482" s="706">
        <v>267836.38</v>
      </c>
      <c r="N482" s="706">
        <v>268617.12</v>
      </c>
      <c r="O482" s="706">
        <v>268617.12</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G28700</v>
      </c>
      <c r="AK482" s="905" t="str">
        <f t="shared" si="49"/>
        <v>MATERIEL INFORMATIQUE</v>
      </c>
      <c r="AL482" s="905">
        <f>IFERROR(INDEX(G482:R482,1,MATCH(Parametres!$B$3,G$1:R$1,0)-1)*IF(OR(F482="L",F482="S",F482="I"),-1,1),"")</f>
        <v>267836.38</v>
      </c>
      <c r="AM482" s="905">
        <f t="shared" si="44"/>
        <v>780.73999999999069</v>
      </c>
      <c r="AN482" s="905">
        <f>INDEX(G482:R482,1,MATCH(Parametres!$B$3,G$1:R$1,0))*IF(OR(F482="L",F482="S",F482="I"),-1,1)</f>
        <v>268617.12</v>
      </c>
      <c r="AO482" s="487" t="str">
        <f>+VLOOKUP($AJ482,Data_Validation!$A:$D,1,0)</f>
        <v>G28700</v>
      </c>
      <c r="AP482" s="487" t="str">
        <f>+VLOOKUP($AJ482,Data_Validation!$A:$D,3,0)</f>
        <v>Bilan</v>
      </c>
      <c r="AQ482" s="487" t="str">
        <f>+VLOOKUP($AJ482,Data_Validation!$A:$D,4,0)</f>
        <v>Équipements Informatique</v>
      </c>
      <c r="AR482" s="487" t="s">
        <v>299</v>
      </c>
      <c r="AS482" s="487">
        <f>+VLOOKUP($AJ482,Data_Validation!$A:$E,5,0)</f>
        <v>0</v>
      </c>
      <c r="AT482" s="904" t="str">
        <f t="shared" si="45"/>
        <v>G28700</v>
      </c>
      <c r="AU482" s="488" t="str">
        <f t="shared" si="46"/>
        <v>MATERIEL INFORMATIQUE</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2031</v>
      </c>
      <c r="D483" s="706" t="s">
        <v>647</v>
      </c>
      <c r="E483" s="706" t="s">
        <v>333</v>
      </c>
      <c r="F483" s="706" t="s">
        <v>1136</v>
      </c>
      <c r="G483" s="706">
        <v>55976.71</v>
      </c>
      <c r="H483" s="706">
        <v>55976.71</v>
      </c>
      <c r="I483" s="706">
        <v>55976.71</v>
      </c>
      <c r="J483" s="706">
        <v>55976.71</v>
      </c>
      <c r="K483" s="706">
        <v>55976.71</v>
      </c>
      <c r="L483" s="706">
        <v>55976.71</v>
      </c>
      <c r="M483" s="706">
        <v>55976.71</v>
      </c>
      <c r="N483" s="706">
        <v>55976.71</v>
      </c>
      <c r="O483" s="706">
        <v>55976.71</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G28800</v>
      </c>
      <c r="AK483" s="905" t="str">
        <f t="shared" si="49"/>
        <v>ENSEIGNES</v>
      </c>
      <c r="AL483" s="905">
        <f>IFERROR(INDEX(G483:R483,1,MATCH(Parametres!$B$3,G$1:R$1,0)-1)*IF(OR(F483="L",F483="S",F483="I"),-1,1),"")</f>
        <v>55976.71</v>
      </c>
      <c r="AM483" s="905">
        <f t="shared" si="44"/>
        <v>0</v>
      </c>
      <c r="AN483" s="905">
        <f>INDEX(G483:R483,1,MATCH(Parametres!$B$3,G$1:R$1,0))*IF(OR(F483="L",F483="S",F483="I"),-1,1)</f>
        <v>55976.71</v>
      </c>
      <c r="AO483" s="487" t="str">
        <f>+VLOOKUP($AJ483,Data_Validation!$A:$D,1,0)</f>
        <v>G28800</v>
      </c>
      <c r="AP483" s="487" t="str">
        <f>+VLOOKUP($AJ483,Data_Validation!$A:$D,3,0)</f>
        <v>Bilan</v>
      </c>
      <c r="AQ483" s="487" t="str">
        <f>+VLOOKUP($AJ483,Data_Validation!$A:$D,4,0)</f>
        <v>Enseigne</v>
      </c>
      <c r="AR483" s="487" t="s">
        <v>299</v>
      </c>
      <c r="AS483" s="487">
        <f>+VLOOKUP($AJ483,Data_Validation!$A:$E,5,0)</f>
        <v>0</v>
      </c>
      <c r="AT483" s="904" t="str">
        <f t="shared" si="45"/>
        <v>G28800</v>
      </c>
      <c r="AU483" s="488" t="str">
        <f t="shared" si="46"/>
        <v>ENSEIGNES</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2032</v>
      </c>
      <c r="D484" s="706" t="s">
        <v>2033</v>
      </c>
      <c r="E484" s="706" t="s">
        <v>333</v>
      </c>
      <c r="F484" s="706" t="s">
        <v>1136</v>
      </c>
      <c r="G484" s="706">
        <v>0</v>
      </c>
      <c r="H484" s="706">
        <v>0</v>
      </c>
      <c r="I484" s="706">
        <v>0</v>
      </c>
      <c r="J484" s="706">
        <v>0</v>
      </c>
      <c r="K484" s="706">
        <v>0</v>
      </c>
      <c r="L484" s="706">
        <v>0</v>
      </c>
      <c r="M484" s="706">
        <v>0</v>
      </c>
      <c r="N484" s="706">
        <v>0</v>
      </c>
      <c r="O484" s="706">
        <v>0</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G28900</v>
      </c>
      <c r="AK484" s="905" t="str">
        <f t="shared" si="49"/>
        <v>ASPHALTE</v>
      </c>
      <c r="AL484" s="905">
        <f>IFERROR(INDEX(G484:R484,1,MATCH(Parametres!$B$3,G$1:R$1,0)-1)*IF(OR(F484="L",F484="S",F484="I"),-1,1),"")</f>
        <v>0</v>
      </c>
      <c r="AM484" s="905">
        <f t="shared" si="44"/>
        <v>0</v>
      </c>
      <c r="AN484" s="905">
        <f>INDEX(G484:R484,1,MATCH(Parametres!$B$3,G$1:R$1,0))*IF(OR(F484="L",F484="S",F484="I"),-1,1)</f>
        <v>0</v>
      </c>
      <c r="AO484" s="487" t="str">
        <f>+VLOOKUP($AJ484,Data_Validation!$A:$D,1,0)</f>
        <v>G28900</v>
      </c>
      <c r="AP484" s="487">
        <f>+VLOOKUP($AJ484,Data_Validation!$A:$D,3,0)</f>
        <v>0</v>
      </c>
      <c r="AQ484" s="487">
        <f>+VLOOKUP($AJ484,Data_Validation!$A:$D,4,0)</f>
        <v>0</v>
      </c>
      <c r="AR484" s="487" t="s">
        <v>299</v>
      </c>
      <c r="AS484" s="487">
        <f>+VLOOKUP($AJ484,Data_Validation!$A:$E,5,0)</f>
        <v>0</v>
      </c>
      <c r="AT484" s="904" t="str">
        <f t="shared" si="45"/>
        <v>G28900</v>
      </c>
      <c r="AU484" s="488" t="str">
        <f t="shared" si="46"/>
        <v>ASPHALTE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2034</v>
      </c>
      <c r="D485" s="706" t="s">
        <v>2035</v>
      </c>
      <c r="E485" s="706" t="s">
        <v>333</v>
      </c>
      <c r="F485" s="706" t="s">
        <v>1136</v>
      </c>
      <c r="G485" s="706">
        <v>12974</v>
      </c>
      <c r="H485" s="706">
        <v>12974</v>
      </c>
      <c r="I485" s="706">
        <v>12974</v>
      </c>
      <c r="J485" s="706">
        <v>12974</v>
      </c>
      <c r="K485" s="706">
        <v>12974</v>
      </c>
      <c r="L485" s="706">
        <v>12974</v>
      </c>
      <c r="M485" s="706">
        <v>12974</v>
      </c>
      <c r="N485" s="706">
        <v>12974</v>
      </c>
      <c r="O485" s="706">
        <v>12974</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G29300</v>
      </c>
      <c r="AK485" s="905" t="str">
        <f t="shared" si="49"/>
        <v>BILLETS &amp; C/R ADMINIS.</v>
      </c>
      <c r="AL485" s="905">
        <f>IFERROR(INDEX(G485:R485,1,MATCH(Parametres!$B$3,G$1:R$1,0)-1)*IF(OR(F485="L",F485="S",F485="I"),-1,1),"")</f>
        <v>12974</v>
      </c>
      <c r="AM485" s="905">
        <f t="shared" si="44"/>
        <v>0</v>
      </c>
      <c r="AN485" s="905">
        <f>INDEX(G485:R485,1,MATCH(Parametres!$B$3,G$1:R$1,0))*IF(OR(F485="L",F485="S",F485="I"),-1,1)</f>
        <v>12974</v>
      </c>
      <c r="AO485" s="487" t="str">
        <f>+VLOOKUP($AJ485,Data_Validation!$A:$D,1,0)</f>
        <v>G29300</v>
      </c>
      <c r="AP485" s="487" t="str">
        <f>+VLOOKUP($AJ485,Data_Validation!$A:$D,3,0)</f>
        <v>Bilan</v>
      </c>
      <c r="AQ485" s="487" t="str">
        <f>+VLOOKUP($AJ485,Data_Validation!$A:$D,4,0)</f>
        <v>Avances à Recevoir Long Terme</v>
      </c>
      <c r="AR485" s="487" t="s">
        <v>299</v>
      </c>
      <c r="AS485" s="487">
        <f>+VLOOKUP($AJ485,Data_Validation!$A:$E,5,0)</f>
        <v>0</v>
      </c>
      <c r="AT485" s="904" t="str">
        <f t="shared" si="45"/>
        <v>G29300</v>
      </c>
      <c r="AU485" s="488" t="str">
        <f t="shared" si="46"/>
        <v>BILLETS &amp; C/R ADMINIS.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2036</v>
      </c>
      <c r="D486" s="706" t="s">
        <v>2037</v>
      </c>
      <c r="E486" s="706" t="s">
        <v>333</v>
      </c>
      <c r="F486" s="706" t="s">
        <v>1136</v>
      </c>
      <c r="G486" s="706">
        <v>2000000</v>
      </c>
      <c r="H486" s="706">
        <v>0</v>
      </c>
      <c r="I486" s="706">
        <v>0</v>
      </c>
      <c r="J486" s="706">
        <v>1000000</v>
      </c>
      <c r="K486" s="706">
        <v>1000000</v>
      </c>
      <c r="L486" s="706">
        <v>500000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G29400</v>
      </c>
      <c r="AK486" s="905" t="str">
        <f t="shared" si="49"/>
        <v>EPARGNE BULK</v>
      </c>
      <c r="AL486" s="905">
        <f>IFERROR(INDEX(G486:R486,1,MATCH(Parametres!$B$3,G$1:R$1,0)-1)*IF(OR(F486="L",F486="S",F486="I"),-1,1),"")</f>
        <v>0</v>
      </c>
      <c r="AM486" s="905">
        <f t="shared" si="44"/>
        <v>0</v>
      </c>
      <c r="AN486" s="905">
        <f>INDEX(G486:R486,1,MATCH(Parametres!$B$3,G$1:R$1,0))*IF(OR(F486="L",F486="S",F486="I"),-1,1)</f>
        <v>0</v>
      </c>
      <c r="AO486" s="487" t="str">
        <f>+VLOOKUP($AJ486,Data_Validation!$A:$D,1,0)</f>
        <v>G29400</v>
      </c>
      <c r="AP486" s="487" t="str">
        <f>+VLOOKUP($AJ486,Data_Validation!$A:$D,3,0)</f>
        <v>Bilan</v>
      </c>
      <c r="AQ486" s="487" t="str">
        <f>+VLOOKUP($AJ486,Data_Validation!$A:$D,4,0)</f>
        <v>Encaisse</v>
      </c>
      <c r="AR486" s="487" t="s">
        <v>299</v>
      </c>
      <c r="AS486" s="487">
        <f>+VLOOKUP($AJ486,Data_Validation!$A:$E,5,0)</f>
        <v>0</v>
      </c>
      <c r="AT486" s="904" t="str">
        <f t="shared" si="45"/>
        <v>G29400</v>
      </c>
      <c r="AU486" s="488" t="str">
        <f t="shared" si="46"/>
        <v>EPARGNE BULK</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2038</v>
      </c>
      <c r="D487" s="706" t="s">
        <v>2039</v>
      </c>
      <c r="E487" s="706" t="s">
        <v>333</v>
      </c>
      <c r="F487" s="706" t="s">
        <v>1136</v>
      </c>
      <c r="G487" s="706">
        <v>2000</v>
      </c>
      <c r="H487" s="706">
        <v>2000</v>
      </c>
      <c r="I487" s="706">
        <v>2000</v>
      </c>
      <c r="J487" s="706">
        <v>2000</v>
      </c>
      <c r="K487" s="706">
        <v>2000</v>
      </c>
      <c r="L487" s="706">
        <v>2000</v>
      </c>
      <c r="M487" s="706">
        <v>2000</v>
      </c>
      <c r="N487" s="706">
        <v>2000</v>
      </c>
      <c r="O487" s="706">
        <v>2000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G29600</v>
      </c>
      <c r="AK487" s="905" t="str">
        <f t="shared" si="49"/>
        <v>AUTRES PLACEMENTS &amp; BIENS</v>
      </c>
      <c r="AL487" s="905">
        <f>IFERROR(INDEX(G487:R487,1,MATCH(Parametres!$B$3,G$1:R$1,0)-1)*IF(OR(F487="L",F487="S",F487="I"),-1,1),"")</f>
        <v>2000</v>
      </c>
      <c r="AM487" s="905">
        <f t="shared" si="44"/>
        <v>0</v>
      </c>
      <c r="AN487" s="905">
        <f>INDEX(G487:R487,1,MATCH(Parametres!$B$3,G$1:R$1,0))*IF(OR(F487="L",F487="S",F487="I"),-1,1)</f>
        <v>2000</v>
      </c>
      <c r="AO487" s="487" t="str">
        <f>+VLOOKUP($AJ487,Data_Validation!$A:$D,1,0)</f>
        <v>G29600</v>
      </c>
      <c r="AP487" s="487" t="str">
        <f>+VLOOKUP($AJ487,Data_Validation!$A:$D,3,0)</f>
        <v>Bilan</v>
      </c>
      <c r="AQ487" s="487" t="str">
        <f>+VLOOKUP($AJ487,Data_Validation!$A:$D,4,0)</f>
        <v>Avances à Recevoir Long Terme</v>
      </c>
      <c r="AR487" s="487" t="s">
        <v>299</v>
      </c>
      <c r="AS487" s="487">
        <f>+VLOOKUP($AJ487,Data_Validation!$A:$E,5,0)</f>
        <v>0</v>
      </c>
      <c r="AT487" s="904" t="str">
        <f t="shared" si="45"/>
        <v>G29600</v>
      </c>
      <c r="AU487" s="488" t="str">
        <f t="shared" si="46"/>
        <v>AUTRES PLACEMENTS &amp; BIENS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2040</v>
      </c>
      <c r="D488" s="706" t="s">
        <v>2041</v>
      </c>
      <c r="E488" s="706" t="s">
        <v>333</v>
      </c>
      <c r="F488" s="706" t="s">
        <v>1136</v>
      </c>
      <c r="G488" s="706">
        <v>-66.849999999999994</v>
      </c>
      <c r="H488" s="706">
        <v>-66.849999999999994</v>
      </c>
      <c r="I488" s="706">
        <v>-66.849999999999994</v>
      </c>
      <c r="J488" s="706">
        <v>-66.849999999999994</v>
      </c>
      <c r="K488" s="706">
        <v>-66.849999999999994</v>
      </c>
      <c r="L488" s="706">
        <v>-66.849999999999994</v>
      </c>
      <c r="M488" s="706">
        <v>-66.849999999999994</v>
      </c>
      <c r="N488" s="706">
        <v>-66.849999999999994</v>
      </c>
      <c r="O488" s="706">
        <v>-66.849999999999994</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G29900</v>
      </c>
      <c r="AK488" s="905" t="str">
        <f t="shared" si="49"/>
        <v>INTER-DIVISION</v>
      </c>
      <c r="AL488" s="905">
        <f>IFERROR(INDEX(G488:R488,1,MATCH(Parametres!$B$3,G$1:R$1,0)-1)*IF(OR(F488="L",F488="S",F488="I"),-1,1),"")</f>
        <v>-66.849999999999994</v>
      </c>
      <c r="AM488" s="905">
        <f t="shared" si="44"/>
        <v>0</v>
      </c>
      <c r="AN488" s="905">
        <f>INDEX(G488:R488,1,MATCH(Parametres!$B$3,G$1:R$1,0))*IF(OR(F488="L",F488="S",F488="I"),-1,1)</f>
        <v>-66.849999999999994</v>
      </c>
      <c r="AO488" s="487" t="str">
        <f>+VLOOKUP($AJ488,Data_Validation!$A:$D,1,0)</f>
        <v>G29900</v>
      </c>
      <c r="AP488" s="487" t="str">
        <f>+VLOOKUP($AJ488,Data_Validation!$A:$D,3,0)</f>
        <v>Bilan</v>
      </c>
      <c r="AQ488" s="487" t="str">
        <f>+VLOOKUP($AJ488,Data_Validation!$A:$D,4,0)</f>
        <v>Avances à Recevoir Long Terme</v>
      </c>
      <c r="AR488" s="487" t="s">
        <v>299</v>
      </c>
      <c r="AS488" s="487">
        <f>+VLOOKUP($AJ488,Data_Validation!$A:$E,5,0)</f>
        <v>0</v>
      </c>
      <c r="AT488" s="904" t="str">
        <f t="shared" si="45"/>
        <v>G29900</v>
      </c>
      <c r="AU488" s="488" t="str">
        <f t="shared" si="46"/>
        <v>INTER-DIVISION</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2042</v>
      </c>
      <c r="D489" s="706" t="s">
        <v>2043</v>
      </c>
      <c r="E489" s="706" t="s">
        <v>1146</v>
      </c>
      <c r="F489" s="706" t="s">
        <v>1135</v>
      </c>
      <c r="G489" s="706">
        <v>546497.76</v>
      </c>
      <c r="H489" s="706">
        <v>562323.41</v>
      </c>
      <c r="I489" s="706">
        <v>1708430.46</v>
      </c>
      <c r="J489" s="706">
        <v>4110330.37</v>
      </c>
      <c r="K489" s="706">
        <v>2543636.4300000002</v>
      </c>
      <c r="L489" s="706">
        <v>2478319.29</v>
      </c>
      <c r="M489" s="706">
        <v>2226444.64</v>
      </c>
      <c r="N489" s="706">
        <v>726815.02</v>
      </c>
      <c r="O489" s="706">
        <v>597343.84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G30000</v>
      </c>
      <c r="AK489" s="905" t="str">
        <f t="shared" si="49"/>
        <v>C/P FOURNISSEURS</v>
      </c>
      <c r="AL489" s="905">
        <f>IFERROR(INDEX(G489:R489,1,MATCH(Parametres!$B$3,G$1:R$1,0)-1)*IF(OR(F489="L",F489="S",F489="I"),-1,1),"")</f>
        <v>-2226444.64</v>
      </c>
      <c r="AM489" s="905">
        <f t="shared" si="44"/>
        <v>1499629.62</v>
      </c>
      <c r="AN489" s="905">
        <f>INDEX(G489:R489,1,MATCH(Parametres!$B$3,G$1:R$1,0))*IF(OR(F489="L",F489="S",F489="I"),-1,1)</f>
        <v>-726815.02</v>
      </c>
      <c r="AO489" s="487" t="str">
        <f>+VLOOKUP($AJ489,Data_Validation!$A:$D,1,0)</f>
        <v>G30000</v>
      </c>
      <c r="AP489" s="487" t="str">
        <f>+VLOOKUP($AJ489,Data_Validation!$A:$D,3,0)</f>
        <v>Bilan</v>
      </c>
      <c r="AQ489" s="487" t="str">
        <f>+VLOOKUP($AJ489,Data_Validation!$A:$D,4,0)</f>
        <v>Comptes à Payer Fournisseurs</v>
      </c>
      <c r="AR489" s="487" t="s">
        <v>299</v>
      </c>
      <c r="AS489" s="487">
        <f>+VLOOKUP($AJ489,Data_Validation!$A:$E,5,0)</f>
        <v>0</v>
      </c>
      <c r="AT489" s="904" t="str">
        <f t="shared" si="45"/>
        <v>G30000</v>
      </c>
      <c r="AU489" s="488" t="str">
        <f t="shared" si="46"/>
        <v>C/P FOURNISSEURS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2044</v>
      </c>
      <c r="D490" s="706" t="s">
        <v>2045</v>
      </c>
      <c r="E490" s="706" t="s">
        <v>1146</v>
      </c>
      <c r="F490" s="706" t="s">
        <v>1135</v>
      </c>
      <c r="G490" s="706">
        <v>0</v>
      </c>
      <c r="H490" s="706">
        <v>0</v>
      </c>
      <c r="I490" s="706">
        <v>0</v>
      </c>
      <c r="J490" s="706">
        <v>0</v>
      </c>
      <c r="K490" s="706">
        <v>0</v>
      </c>
      <c r="L490" s="706">
        <v>0</v>
      </c>
      <c r="M490" s="706">
        <v>0</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G30001</v>
      </c>
      <c r="AK490" s="905" t="str">
        <f t="shared" si="49"/>
        <v>COMPTES A PAYER OPEN-ITEM</v>
      </c>
      <c r="AL490" s="905">
        <f>IFERROR(INDEX(G490:R490,1,MATCH(Parametres!$B$3,G$1:R$1,0)-1)*IF(OR(F490="L",F490="S",F490="I"),-1,1),"")</f>
        <v>0</v>
      </c>
      <c r="AM490" s="905">
        <f t="shared" si="44"/>
        <v>0</v>
      </c>
      <c r="AN490" s="905">
        <f>INDEX(G490:R490,1,MATCH(Parametres!$B$3,G$1:R$1,0))*IF(OR(F490="L",F490="S",F490="I"),-1,1)</f>
        <v>0</v>
      </c>
      <c r="AO490" s="487" t="e">
        <f>+VLOOKUP($AJ490,Data_Validation!$A:$D,1,0)</f>
        <v>#N/A</v>
      </c>
      <c r="AP490" s="487" t="e">
        <f>+VLOOKUP($AJ490,Data_Validation!$A:$D,3,0)</f>
        <v>#N/A</v>
      </c>
      <c r="AQ490" s="487" t="e">
        <f>+VLOOKUP($AJ490,Data_Validation!$A:$D,4,0)</f>
        <v>#N/A</v>
      </c>
      <c r="AR490" s="487" t="s">
        <v>299</v>
      </c>
      <c r="AS490" s="487" t="e">
        <f>+VLOOKUP($AJ490,Data_Validation!$A:$E,5,0)</f>
        <v>#N/A</v>
      </c>
      <c r="AT490" s="904" t="str">
        <f t="shared" si="45"/>
        <v>G30001</v>
      </c>
      <c r="AU490" s="488" t="str">
        <f t="shared" si="46"/>
        <v>COMPTES A PAYER OPEN-ITEM</v>
      </c>
      <c r="AV490" s="899">
        <f>IFERROR(INDEX(V490:AG490,1,MATCH(Parametres!$B$3,V$1:AG$1,0)-1)*IF(OR(C490="L",C490="S",C490="I"),-1,1),"")</f>
        <v>0</v>
      </c>
      <c r="AW490" s="899">
        <f t="shared" si="47"/>
        <v>0</v>
      </c>
      <c r="AX490" s="899">
        <f>INDEX(V490:AG490,1,MATCH(Parametres!$B$3,V$1:AG$1,0))*IF(OR(C490="L",C490="S",C490="I"),-1,1)</f>
        <v>0</v>
      </c>
      <c r="AY490" s="487" t="s">
        <v>337</v>
      </c>
      <c r="AZ490" s="487" t="e">
        <f>+VLOOKUP($AJ490,Data_Validation!$A:$E,5,0)</f>
        <v>#N/A</v>
      </c>
    </row>
    <row r="491" spans="1:52" ht="15" hidden="1" customHeight="1">
      <c r="A491" s="706" t="s">
        <v>1148</v>
      </c>
      <c r="B491" s="706">
        <v>2026</v>
      </c>
      <c r="C491" s="706" t="s">
        <v>2046</v>
      </c>
      <c r="D491" s="706" t="s">
        <v>2047</v>
      </c>
      <c r="E491" s="706" t="s">
        <v>1139</v>
      </c>
      <c r="F491" s="706" t="s">
        <v>1135</v>
      </c>
      <c r="G491" s="706">
        <v>0</v>
      </c>
      <c r="H491" s="706">
        <v>0</v>
      </c>
      <c r="I491" s="706">
        <v>195</v>
      </c>
      <c r="J491" s="706">
        <v>195</v>
      </c>
      <c r="K491" s="706">
        <v>195</v>
      </c>
      <c r="L491" s="706">
        <v>195</v>
      </c>
      <c r="M491" s="706">
        <v>195</v>
      </c>
      <c r="N491" s="706">
        <v>195</v>
      </c>
      <c r="O491" s="706">
        <v>195</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G30010</v>
      </c>
      <c r="AK491" s="905" t="str">
        <f t="shared" si="49"/>
        <v>CLAIMS G.M. DU AUX CLIENT</v>
      </c>
      <c r="AL491" s="905">
        <f>IFERROR(INDEX(G491:R491,1,MATCH(Parametres!$B$3,G$1:R$1,0)-1)*IF(OR(F491="L",F491="S",F491="I"),-1,1),"")</f>
        <v>-195</v>
      </c>
      <c r="AM491" s="905">
        <f t="shared" si="44"/>
        <v>0</v>
      </c>
      <c r="AN491" s="905">
        <f>INDEX(G491:R491,1,MATCH(Parametres!$B$3,G$1:R$1,0))*IF(OR(F491="L",F491="S",F491="I"),-1,1)</f>
        <v>-195</v>
      </c>
      <c r="AO491" s="487" t="str">
        <f>+VLOOKUP($AJ491,Data_Validation!$A:$D,1,0)</f>
        <v>G30010</v>
      </c>
      <c r="AP491" s="487" t="str">
        <f>+VLOOKUP($AJ491,Data_Validation!$A:$D,3,0)</f>
        <v>Bilan</v>
      </c>
      <c r="AQ491" s="487" t="str">
        <f>+VLOOKUP($AJ491,Data_Validation!$A:$D,4,0)</f>
        <v>Autres Comptes à Payer</v>
      </c>
      <c r="AR491" s="487" t="s">
        <v>299</v>
      </c>
      <c r="AS491" s="487">
        <f>+VLOOKUP($AJ491,Data_Validation!$A:$E,5,0)</f>
        <v>0</v>
      </c>
      <c r="AT491" s="904" t="str">
        <f t="shared" si="45"/>
        <v>G30010</v>
      </c>
      <c r="AU491" s="488" t="str">
        <f t="shared" si="46"/>
        <v>CLAIMS G.M. DU AUX CLIENT</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2048</v>
      </c>
      <c r="D492" s="706" t="s">
        <v>2049</v>
      </c>
      <c r="E492" s="706" t="s">
        <v>1139</v>
      </c>
      <c r="F492" s="706" t="s">
        <v>1135</v>
      </c>
      <c r="G492" s="706">
        <v>41747.69</v>
      </c>
      <c r="H492" s="706">
        <v>14473.42</v>
      </c>
      <c r="I492" s="706">
        <v>16879</v>
      </c>
      <c r="J492" s="706">
        <v>-836.15</v>
      </c>
      <c r="K492" s="706">
        <v>12556.56</v>
      </c>
      <c r="L492" s="706">
        <v>24569</v>
      </c>
      <c r="M492" s="706">
        <v>9647.8700000000008</v>
      </c>
      <c r="N492" s="706">
        <v>-2695.3</v>
      </c>
      <c r="O492" s="706">
        <v>-2695.3</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G30020</v>
      </c>
      <c r="AK492" s="905" t="str">
        <f t="shared" si="49"/>
        <v>PLAN PROTECTION A PAYER</v>
      </c>
      <c r="AL492" s="905">
        <f>IFERROR(INDEX(G492:R492,1,MATCH(Parametres!$B$3,G$1:R$1,0)-1)*IF(OR(F492="L",F492="S",F492="I"),-1,1),"")</f>
        <v>-9647.8700000000008</v>
      </c>
      <c r="AM492" s="905">
        <f t="shared" si="44"/>
        <v>12343.170000000002</v>
      </c>
      <c r="AN492" s="905">
        <f>INDEX(G492:R492,1,MATCH(Parametres!$B$3,G$1:R$1,0))*IF(OR(F492="L",F492="S",F492="I"),-1,1)</f>
        <v>2695.3</v>
      </c>
      <c r="AO492" s="487" t="str">
        <f>+VLOOKUP($AJ492,Data_Validation!$A:$D,1,0)</f>
        <v>G30020</v>
      </c>
      <c r="AP492" s="487" t="str">
        <f>+VLOOKUP($AJ492,Data_Validation!$A:$D,3,0)</f>
        <v>Bilan</v>
      </c>
      <c r="AQ492" s="487" t="str">
        <f>+VLOOKUP($AJ492,Data_Validation!$A:$D,4,0)</f>
        <v>Autres Comptes à Payer</v>
      </c>
      <c r="AR492" s="487" t="s">
        <v>299</v>
      </c>
      <c r="AS492" s="487">
        <f>+VLOOKUP($AJ492,Data_Validation!$A:$E,5,0)</f>
        <v>0</v>
      </c>
      <c r="AT492" s="904" t="str">
        <f t="shared" si="45"/>
        <v>G30020</v>
      </c>
      <c r="AU492" s="488" t="str">
        <f t="shared" si="46"/>
        <v>PLAN PROTECTION A PAYER</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3417</v>
      </c>
      <c r="D493" s="706" t="s">
        <v>3418</v>
      </c>
      <c r="E493" s="706" t="s">
        <v>1139</v>
      </c>
      <c r="F493" s="706" t="s">
        <v>1135</v>
      </c>
      <c r="G493" s="706">
        <v>0</v>
      </c>
      <c r="H493" s="706">
        <v>0</v>
      </c>
      <c r="I493" s="706">
        <v>0</v>
      </c>
      <c r="J493" s="706">
        <v>0</v>
      </c>
      <c r="K493" s="706">
        <v>0</v>
      </c>
      <c r="L493" s="706">
        <v>0</v>
      </c>
      <c r="M493" s="706">
        <v>1467.1</v>
      </c>
      <c r="N493" s="706">
        <v>664.1</v>
      </c>
      <c r="O493" s="706">
        <v>664.1</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G30025</v>
      </c>
      <c r="AK493" s="905" t="str">
        <f t="shared" si="49"/>
        <v>PRODUITS F&amp;I - SERVICE</v>
      </c>
      <c r="AL493" s="905">
        <f>IFERROR(INDEX(G493:R493,1,MATCH(Parametres!$B$3,G$1:R$1,0)-1)*IF(OR(F493="L",F493="S",F493="I"),-1,1),"")</f>
        <v>-1467.1</v>
      </c>
      <c r="AM493" s="905">
        <f t="shared" si="44"/>
        <v>802.99999999999989</v>
      </c>
      <c r="AN493" s="905">
        <f>INDEX(G493:R493,1,MATCH(Parametres!$B$3,G$1:R$1,0))*IF(OR(F493="L",F493="S",F493="I"),-1,1)</f>
        <v>-664.1</v>
      </c>
      <c r="AO493" s="487" t="str">
        <f>+VLOOKUP($AJ493,Data_Validation!$A:$D,1,0)</f>
        <v>G30025</v>
      </c>
      <c r="AP493" s="487" t="str">
        <f>+VLOOKUP($AJ493,Data_Validation!$A:$D,3,0)</f>
        <v>Bilan</v>
      </c>
      <c r="AQ493" s="487" t="str">
        <f>+VLOOKUP($AJ493,Data_Validation!$A:$D,4,0)</f>
        <v>Autres Comptes à Payer</v>
      </c>
      <c r="AR493" s="487" t="s">
        <v>299</v>
      </c>
      <c r="AS493" s="487">
        <f>+VLOOKUP($AJ493,Data_Validation!$A:$E,5,0)</f>
        <v>0</v>
      </c>
      <c r="AT493" s="904" t="str">
        <f t="shared" si="45"/>
        <v>G30025</v>
      </c>
      <c r="AU493" s="488" t="str">
        <f t="shared" si="46"/>
        <v>PRODUITS F&amp;I - SERVICE</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2050</v>
      </c>
      <c r="D494" s="706" t="s">
        <v>2051</v>
      </c>
      <c r="E494" s="706" t="s">
        <v>333</v>
      </c>
      <c r="F494" s="706" t="s">
        <v>1135</v>
      </c>
      <c r="G494" s="706">
        <v>1633.5</v>
      </c>
      <c r="H494" s="706">
        <v>2146.5</v>
      </c>
      <c r="I494" s="706">
        <v>1795.5</v>
      </c>
      <c r="J494" s="706">
        <v>2093</v>
      </c>
      <c r="K494" s="706">
        <v>2628</v>
      </c>
      <c r="L494" s="706">
        <v>1629</v>
      </c>
      <c r="M494" s="706">
        <v>1467</v>
      </c>
      <c r="N494" s="706">
        <v>1489.5</v>
      </c>
      <c r="O494" s="706">
        <v>1552.5</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G30030</v>
      </c>
      <c r="AK494" s="905" t="str">
        <f t="shared" si="49"/>
        <v>DROIT SPECIF. SUR PNEUS</v>
      </c>
      <c r="AL494" s="905">
        <f>IFERROR(INDEX(G494:R494,1,MATCH(Parametres!$B$3,G$1:R$1,0)-1)*IF(OR(F494="L",F494="S",F494="I"),-1,1),"")</f>
        <v>-1467</v>
      </c>
      <c r="AM494" s="905">
        <f t="shared" si="44"/>
        <v>-22.5</v>
      </c>
      <c r="AN494" s="905">
        <f>INDEX(G494:R494,1,MATCH(Parametres!$B$3,G$1:R$1,0))*IF(OR(F494="L",F494="S",F494="I"),-1,1)</f>
        <v>-1489.5</v>
      </c>
      <c r="AO494" s="487" t="str">
        <f>+VLOOKUP($AJ494,Data_Validation!$A:$D,1,0)</f>
        <v>G30030</v>
      </c>
      <c r="AP494" s="487" t="str">
        <f>+VLOOKUP($AJ494,Data_Validation!$A:$D,3,0)</f>
        <v>Bilan</v>
      </c>
      <c r="AQ494" s="487" t="str">
        <f>+VLOOKUP($AJ494,Data_Validation!$A:$D,4,0)</f>
        <v>Taxes de Vente à Payer</v>
      </c>
      <c r="AR494" s="487" t="s">
        <v>299</v>
      </c>
      <c r="AS494" s="487">
        <f>+VLOOKUP($AJ494,Data_Validation!$A:$E,5,0)</f>
        <v>0</v>
      </c>
      <c r="AT494" s="904" t="str">
        <f t="shared" si="45"/>
        <v>G30030</v>
      </c>
      <c r="AU494" s="488" t="str">
        <f t="shared" si="46"/>
        <v>DROIT SPECIF. SUR PNEUS</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3324</v>
      </c>
      <c r="D495" s="706" t="s">
        <v>3325</v>
      </c>
      <c r="E495" s="706" t="s">
        <v>336</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G30035</v>
      </c>
      <c r="AK495" s="905" t="str">
        <f t="shared" si="49"/>
        <v>AP VEH BMW SHERBROOKE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G30035</v>
      </c>
      <c r="AU495" s="488" t="str">
        <f t="shared" si="46"/>
        <v>AP VEH BMW SHERBROOKE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hidden="1" customHeight="1">
      <c r="A496" s="706" t="s">
        <v>1148</v>
      </c>
      <c r="B496" s="706">
        <v>2026</v>
      </c>
      <c r="C496" s="706" t="s">
        <v>2052</v>
      </c>
      <c r="D496" s="706" t="s">
        <v>2053</v>
      </c>
      <c r="E496" s="706" t="s">
        <v>333</v>
      </c>
      <c r="F496" s="706" t="s">
        <v>1135</v>
      </c>
      <c r="G496" s="706">
        <v>44500</v>
      </c>
      <c r="H496" s="706">
        <v>44500</v>
      </c>
      <c r="I496" s="706">
        <v>44500</v>
      </c>
      <c r="J496" s="706">
        <v>44500</v>
      </c>
      <c r="K496" s="706">
        <v>44500</v>
      </c>
      <c r="L496" s="706">
        <v>44500</v>
      </c>
      <c r="M496" s="706">
        <v>-55500</v>
      </c>
      <c r="N496" s="706">
        <v>-55500</v>
      </c>
      <c r="O496" s="706">
        <v>-55500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G30040</v>
      </c>
      <c r="AK496" s="905" t="str">
        <f t="shared" si="49"/>
        <v>AVANCE REMARK. AUTO CANAD</v>
      </c>
      <c r="AL496" s="905">
        <f>IFERROR(INDEX(G496:R496,1,MATCH(Parametres!$B$3,G$1:R$1,0)-1)*IF(OR(F496="L",F496="S",F496="I"),-1,1),"")</f>
        <v>55500</v>
      </c>
      <c r="AM496" s="905">
        <f t="shared" si="44"/>
        <v>0</v>
      </c>
      <c r="AN496" s="905">
        <f>INDEX(G496:R496,1,MATCH(Parametres!$B$3,G$1:R$1,0))*IF(OR(F496="L",F496="S",F496="I"),-1,1)</f>
        <v>55500</v>
      </c>
      <c r="AO496" s="487" t="str">
        <f>+VLOOKUP($AJ496,Data_Validation!$A:$D,1,0)</f>
        <v>G30040</v>
      </c>
      <c r="AP496" s="487" t="str">
        <f>+VLOOKUP($AJ496,Data_Validation!$A:$D,3,0)</f>
        <v>Bilan</v>
      </c>
      <c r="AQ496" s="487" t="str">
        <f>+VLOOKUP($AJ496,Data_Validation!$A:$D,4,0)</f>
        <v>Payables Intercos</v>
      </c>
      <c r="AR496" s="487" t="s">
        <v>299</v>
      </c>
      <c r="AS496" s="487">
        <f>+VLOOKUP($AJ496,Data_Validation!$A:$E,5,0)</f>
        <v>0</v>
      </c>
      <c r="AT496" s="904" t="str">
        <f t="shared" si="45"/>
        <v>G30040</v>
      </c>
      <c r="AU496" s="488" t="str">
        <f t="shared" si="46"/>
        <v>AVANCE REMARK. AUTO CANAD</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hidden="1" customHeight="1">
      <c r="A497" s="706" t="s">
        <v>1148</v>
      </c>
      <c r="B497" s="706">
        <v>2026</v>
      </c>
      <c r="C497" s="706" t="s">
        <v>3326</v>
      </c>
      <c r="D497" s="706" t="s">
        <v>3327</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G30041</v>
      </c>
      <c r="AK497" s="905" t="str">
        <f t="shared" si="49"/>
        <v>AP VEH LOCATION LMB</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G30041</v>
      </c>
      <c r="AU497" s="488" t="str">
        <f t="shared" si="46"/>
        <v>AP VEH LOCATION LMB</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hidden="1" customHeight="1">
      <c r="A498" s="706" t="s">
        <v>1148</v>
      </c>
      <c r="B498" s="706">
        <v>2026</v>
      </c>
      <c r="C498" s="706" t="s">
        <v>2054</v>
      </c>
      <c r="D498" s="706" t="s">
        <v>2055</v>
      </c>
      <c r="E498" s="706" t="s">
        <v>333</v>
      </c>
      <c r="F498" s="706" t="s">
        <v>1135</v>
      </c>
      <c r="G498" s="706">
        <v>3562</v>
      </c>
      <c r="H498" s="706">
        <v>3562</v>
      </c>
      <c r="I498" s="706">
        <v>3562</v>
      </c>
      <c r="J498" s="706">
        <v>3562</v>
      </c>
      <c r="K498" s="706">
        <v>3562</v>
      </c>
      <c r="L498" s="706">
        <v>3562</v>
      </c>
      <c r="M498" s="706">
        <v>3562</v>
      </c>
      <c r="N498" s="706">
        <v>3562</v>
      </c>
      <c r="O498" s="706">
        <v>3562</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G30045</v>
      </c>
      <c r="AK498" s="905" t="str">
        <f t="shared" si="49"/>
        <v>AVANCE 9046-6640 QC INC</v>
      </c>
      <c r="AL498" s="905">
        <f>IFERROR(INDEX(G498:R498,1,MATCH(Parametres!$B$3,G$1:R$1,0)-1)*IF(OR(F498="L",F498="S",F498="I"),-1,1),"")</f>
        <v>-3562</v>
      </c>
      <c r="AM498" s="905">
        <f t="shared" si="44"/>
        <v>0</v>
      </c>
      <c r="AN498" s="905">
        <f>INDEX(G498:R498,1,MATCH(Parametres!$B$3,G$1:R$1,0))*IF(OR(F498="L",F498="S",F498="I"),-1,1)</f>
        <v>-3562</v>
      </c>
      <c r="AO498" s="487" t="str">
        <f>+VLOOKUP($AJ498,Data_Validation!$A:$D,1,0)</f>
        <v>G30045</v>
      </c>
      <c r="AP498" s="487" t="str">
        <f>+VLOOKUP($AJ498,Data_Validation!$A:$D,3,0)</f>
        <v>Bilan</v>
      </c>
      <c r="AQ498" s="487" t="str">
        <f>+VLOOKUP($AJ498,Data_Validation!$A:$D,4,0)</f>
        <v>Payables Intercos</v>
      </c>
      <c r="AR498" s="487" t="s">
        <v>299</v>
      </c>
      <c r="AS498" s="487">
        <f>+VLOOKUP($AJ498,Data_Validation!$A:$E,5,0)</f>
        <v>0</v>
      </c>
      <c r="AT498" s="904" t="str">
        <f t="shared" si="45"/>
        <v>G30045</v>
      </c>
      <c r="AU498" s="488" t="str">
        <f t="shared" si="46"/>
        <v>AVANCE 9046-6640 QC INC</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2056</v>
      </c>
      <c r="D499" s="706" t="s">
        <v>2057</v>
      </c>
      <c r="E499" s="706" t="s">
        <v>333</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G30046</v>
      </c>
      <c r="AK499" s="905" t="str">
        <f t="shared" si="49"/>
        <v>AVANCE HYUNDAI ST-CONSTAN</v>
      </c>
      <c r="AL499" s="905">
        <f>IFERROR(INDEX(G499:R499,1,MATCH(Parametres!$B$3,G$1:R$1,0)-1)*IF(OR(F499="L",F499="S",F499="I"),-1,1),"")</f>
        <v>0</v>
      </c>
      <c r="AM499" s="905">
        <f t="shared" si="44"/>
        <v>0</v>
      </c>
      <c r="AN499" s="905">
        <f>INDEX(G499:R499,1,MATCH(Parametres!$B$3,G$1:R$1,0))*IF(OR(F499="L",F499="S",F499="I"),-1,1)</f>
        <v>0</v>
      </c>
      <c r="AO499" s="487" t="str">
        <f>+VLOOKUP($AJ499,Data_Validation!$A:$D,1,0)</f>
        <v>G30046</v>
      </c>
      <c r="AP499" s="487" t="str">
        <f>+VLOOKUP($AJ499,Data_Validation!$A:$D,3,0)</f>
        <v>Bilan</v>
      </c>
      <c r="AQ499" s="487" t="str">
        <f>+VLOOKUP($AJ499,Data_Validation!$A:$D,4,0)</f>
        <v>Payables Intercos</v>
      </c>
      <c r="AR499" s="487" t="s">
        <v>299</v>
      </c>
      <c r="AS499" s="487">
        <f>+VLOOKUP($AJ499,Data_Validation!$A:$E,5,0)</f>
        <v>0</v>
      </c>
      <c r="AT499" s="904" t="str">
        <f t="shared" si="45"/>
        <v>G30046</v>
      </c>
      <c r="AU499" s="488" t="str">
        <f t="shared" si="46"/>
        <v>AVANCE HYUNDAI ST-CONSTAN</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2058</v>
      </c>
      <c r="D500" s="706" t="s">
        <v>2059</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G30047</v>
      </c>
      <c r="AK500" s="905" t="str">
        <f t="shared" si="49"/>
        <v>AVANCE - PAUL LOISELLE</v>
      </c>
      <c r="AL500" s="905">
        <f>IFERROR(INDEX(G500:R500,1,MATCH(Parametres!$B$3,G$1:R$1,0)-1)*IF(OR(F500="L",F500="S",F500="I"),-1,1),"")</f>
        <v>0</v>
      </c>
      <c r="AM500" s="905">
        <f t="shared" si="44"/>
        <v>0</v>
      </c>
      <c r="AN500" s="905">
        <f>INDEX(G500:R500,1,MATCH(Parametres!$B$3,G$1:R$1,0))*IF(OR(F500="L",F500="S",F500="I"),-1,1)</f>
        <v>0</v>
      </c>
      <c r="AO500" s="487" t="str">
        <f>+VLOOKUP($AJ500,Data_Validation!$A:$D,1,0)</f>
        <v>G30047</v>
      </c>
      <c r="AP500" s="487" t="str">
        <f>+VLOOKUP($AJ500,Data_Validation!$A:$D,3,0)</f>
        <v>Bilan</v>
      </c>
      <c r="AQ500" s="487" t="str">
        <f>+VLOOKUP($AJ500,Data_Validation!$A:$D,4,0)</f>
        <v>Payables Intercos</v>
      </c>
      <c r="AR500" s="487" t="s">
        <v>299</v>
      </c>
      <c r="AS500" s="487">
        <f>+VLOOKUP($AJ500,Data_Validation!$A:$E,5,0)</f>
        <v>0</v>
      </c>
      <c r="AT500" s="904" t="str">
        <f t="shared" si="45"/>
        <v>G30047</v>
      </c>
      <c r="AU500" s="488" t="str">
        <f t="shared" si="46"/>
        <v>AVANCE - PAUL LOISELLE</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2060</v>
      </c>
      <c r="D501" s="706" t="s">
        <v>2061</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G30048</v>
      </c>
      <c r="AK501" s="905" t="str">
        <f t="shared" si="49"/>
        <v>AVANCE LUC POIRIER</v>
      </c>
      <c r="AL501" s="905">
        <f>IFERROR(INDEX(G501:R501,1,MATCH(Parametres!$B$3,G$1:R$1,0)-1)*IF(OR(F501="L",F501="S",F501="I"),-1,1),"")</f>
        <v>0</v>
      </c>
      <c r="AM501" s="905">
        <f t="shared" si="44"/>
        <v>0</v>
      </c>
      <c r="AN501" s="905">
        <f>INDEX(G501:R501,1,MATCH(Parametres!$B$3,G$1:R$1,0))*IF(OR(F501="L",F501="S",F501="I"),-1,1)</f>
        <v>0</v>
      </c>
      <c r="AO501" s="487" t="str">
        <f>+VLOOKUP($AJ501,Data_Validation!$A:$D,1,0)</f>
        <v>G30048</v>
      </c>
      <c r="AP501" s="487">
        <f>+VLOOKUP($AJ501,Data_Validation!$A:$D,3,0)</f>
        <v>0</v>
      </c>
      <c r="AQ501" s="487">
        <f>+VLOOKUP($AJ501,Data_Validation!$A:$D,4,0)</f>
        <v>0</v>
      </c>
      <c r="AR501" s="487" t="s">
        <v>299</v>
      </c>
      <c r="AS501" s="487">
        <f>+VLOOKUP($AJ501,Data_Validation!$A:$E,5,0)</f>
        <v>0</v>
      </c>
      <c r="AT501" s="904" t="str">
        <f t="shared" si="45"/>
        <v>G30048</v>
      </c>
      <c r="AU501" s="488" t="str">
        <f t="shared" si="46"/>
        <v>AVANCE LUC POIRIER</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2062</v>
      </c>
      <c r="D502" s="706" t="s">
        <v>2063</v>
      </c>
      <c r="E502" s="706" t="s">
        <v>1141</v>
      </c>
      <c r="F502" s="706" t="s">
        <v>1135</v>
      </c>
      <c r="G502" s="706">
        <v>0</v>
      </c>
      <c r="H502" s="706">
        <v>0</v>
      </c>
      <c r="I502" s="706">
        <v>991</v>
      </c>
      <c r="J502" s="706">
        <v>991</v>
      </c>
      <c r="K502" s="706">
        <v>991</v>
      </c>
      <c r="L502" s="706">
        <v>991</v>
      </c>
      <c r="M502" s="706">
        <v>-93508.06</v>
      </c>
      <c r="N502" s="706">
        <v>-93508.06</v>
      </c>
      <c r="O502" s="706">
        <v>-93508.06</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G30050</v>
      </c>
      <c r="AK502" s="905" t="str">
        <f t="shared" si="49"/>
        <v>REVENUS DIFFERES</v>
      </c>
      <c r="AL502" s="905">
        <f>IFERROR(INDEX(G502:R502,1,MATCH(Parametres!$B$3,G$1:R$1,0)-1)*IF(OR(F502="L",F502="S",F502="I"),-1,1),"")</f>
        <v>93508.06</v>
      </c>
      <c r="AM502" s="905">
        <f t="shared" si="44"/>
        <v>0</v>
      </c>
      <c r="AN502" s="905">
        <f>INDEX(G502:R502,1,MATCH(Parametres!$B$3,G$1:R$1,0))*IF(OR(F502="L",F502="S",F502="I"),-1,1)</f>
        <v>93508.06</v>
      </c>
      <c r="AO502" s="487" t="str">
        <f>+VLOOKUP($AJ502,Data_Validation!$A:$D,1,0)</f>
        <v>G30050</v>
      </c>
      <c r="AP502" s="487" t="str">
        <f>+VLOOKUP($AJ502,Data_Validation!$A:$D,3,0)</f>
        <v>Bilan</v>
      </c>
      <c r="AQ502" s="487" t="str">
        <f>+VLOOKUP($AJ502,Data_Validation!$A:$D,4,0)</f>
        <v>Autres Courus</v>
      </c>
      <c r="AR502" s="487" t="s">
        <v>299</v>
      </c>
      <c r="AS502" s="487">
        <f>+VLOOKUP($AJ502,Data_Validation!$A:$E,5,0)</f>
        <v>0</v>
      </c>
      <c r="AT502" s="904" t="str">
        <f t="shared" si="45"/>
        <v>G30050</v>
      </c>
      <c r="AU502" s="488" t="str">
        <f t="shared" si="46"/>
        <v>REVENUS DIFFERES</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2064</v>
      </c>
      <c r="D503" s="706" t="s">
        <v>2065</v>
      </c>
      <c r="E503" s="706" t="s">
        <v>1141</v>
      </c>
      <c r="F503" s="706" t="s">
        <v>1135</v>
      </c>
      <c r="G503" s="706">
        <v>289413.49</v>
      </c>
      <c r="H503" s="706">
        <v>363152.12</v>
      </c>
      <c r="I503" s="706">
        <v>480330.18</v>
      </c>
      <c r="J503" s="706">
        <v>469909.63</v>
      </c>
      <c r="K503" s="706">
        <v>549896.92000000004</v>
      </c>
      <c r="L503" s="706">
        <v>611748.11</v>
      </c>
      <c r="M503" s="706">
        <v>664272.38</v>
      </c>
      <c r="N503" s="706">
        <v>676813.05</v>
      </c>
      <c r="O503" s="706">
        <v>677713.05</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G30051</v>
      </c>
      <c r="AK503" s="905" t="str">
        <f t="shared" si="49"/>
        <v>REVENUS DIFFERÉS II</v>
      </c>
      <c r="AL503" s="905">
        <f>IFERROR(INDEX(G503:R503,1,MATCH(Parametres!$B$3,G$1:R$1,0)-1)*IF(OR(F503="L",F503="S",F503="I"),-1,1),"")</f>
        <v>-664272.38</v>
      </c>
      <c r="AM503" s="905">
        <f t="shared" si="44"/>
        <v>-12540.670000000042</v>
      </c>
      <c r="AN503" s="905">
        <f>INDEX(G503:R503,1,MATCH(Parametres!$B$3,G$1:R$1,0))*IF(OR(F503="L",F503="S",F503="I"),-1,1)</f>
        <v>-676813.05</v>
      </c>
      <c r="AO503" s="487" t="str">
        <f>+VLOOKUP($AJ503,Data_Validation!$A:$D,1,0)</f>
        <v>G30051</v>
      </c>
      <c r="AP503" s="487" t="str">
        <f>+VLOOKUP($AJ503,Data_Validation!$A:$D,3,0)</f>
        <v>Bilan</v>
      </c>
      <c r="AQ503" s="487" t="str">
        <f>+VLOOKUP($AJ503,Data_Validation!$A:$D,4,0)</f>
        <v>Autres Courus</v>
      </c>
      <c r="AR503" s="487" t="s">
        <v>299</v>
      </c>
      <c r="AS503" s="487">
        <f>+VLOOKUP($AJ503,Data_Validation!$A:$E,5,0)</f>
        <v>0</v>
      </c>
      <c r="AT503" s="904" t="str">
        <f t="shared" si="45"/>
        <v>G30051</v>
      </c>
      <c r="AU503" s="488" t="str">
        <f t="shared" si="46"/>
        <v>REVENUS DIFFERÉS II</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2066</v>
      </c>
      <c r="D504" s="706" t="s">
        <v>2067</v>
      </c>
      <c r="E504" s="706" t="s">
        <v>333</v>
      </c>
      <c r="F504" s="706" t="s">
        <v>1135</v>
      </c>
      <c r="G504" s="706">
        <v>185658.82</v>
      </c>
      <c r="H504" s="706">
        <v>143527.18</v>
      </c>
      <c r="I504" s="706">
        <v>-83147.490000000005</v>
      </c>
      <c r="J504" s="706">
        <v>37749.65</v>
      </c>
      <c r="K504" s="706">
        <v>54764.9</v>
      </c>
      <c r="L504" s="706">
        <v>-112099.49</v>
      </c>
      <c r="M504" s="706">
        <v>-170929.61</v>
      </c>
      <c r="N504" s="706">
        <v>-128329.61</v>
      </c>
      <c r="O504" s="706">
        <v>-128329.61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G30055</v>
      </c>
      <c r="AK504" s="905" t="str">
        <f t="shared" si="49"/>
        <v>RESERVE US-GAMMA</v>
      </c>
      <c r="AL504" s="905">
        <f>IFERROR(INDEX(G504:R504,1,MATCH(Parametres!$B$3,G$1:R$1,0)-1)*IF(OR(F504="L",F504="S",F504="I"),-1,1),"")</f>
        <v>170929.61</v>
      </c>
      <c r="AM504" s="905">
        <f t="shared" si="44"/>
        <v>-42599.999999999985</v>
      </c>
      <c r="AN504" s="905">
        <f>INDEX(G504:R504,1,MATCH(Parametres!$B$3,G$1:R$1,0))*IF(OR(F504="L",F504="S",F504="I"),-1,1)</f>
        <v>128329.61</v>
      </c>
      <c r="AO504" s="487" t="str">
        <f>+VLOOKUP($AJ504,Data_Validation!$A:$D,1,0)</f>
        <v>G30055</v>
      </c>
      <c r="AP504" s="487" t="str">
        <f>+VLOOKUP($AJ504,Data_Validation!$A:$D,3,0)</f>
        <v>Bilan</v>
      </c>
      <c r="AQ504" s="487" t="str">
        <f>+VLOOKUP($AJ504,Data_Validation!$A:$D,4,0)</f>
        <v>Autres Courus</v>
      </c>
      <c r="AR504" s="487" t="s">
        <v>299</v>
      </c>
      <c r="AS504" s="487">
        <f>+VLOOKUP($AJ504,Data_Validation!$A:$E,5,0)</f>
        <v>0</v>
      </c>
      <c r="AT504" s="904" t="str">
        <f t="shared" si="45"/>
        <v>G30055</v>
      </c>
      <c r="AU504" s="488" t="str">
        <f t="shared" si="46"/>
        <v>RESERVE US-GAMMA</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2068</v>
      </c>
      <c r="D505" s="706" t="s">
        <v>2069</v>
      </c>
      <c r="E505" s="706" t="s">
        <v>333</v>
      </c>
      <c r="F505" s="706" t="s">
        <v>1135</v>
      </c>
      <c r="G505" s="706">
        <v>2000000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G30070</v>
      </c>
      <c r="AK505" s="905" t="str">
        <f t="shared" si="49"/>
        <v>AVANCES HAWKSBERY CHEV</v>
      </c>
      <c r="AL505" s="905">
        <f>IFERROR(INDEX(G505:R505,1,MATCH(Parametres!$B$3,G$1:R$1,0)-1)*IF(OR(F505="L",F505="S",F505="I"),-1,1),"")</f>
        <v>0</v>
      </c>
      <c r="AM505" s="905">
        <f t="shared" si="44"/>
        <v>0</v>
      </c>
      <c r="AN505" s="905">
        <f>INDEX(G505:R505,1,MATCH(Parametres!$B$3,G$1:R$1,0))*IF(OR(F505="L",F505="S",F505="I"),-1,1)</f>
        <v>0</v>
      </c>
      <c r="AO505" s="487" t="str">
        <f>+VLOOKUP($AJ505,Data_Validation!$A:$D,1,0)</f>
        <v>G30070</v>
      </c>
      <c r="AP505" s="487" t="str">
        <f>+VLOOKUP($AJ505,Data_Validation!$A:$D,3,0)</f>
        <v>Bilan</v>
      </c>
      <c r="AQ505" s="487" t="str">
        <f>+VLOOKUP($AJ505,Data_Validation!$A:$D,4,0)</f>
        <v>Payables Intercos</v>
      </c>
      <c r="AR505" s="487" t="s">
        <v>299</v>
      </c>
      <c r="AS505" s="487">
        <f>+VLOOKUP($AJ505,Data_Validation!$A:$E,5,0)</f>
        <v>0</v>
      </c>
      <c r="AT505" s="904" t="str">
        <f t="shared" si="45"/>
        <v>G30070</v>
      </c>
      <c r="AU505" s="488" t="str">
        <f t="shared" si="46"/>
        <v>AVANCES HAWKSBERY CHEV</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2070</v>
      </c>
      <c r="D506" s="706" t="s">
        <v>2071</v>
      </c>
      <c r="E506" s="706" t="s">
        <v>333</v>
      </c>
      <c r="F506" s="706" t="s">
        <v>1135</v>
      </c>
      <c r="G506" s="706">
        <v>-3367687.77</v>
      </c>
      <c r="H506" s="706">
        <v>-3367687.77</v>
      </c>
      <c r="I506" s="706">
        <v>-3317687.77</v>
      </c>
      <c r="J506" s="706">
        <v>-3317687.77</v>
      </c>
      <c r="K506" s="706">
        <v>-3317687.77</v>
      </c>
      <c r="L506" s="706">
        <v>-4117687.77</v>
      </c>
      <c r="M506" s="706">
        <v>6239782</v>
      </c>
      <c r="N506" s="706">
        <v>6239782</v>
      </c>
      <c r="O506" s="706">
        <v>6239782</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G30080</v>
      </c>
      <c r="AK506" s="905" t="str">
        <f t="shared" si="49"/>
        <v>AVANCES 13721515 CANADA I</v>
      </c>
      <c r="AL506" s="905">
        <f>IFERROR(INDEX(G506:R506,1,MATCH(Parametres!$B$3,G$1:R$1,0)-1)*IF(OR(F506="L",F506="S",F506="I"),-1,1),"")</f>
        <v>-6239782</v>
      </c>
      <c r="AM506" s="905">
        <f t="shared" si="44"/>
        <v>0</v>
      </c>
      <c r="AN506" s="905">
        <f>INDEX(G506:R506,1,MATCH(Parametres!$B$3,G$1:R$1,0))*IF(OR(F506="L",F506="S",F506="I"),-1,1)</f>
        <v>-6239782</v>
      </c>
      <c r="AO506" s="487" t="str">
        <f>+VLOOKUP($AJ506,Data_Validation!$A:$D,1,0)</f>
        <v>G30080</v>
      </c>
      <c r="AP506" s="487" t="str">
        <f>+VLOOKUP($AJ506,Data_Validation!$A:$D,3,0)</f>
        <v>Bilan</v>
      </c>
      <c r="AQ506" s="487" t="str">
        <f>+VLOOKUP($AJ506,Data_Validation!$A:$D,4,0)</f>
        <v>Payables Intercos</v>
      </c>
      <c r="AR506" s="487" t="s">
        <v>299</v>
      </c>
      <c r="AS506" s="487">
        <f>+VLOOKUP($AJ506,Data_Validation!$A:$E,5,0)</f>
        <v>0</v>
      </c>
      <c r="AT506" s="904" t="str">
        <f t="shared" si="45"/>
        <v>G30080</v>
      </c>
      <c r="AU506" s="488" t="str">
        <f t="shared" si="46"/>
        <v>AVANCES 13721515 CANADA 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2072</v>
      </c>
      <c r="D507" s="706" t="s">
        <v>2073</v>
      </c>
      <c r="E507" s="706" t="s">
        <v>333</v>
      </c>
      <c r="F507" s="706" t="s">
        <v>1135</v>
      </c>
      <c r="G507" s="706">
        <v>181477.75</v>
      </c>
      <c r="H507" s="706">
        <v>181477.75</v>
      </c>
      <c r="I507" s="706">
        <v>180282.01</v>
      </c>
      <c r="J507" s="706">
        <v>180282.01</v>
      </c>
      <c r="K507" s="706">
        <v>180282.01</v>
      </c>
      <c r="L507" s="706">
        <v>180282.01</v>
      </c>
      <c r="M507" s="706">
        <v>180282.01</v>
      </c>
      <c r="N507" s="706">
        <v>180282.01</v>
      </c>
      <c r="O507" s="706">
        <v>180282.01</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G30090</v>
      </c>
      <c r="AK507" s="905" t="str">
        <f t="shared" si="49"/>
        <v>AVANCES 9512-1703 QC</v>
      </c>
      <c r="AL507" s="905">
        <f>IFERROR(INDEX(G507:R507,1,MATCH(Parametres!$B$3,G$1:R$1,0)-1)*IF(OR(F507="L",F507="S",F507="I"),-1,1),"")</f>
        <v>-180282.01</v>
      </c>
      <c r="AM507" s="905">
        <f t="shared" si="44"/>
        <v>0</v>
      </c>
      <c r="AN507" s="905">
        <f>INDEX(G507:R507,1,MATCH(Parametres!$B$3,G$1:R$1,0))*IF(OR(F507="L",F507="S",F507="I"),-1,1)</f>
        <v>-180282.01</v>
      </c>
      <c r="AO507" s="487" t="str">
        <f>+VLOOKUP($AJ507,Data_Validation!$A:$D,1,0)</f>
        <v>G30090</v>
      </c>
      <c r="AP507" s="487" t="str">
        <f>+VLOOKUP($AJ507,Data_Validation!$A:$D,3,0)</f>
        <v>Bilan</v>
      </c>
      <c r="AQ507" s="487" t="str">
        <f>+VLOOKUP($AJ507,Data_Validation!$A:$D,4,0)</f>
        <v>Payables Intercos</v>
      </c>
      <c r="AR507" s="487" t="s">
        <v>299</v>
      </c>
      <c r="AS507" s="487">
        <f>+VLOOKUP($AJ507,Data_Validation!$A:$E,5,0)</f>
        <v>0</v>
      </c>
      <c r="AT507" s="904" t="str">
        <f t="shared" si="45"/>
        <v>G30090</v>
      </c>
      <c r="AU507" s="488" t="str">
        <f t="shared" si="46"/>
        <v>AVANCES 9512-1703 QC</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2074</v>
      </c>
      <c r="D508" s="706" t="s">
        <v>2075</v>
      </c>
      <c r="E508" s="706" t="s">
        <v>333</v>
      </c>
      <c r="F508" s="706" t="s">
        <v>1135</v>
      </c>
      <c r="G508" s="706">
        <v>0</v>
      </c>
      <c r="H508" s="706">
        <v>0</v>
      </c>
      <c r="I508" s="706">
        <v>4936149</v>
      </c>
      <c r="J508" s="706">
        <v>4904017</v>
      </c>
      <c r="K508" s="706">
        <v>4871744</v>
      </c>
      <c r="L508" s="706">
        <v>4839332</v>
      </c>
      <c r="M508" s="706">
        <v>4806780</v>
      </c>
      <c r="N508" s="706">
        <v>4806780</v>
      </c>
      <c r="O508" s="706">
        <v>4806780</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G30095</v>
      </c>
      <c r="AK508" s="905" t="str">
        <f t="shared" si="49"/>
        <v>PRET BANQUE TD</v>
      </c>
      <c r="AL508" s="905">
        <f>IFERROR(INDEX(G508:R508,1,MATCH(Parametres!$B$3,G$1:R$1,0)-1)*IF(OR(F508="L",F508="S",F508="I"),-1,1),"")</f>
        <v>-4806780</v>
      </c>
      <c r="AM508" s="905">
        <f t="shared" si="44"/>
        <v>0</v>
      </c>
      <c r="AN508" s="905">
        <f>INDEX(G508:R508,1,MATCH(Parametres!$B$3,G$1:R$1,0))*IF(OR(F508="L",F508="S",F508="I"),-1,1)</f>
        <v>-4806780</v>
      </c>
      <c r="AO508" s="487" t="str">
        <f>+VLOOKUP($AJ508,Data_Validation!$A:$D,1,0)</f>
        <v>G30095</v>
      </c>
      <c r="AP508" s="487" t="str">
        <f>+VLOOKUP($AJ508,Data_Validation!$A:$D,3,0)</f>
        <v>Bilan</v>
      </c>
      <c r="AQ508" s="487" t="str">
        <f>+VLOOKUP($AJ508,Data_Validation!$A:$D,4,0)</f>
        <v>Dette à Long terme</v>
      </c>
      <c r="AR508" s="487" t="s">
        <v>299</v>
      </c>
      <c r="AS508" s="487">
        <f>+VLOOKUP($AJ508,Data_Validation!$A:$E,5,0)</f>
        <v>0</v>
      </c>
      <c r="AT508" s="904" t="str">
        <f t="shared" si="45"/>
        <v>G30095</v>
      </c>
      <c r="AU508" s="488" t="str">
        <f t="shared" si="46"/>
        <v>PRET BANQUE TD</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2076</v>
      </c>
      <c r="D509" s="706" t="s">
        <v>2077</v>
      </c>
      <c r="E509" s="706" t="s">
        <v>1142</v>
      </c>
      <c r="F509" s="706" t="s">
        <v>1135</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G30100</v>
      </c>
      <c r="AK509" s="905" t="str">
        <f t="shared" si="49"/>
        <v>DEPOT CLIENTS</v>
      </c>
      <c r="AL509" s="905">
        <f>IFERROR(INDEX(G509:R509,1,MATCH(Parametres!$B$3,G$1:R$1,0)-1)*IF(OR(F509="L",F509="S",F509="I"),-1,1),"")</f>
        <v>0</v>
      </c>
      <c r="AM509" s="905">
        <f t="shared" si="44"/>
        <v>0</v>
      </c>
      <c r="AN509" s="905">
        <f>INDEX(G509:R509,1,MATCH(Parametres!$B$3,G$1:R$1,0))*IF(OR(F509="L",F509="S",F509="I"),-1,1)</f>
        <v>0</v>
      </c>
      <c r="AO509" s="487" t="e">
        <f>+VLOOKUP($AJ509,Data_Validation!$A:$D,1,0)</f>
        <v>#N/A</v>
      </c>
      <c r="AP509" s="487" t="e">
        <f>+VLOOKUP($AJ509,Data_Validation!$A:$D,3,0)</f>
        <v>#N/A</v>
      </c>
      <c r="AQ509" s="487" t="e">
        <f>+VLOOKUP($AJ509,Data_Validation!$A:$D,4,0)</f>
        <v>#N/A</v>
      </c>
      <c r="AR509" s="487" t="s">
        <v>299</v>
      </c>
      <c r="AS509" s="487" t="e">
        <f>+VLOOKUP($AJ509,Data_Validation!$A:$E,5,0)</f>
        <v>#N/A</v>
      </c>
      <c r="AT509" s="904" t="str">
        <f t="shared" si="45"/>
        <v>G30100</v>
      </c>
      <c r="AU509" s="488" t="str">
        <f t="shared" si="46"/>
        <v>DEPOT CLIENTS</v>
      </c>
      <c r="AV509" s="899">
        <f>IFERROR(INDEX(V509:AG509,1,MATCH(Parametres!$B$3,V$1:AG$1,0)-1)*IF(OR(C509="L",C509="S",C509="I"),-1,1),"")</f>
        <v>0</v>
      </c>
      <c r="AW509" s="899">
        <f t="shared" si="47"/>
        <v>0</v>
      </c>
      <c r="AX509" s="899">
        <f>INDEX(V509:AG509,1,MATCH(Parametres!$B$3,V$1:AG$1,0))*IF(OR(C509="L",C509="S",C509="I"),-1,1)</f>
        <v>0</v>
      </c>
      <c r="AY509" s="487" t="s">
        <v>337</v>
      </c>
      <c r="AZ509" s="487" t="e">
        <f>+VLOOKUP($AJ509,Data_Validation!$A:$E,5,0)</f>
        <v>#N/A</v>
      </c>
    </row>
    <row r="510" spans="1:52" ht="15" hidden="1" customHeight="1">
      <c r="A510" s="706" t="s">
        <v>1148</v>
      </c>
      <c r="B510" s="706">
        <v>2026</v>
      </c>
      <c r="C510" s="706" t="s">
        <v>2078</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G30300</v>
      </c>
      <c r="AK510" s="905" t="str">
        <f t="shared" si="49"/>
        <v>DEPOT CLIENTS</v>
      </c>
      <c r="AL510" s="905">
        <f>IFERROR(INDEX(G510:R510,1,MATCH(Parametres!$B$3,G$1:R$1,0)-1)*IF(OR(F510="L",F510="S",F510="I"),-1,1),"")</f>
        <v>0</v>
      </c>
      <c r="AM510" s="905">
        <f t="shared" si="44"/>
        <v>0</v>
      </c>
      <c r="AN510" s="905">
        <f>INDEX(G510:R510,1,MATCH(Parametres!$B$3,G$1:R$1,0))*IF(OR(F510="L",F510="S",F510="I"),-1,1)</f>
        <v>0</v>
      </c>
      <c r="AO510" s="487" t="str">
        <f>+VLOOKUP($AJ510,Data_Validation!$A:$D,1,0)</f>
        <v>G30300</v>
      </c>
      <c r="AP510" s="487" t="str">
        <f>+VLOOKUP($AJ510,Data_Validation!$A:$D,3,0)</f>
        <v>Bilan</v>
      </c>
      <c r="AQ510" s="487" t="str">
        <f>+VLOOKUP($AJ510,Data_Validation!$A:$D,4,0)</f>
        <v>Dépôts de Client</v>
      </c>
      <c r="AR510" s="487" t="s">
        <v>299</v>
      </c>
      <c r="AS510" s="487">
        <f>+VLOOKUP($AJ510,Data_Validation!$A:$E,5,0)</f>
        <v>0</v>
      </c>
      <c r="AT510" s="904" t="str">
        <f t="shared" si="45"/>
        <v>G30300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2079</v>
      </c>
      <c r="D511" s="706" t="s">
        <v>2080</v>
      </c>
      <c r="E511" s="706" t="s">
        <v>1145</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G30900</v>
      </c>
      <c r="AK511" s="905" t="str">
        <f t="shared" si="49"/>
        <v>EFFETS A PAYER POINDS MOY</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G30900</v>
      </c>
      <c r="AU511" s="488" t="str">
        <f t="shared" si="46"/>
        <v>EFFETS A PAYER POINDS MOY</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hidden="1" customHeight="1">
      <c r="A512" s="706" t="s">
        <v>1148</v>
      </c>
      <c r="B512" s="706">
        <v>2026</v>
      </c>
      <c r="C512" s="706" t="s">
        <v>2081</v>
      </c>
      <c r="D512" s="706" t="s">
        <v>2082</v>
      </c>
      <c r="E512" s="706" t="s">
        <v>1145</v>
      </c>
      <c r="F512" s="706" t="s">
        <v>1135</v>
      </c>
      <c r="G512" s="706">
        <v>35475226.490000002</v>
      </c>
      <c r="H512" s="706">
        <v>33617704.479999997</v>
      </c>
      <c r="I512" s="706">
        <v>38478809.700000003</v>
      </c>
      <c r="J512" s="706">
        <v>30592851.460000001</v>
      </c>
      <c r="K512" s="706">
        <v>31086026.609999999</v>
      </c>
      <c r="L512" s="706">
        <v>23163491.899999999</v>
      </c>
      <c r="M512" s="706">
        <v>20123396.530000001</v>
      </c>
      <c r="N512" s="706">
        <v>18499886.030000001</v>
      </c>
      <c r="O512" s="706">
        <v>18550869.809999999</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G31000</v>
      </c>
      <c r="AK512" s="905" t="str">
        <f t="shared" si="49"/>
        <v>EFFETS A PAYER VEHICULES</v>
      </c>
      <c r="AL512" s="905">
        <f>IFERROR(INDEX(G512:R512,1,MATCH(Parametres!$B$3,G$1:R$1,0)-1)*IF(OR(F512="L",F512="S",F512="I"),-1,1),"")</f>
        <v>-20123396.530000001</v>
      </c>
      <c r="AM512" s="905">
        <f t="shared" si="44"/>
        <v>1623510.5</v>
      </c>
      <c r="AN512" s="905">
        <f>INDEX(G512:R512,1,MATCH(Parametres!$B$3,G$1:R$1,0))*IF(OR(F512="L",F512="S",F512="I"),-1,1)</f>
        <v>-18499886.030000001</v>
      </c>
      <c r="AO512" s="487" t="str">
        <f>+VLOOKUP($AJ512,Data_Validation!$A:$D,1,0)</f>
        <v>G31000</v>
      </c>
      <c r="AP512" s="487" t="str">
        <f>+VLOOKUP($AJ512,Data_Validation!$A:$D,3,0)</f>
        <v>Bilan</v>
      </c>
      <c r="AQ512" s="487" t="str">
        <f>+VLOOKUP($AJ512,Data_Validation!$A:$D,4,0)</f>
        <v>Effet à Payer Véhicules Neufs</v>
      </c>
      <c r="AR512" s="487" t="s">
        <v>299</v>
      </c>
      <c r="AS512" s="487">
        <f>+VLOOKUP($AJ512,Data_Validation!$A:$E,5,0)</f>
        <v>0</v>
      </c>
      <c r="AT512" s="904" t="str">
        <f t="shared" si="45"/>
        <v>G31000</v>
      </c>
      <c r="AU512" s="488" t="str">
        <f t="shared" si="46"/>
        <v>EFFETS A PAYER VEHICULES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2083</v>
      </c>
      <c r="D513" s="706" t="s">
        <v>2084</v>
      </c>
      <c r="E513" s="706" t="s">
        <v>1145</v>
      </c>
      <c r="F513" s="706" t="s">
        <v>1135</v>
      </c>
      <c r="G513" s="706">
        <v>22521503.649999999</v>
      </c>
      <c r="H513" s="706">
        <v>18148455.949999999</v>
      </c>
      <c r="I513" s="706">
        <v>19683759.649999999</v>
      </c>
      <c r="J513" s="706">
        <v>18909452.829999998</v>
      </c>
      <c r="K513" s="706">
        <v>16711712.949999999</v>
      </c>
      <c r="L513" s="706">
        <v>10228910.720000001</v>
      </c>
      <c r="M513" s="706">
        <v>9596441.6199999992</v>
      </c>
      <c r="N513" s="706">
        <v>4929930.25</v>
      </c>
      <c r="O513" s="706">
        <v>4415372.12</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G31100</v>
      </c>
      <c r="AK513" s="905" t="str">
        <f t="shared" si="49"/>
        <v>EFFETS PAYER VEH. OCC.</v>
      </c>
      <c r="AL513" s="905">
        <f>IFERROR(INDEX(G513:R513,1,MATCH(Parametres!$B$3,G$1:R$1,0)-1)*IF(OR(F513="L",F513="S",F513="I"),-1,1),"")</f>
        <v>-9596441.6199999992</v>
      </c>
      <c r="AM513" s="905">
        <f t="shared" si="44"/>
        <v>4666511.3699999992</v>
      </c>
      <c r="AN513" s="905">
        <f>INDEX(G513:R513,1,MATCH(Parametres!$B$3,G$1:R$1,0))*IF(OR(F513="L",F513="S",F513="I"),-1,1)</f>
        <v>-4929930.25</v>
      </c>
      <c r="AO513" s="487" t="str">
        <f>+VLOOKUP($AJ513,Data_Validation!$A:$D,1,0)</f>
        <v>G31100</v>
      </c>
      <c r="AP513" s="487" t="str">
        <f>+VLOOKUP($AJ513,Data_Validation!$A:$D,3,0)</f>
        <v>Bilan</v>
      </c>
      <c r="AQ513" s="487" t="str">
        <f>+VLOOKUP($AJ513,Data_Validation!$A:$D,4,0)</f>
        <v>Effet à Payer Véhicules Usagés</v>
      </c>
      <c r="AR513" s="487" t="s">
        <v>299</v>
      </c>
      <c r="AS513" s="487">
        <f>+VLOOKUP($AJ513,Data_Validation!$A:$E,5,0)</f>
        <v>0</v>
      </c>
      <c r="AT513" s="904" t="str">
        <f t="shared" si="45"/>
        <v>G31100</v>
      </c>
      <c r="AU513" s="488" t="str">
        <f t="shared" si="46"/>
        <v>EFFETS PAYER VEH. OCC.</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2085</v>
      </c>
      <c r="D514" s="706" t="s">
        <v>2086</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G31200</v>
      </c>
      <c r="AK514" s="905" t="str">
        <f t="shared" si="49"/>
        <v>A/P VEHICULES LOCATIONS</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G31200</v>
      </c>
      <c r="AU514" s="488" t="str">
        <f t="shared" si="46"/>
        <v>A/P VEHICULES LOCATIONS</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hidden="1" customHeight="1">
      <c r="A515" s="706" t="s">
        <v>1148</v>
      </c>
      <c r="B515" s="706">
        <v>2026</v>
      </c>
      <c r="C515" s="706" t="s">
        <v>2087</v>
      </c>
      <c r="D515" s="706" t="s">
        <v>1144</v>
      </c>
      <c r="E515" s="706" t="s">
        <v>333</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G31400</v>
      </c>
      <c r="AK515" s="905" t="str">
        <f t="shared" si="49"/>
        <v>MARGE DE CREDIT</v>
      </c>
      <c r="AL515" s="905">
        <f>IFERROR(INDEX(G515:R515,1,MATCH(Parametres!$B$3,G$1:R$1,0)-1)*IF(OR(F515="L",F515="S",F515="I"),-1,1),"")</f>
        <v>0</v>
      </c>
      <c r="AM515" s="905">
        <f t="shared" si="44"/>
        <v>0</v>
      </c>
      <c r="AN515" s="905">
        <f>INDEX(G515:R515,1,MATCH(Parametres!$B$3,G$1:R$1,0))*IF(OR(F515="L",F515="S",F515="I"),-1,1)</f>
        <v>0</v>
      </c>
      <c r="AO515" s="487" t="str">
        <f>+VLOOKUP($AJ515,Data_Validation!$A:$D,1,0)</f>
        <v>G31400</v>
      </c>
      <c r="AP515" s="487">
        <f>+VLOOKUP($AJ515,Data_Validation!$A:$D,3,0)</f>
        <v>0</v>
      </c>
      <c r="AQ515" s="487">
        <f>+VLOOKUP($AJ515,Data_Validation!$A:$D,4,0)</f>
        <v>0</v>
      </c>
      <c r="AR515" s="487" t="s">
        <v>299</v>
      </c>
      <c r="AS515" s="487">
        <f>+VLOOKUP($AJ515,Data_Validation!$A:$E,5,0)</f>
        <v>0</v>
      </c>
      <c r="AT515" s="904" t="str">
        <f t="shared" si="45"/>
        <v>G31400</v>
      </c>
      <c r="AU515" s="488" t="str">
        <f t="shared" si="46"/>
        <v>MARGE DE CREDIT</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hidden="1" customHeight="1">
      <c r="A516" s="706" t="s">
        <v>1148</v>
      </c>
      <c r="B516" s="706">
        <v>2026</v>
      </c>
      <c r="C516" s="706" t="s">
        <v>2088</v>
      </c>
      <c r="D516" s="706" t="s">
        <v>2089</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G31500</v>
      </c>
      <c r="AK516" s="905" t="str">
        <f t="shared" si="49"/>
        <v>T.P.S. PAYABLE</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G31500</v>
      </c>
      <c r="AU516" s="488" t="str">
        <f t="shared" ref="AU516:AU579" si="52">D516</f>
        <v>T.P.S. PAYABLE</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hidden="1" customHeight="1">
      <c r="A517" s="706" t="s">
        <v>1148</v>
      </c>
      <c r="B517" s="706">
        <v>2026</v>
      </c>
      <c r="C517" s="706" t="s">
        <v>2090</v>
      </c>
      <c r="D517" s="706" t="s">
        <v>2091</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G32000</v>
      </c>
      <c r="AK517" s="905" t="str">
        <f t="shared" si="49"/>
        <v>INTERETS A/P</v>
      </c>
      <c r="AL517" s="905">
        <f>IFERROR(INDEX(G517:R517,1,MATCH(Parametres!$B$3,G$1:R$1,0)-1)*IF(OR(F517="L",F517="S",F517="I"),-1,1),"")</f>
        <v>0</v>
      </c>
      <c r="AM517" s="905">
        <f t="shared" si="50"/>
        <v>0</v>
      </c>
      <c r="AN517" s="905">
        <f>INDEX(G517:R517,1,MATCH(Parametres!$B$3,G$1:R$1,0))*IF(OR(F517="L",F517="S",F517="I"),-1,1)</f>
        <v>0</v>
      </c>
      <c r="AO517" s="487" t="str">
        <f>+VLOOKUP($AJ517,Data_Validation!$A:$D,1,0)</f>
        <v>G32000</v>
      </c>
      <c r="AP517" s="487">
        <f>+VLOOKUP($AJ517,Data_Validation!$A:$D,3,0)</f>
        <v>0</v>
      </c>
      <c r="AQ517" s="487">
        <f>+VLOOKUP($AJ517,Data_Validation!$A:$D,4,0)</f>
        <v>0</v>
      </c>
      <c r="AR517" s="487" t="s">
        <v>299</v>
      </c>
      <c r="AS517" s="487">
        <f>+VLOOKUP($AJ517,Data_Validation!$A:$E,5,0)</f>
        <v>0</v>
      </c>
      <c r="AT517" s="904" t="str">
        <f t="shared" si="51"/>
        <v>G32000</v>
      </c>
      <c r="AU517" s="488" t="str">
        <f t="shared" si="52"/>
        <v>INTERETS A/P</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2092</v>
      </c>
      <c r="D518" s="706" t="s">
        <v>2093</v>
      </c>
      <c r="E518" s="706" t="s">
        <v>333</v>
      </c>
      <c r="F518" s="706" t="s">
        <v>1135</v>
      </c>
      <c r="G518" s="706">
        <v>1062.8</v>
      </c>
      <c r="H518" s="706">
        <v>-3391.68</v>
      </c>
      <c r="I518" s="706">
        <v>-8059.88</v>
      </c>
      <c r="J518" s="706">
        <v>-13546.82</v>
      </c>
      <c r="K518" s="706">
        <v>-18067.68</v>
      </c>
      <c r="L518" s="706">
        <v>-25209.439999999999</v>
      </c>
      <c r="M518" s="706">
        <v>-31301.25</v>
      </c>
      <c r="N518" s="706">
        <v>-35000.910000000003</v>
      </c>
      <c r="O518" s="706">
        <v>-35000.910000000003</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G3210A</v>
      </c>
      <c r="AK518" s="905" t="str">
        <f t="shared" si="49"/>
        <v>ASS-COLLECTIVE A PAYER</v>
      </c>
      <c r="AL518" s="905">
        <f>IFERROR(INDEX(G518:R518,1,MATCH(Parametres!$B$3,G$1:R$1,0)-1)*IF(OR(F518="L",F518="S",F518="I"),-1,1),"")</f>
        <v>31301.25</v>
      </c>
      <c r="AM518" s="905">
        <f t="shared" si="50"/>
        <v>3699.6600000000035</v>
      </c>
      <c r="AN518" s="905">
        <f>INDEX(G518:R518,1,MATCH(Parametres!$B$3,G$1:R$1,0))*IF(OR(F518="L",F518="S",F518="I"),-1,1)</f>
        <v>35000.910000000003</v>
      </c>
      <c r="AO518" s="487" t="str">
        <f>+VLOOKUP($AJ518,Data_Validation!$A:$D,1,0)</f>
        <v>G3210A</v>
      </c>
      <c r="AP518" s="487" t="str">
        <f>+VLOOKUP($AJ518,Data_Validation!$A:$D,3,0)</f>
        <v>Bilan</v>
      </c>
      <c r="AQ518" s="487" t="str">
        <f>+VLOOKUP($AJ518,Data_Validation!$A:$D,4,0)</f>
        <v>DAS à Payer</v>
      </c>
      <c r="AR518" s="487" t="s">
        <v>299</v>
      </c>
      <c r="AS518" s="487">
        <f>+VLOOKUP($AJ518,Data_Validation!$A:$E,5,0)</f>
        <v>0</v>
      </c>
      <c r="AT518" s="904" t="str">
        <f t="shared" si="51"/>
        <v>G3210A</v>
      </c>
      <c r="AU518" s="488" t="str">
        <f t="shared" si="52"/>
        <v>ASS-COLLECTIVE A PAYER</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2094</v>
      </c>
      <c r="D519" s="706" t="s">
        <v>2095</v>
      </c>
      <c r="E519" s="706" t="s">
        <v>333</v>
      </c>
      <c r="F519" s="706" t="s">
        <v>1135</v>
      </c>
      <c r="G519" s="706">
        <v>103371.93</v>
      </c>
      <c r="H519" s="706">
        <v>94570.17</v>
      </c>
      <c r="I519" s="706">
        <v>128176.38</v>
      </c>
      <c r="J519" s="706">
        <v>187289.28</v>
      </c>
      <c r="K519" s="706">
        <v>11018.44</v>
      </c>
      <c r="L519" s="706">
        <v>40919.129999999997</v>
      </c>
      <c r="M519" s="706">
        <v>88052.58</v>
      </c>
      <c r="N519" s="706">
        <v>10337.64</v>
      </c>
      <c r="O519" s="706">
        <v>10337.64</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G32100</v>
      </c>
      <c r="AK519" s="905" t="str">
        <f t="shared" si="49"/>
        <v>SALAIRES &amp; COMM. A PAYER</v>
      </c>
      <c r="AL519" s="905">
        <f>IFERROR(INDEX(G519:R519,1,MATCH(Parametres!$B$3,G$1:R$1,0)-1)*IF(OR(F519="L",F519="S",F519="I"),-1,1),"")</f>
        <v>-88052.58</v>
      </c>
      <c r="AM519" s="905">
        <f t="shared" si="50"/>
        <v>77714.94</v>
      </c>
      <c r="AN519" s="905">
        <f>INDEX(G519:R519,1,MATCH(Parametres!$B$3,G$1:R$1,0))*IF(OR(F519="L",F519="S",F519="I"),-1,1)</f>
        <v>-10337.64</v>
      </c>
      <c r="AO519" s="487" t="str">
        <f>+VLOOKUP($AJ519,Data_Validation!$A:$D,1,0)</f>
        <v>G32100</v>
      </c>
      <c r="AP519" s="487" t="str">
        <f>+VLOOKUP($AJ519,Data_Validation!$A:$D,3,0)</f>
        <v>Bilan</v>
      </c>
      <c r="AQ519" s="487" t="str">
        <f>+VLOOKUP($AJ519,Data_Validation!$A:$D,4,0)</f>
        <v>Salaires à Payer</v>
      </c>
      <c r="AR519" s="487" t="s">
        <v>299</v>
      </c>
      <c r="AS519" s="487">
        <f>+VLOOKUP($AJ519,Data_Validation!$A:$E,5,0)</f>
        <v>0</v>
      </c>
      <c r="AT519" s="904" t="str">
        <f t="shared" si="51"/>
        <v>G32100</v>
      </c>
      <c r="AU519" s="488" t="str">
        <f t="shared" si="52"/>
        <v>SALAIRES &amp; COMM.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2096</v>
      </c>
      <c r="D520" s="706" t="s">
        <v>2097</v>
      </c>
      <c r="E520" s="706" t="s">
        <v>1146</v>
      </c>
      <c r="F520" s="706" t="s">
        <v>1135</v>
      </c>
      <c r="G520" s="706">
        <v>8276.27</v>
      </c>
      <c r="H520" s="706">
        <v>18492.98</v>
      </c>
      <c r="I520" s="706">
        <v>55868.2</v>
      </c>
      <c r="J520" s="706">
        <v>95443.83</v>
      </c>
      <c r="K520" s="706">
        <v>14169.42</v>
      </c>
      <c r="L520" s="706">
        <v>23654.52</v>
      </c>
      <c r="M520" s="706">
        <v>18493.990000000002</v>
      </c>
      <c r="N520" s="706">
        <v>3038.67</v>
      </c>
      <c r="O520" s="706">
        <v>3038.67</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G32101</v>
      </c>
      <c r="AK520" s="905" t="str">
        <f t="shared" si="49"/>
        <v>COMMISSIONS A PAYER</v>
      </c>
      <c r="AL520" s="905">
        <f>IFERROR(INDEX(G520:R520,1,MATCH(Parametres!$B$3,G$1:R$1,0)-1)*IF(OR(F520="L",F520="S",F520="I"),-1,1),"")</f>
        <v>-18493.990000000002</v>
      </c>
      <c r="AM520" s="905">
        <f t="shared" si="50"/>
        <v>15455.320000000002</v>
      </c>
      <c r="AN520" s="905">
        <f>INDEX(G520:R520,1,MATCH(Parametres!$B$3,G$1:R$1,0))*IF(OR(F520="L",F520="S",F520="I"),-1,1)</f>
        <v>-3038.67</v>
      </c>
      <c r="AO520" s="487" t="str">
        <f>+VLOOKUP($AJ520,Data_Validation!$A:$D,1,0)</f>
        <v>G32101</v>
      </c>
      <c r="AP520" s="487" t="str">
        <f>+VLOOKUP($AJ520,Data_Validation!$A:$D,3,0)</f>
        <v>Bilan</v>
      </c>
      <c r="AQ520" s="487" t="str">
        <f>+VLOOKUP($AJ520,Data_Validation!$A:$D,4,0)</f>
        <v>Salaires à Payer</v>
      </c>
      <c r="AR520" s="487" t="s">
        <v>299</v>
      </c>
      <c r="AS520" s="487">
        <f>+VLOOKUP($AJ520,Data_Validation!$A:$E,5,0)</f>
        <v>0</v>
      </c>
      <c r="AT520" s="904" t="str">
        <f t="shared" si="51"/>
        <v>G32101</v>
      </c>
      <c r="AU520" s="488" t="str">
        <f t="shared" si="52"/>
        <v>COMMISSIONS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2098</v>
      </c>
      <c r="D521" s="706" t="s">
        <v>2099</v>
      </c>
      <c r="E521" s="706" t="s">
        <v>1104</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G32102</v>
      </c>
      <c r="AK521" s="905" t="str">
        <f t="shared" si="49"/>
        <v>SALAIRES A PAYER</v>
      </c>
      <c r="AL521" s="905">
        <f>IFERROR(INDEX(G521:R521,1,MATCH(Parametres!$B$3,G$1:R$1,0)-1)*IF(OR(F521="L",F521="S",F521="I"),-1,1),"")</f>
        <v>0</v>
      </c>
      <c r="AM521" s="905">
        <f t="shared" si="50"/>
        <v>0</v>
      </c>
      <c r="AN521" s="905">
        <f>INDEX(G521:R521,1,MATCH(Parametres!$B$3,G$1:R$1,0))*IF(OR(F521="L",F521="S",F521="I"),-1,1)</f>
        <v>0</v>
      </c>
      <c r="AO521" s="487" t="str">
        <f>+VLOOKUP($AJ521,Data_Validation!$A:$D,1,0)</f>
        <v>G32102</v>
      </c>
      <c r="AP521" s="487">
        <f>+VLOOKUP($AJ521,Data_Validation!$A:$D,3,0)</f>
        <v>0</v>
      </c>
      <c r="AQ521" s="487">
        <f>+VLOOKUP($AJ521,Data_Validation!$A:$D,4,0)</f>
        <v>0</v>
      </c>
      <c r="AR521" s="487" t="s">
        <v>299</v>
      </c>
      <c r="AS521" s="487">
        <f>+VLOOKUP($AJ521,Data_Validation!$A:$E,5,0)</f>
        <v>0</v>
      </c>
      <c r="AT521" s="904" t="str">
        <f t="shared" si="51"/>
        <v>G32102</v>
      </c>
      <c r="AU521" s="488" t="str">
        <f t="shared" si="52"/>
        <v>SALAIRES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3194</v>
      </c>
      <c r="D522" s="706" t="s">
        <v>3195</v>
      </c>
      <c r="E522" s="706" t="s">
        <v>333</v>
      </c>
      <c r="F522" s="706" t="s">
        <v>1135</v>
      </c>
      <c r="G522" s="706">
        <v>0</v>
      </c>
      <c r="H522" s="706">
        <v>0</v>
      </c>
      <c r="I522" s="706">
        <v>0</v>
      </c>
      <c r="J522" s="706">
        <v>0</v>
      </c>
      <c r="K522" s="706">
        <v>0</v>
      </c>
      <c r="L522" s="706">
        <v>-637.96</v>
      </c>
      <c r="M522" s="706">
        <v>66.5</v>
      </c>
      <c r="N522" s="706">
        <v>152.5</v>
      </c>
      <c r="O522" s="706">
        <v>152.5</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G32104</v>
      </c>
      <c r="AK522" s="905" t="str">
        <f t="shared" si="49"/>
        <v>COMPTES DE DEPENSES A/P</v>
      </c>
      <c r="AL522" s="905">
        <f>IFERROR(INDEX(G522:R522,1,MATCH(Parametres!$B$3,G$1:R$1,0)-1)*IF(OR(F522="L",F522="S",F522="I"),-1,1),"")</f>
        <v>-66.5</v>
      </c>
      <c r="AM522" s="905">
        <f t="shared" si="50"/>
        <v>-86</v>
      </c>
      <c r="AN522" s="905">
        <f>INDEX(G522:R522,1,MATCH(Parametres!$B$3,G$1:R$1,0))*IF(OR(F522="L",F522="S",F522="I"),-1,1)</f>
        <v>-152.5</v>
      </c>
      <c r="AO522" s="487" t="str">
        <f>+VLOOKUP($AJ522,Data_Validation!$A:$D,1,0)</f>
        <v>G32104</v>
      </c>
      <c r="AP522" s="487" t="str">
        <f>+VLOOKUP($AJ522,Data_Validation!$A:$D,3,0)</f>
        <v>Bilan</v>
      </c>
      <c r="AQ522" s="487" t="str">
        <f>+VLOOKUP($AJ522,Data_Validation!$A:$D,4,0)</f>
        <v>DAS à Payer</v>
      </c>
      <c r="AR522" s="487" t="s">
        <v>299</v>
      </c>
      <c r="AS522" s="487">
        <f>+VLOOKUP($AJ522,Data_Validation!$A:$E,5,0)</f>
        <v>0</v>
      </c>
      <c r="AT522" s="904" t="str">
        <f t="shared" si="51"/>
        <v>G32104</v>
      </c>
      <c r="AU522" s="488" t="str">
        <f t="shared" si="52"/>
        <v>COMPTES DE DEPENSES A/P</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2100</v>
      </c>
      <c r="D523" s="706" t="s">
        <v>2101</v>
      </c>
      <c r="E523" s="706" t="s">
        <v>333</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G32301</v>
      </c>
      <c r="AK523" s="905" t="str">
        <f t="shared" si="49"/>
        <v>REER COLLECTIF A PAYER</v>
      </c>
      <c r="AL523" s="905">
        <f>IFERROR(INDEX(G523:R523,1,MATCH(Parametres!$B$3,G$1:R$1,0)-1)*IF(OR(F523="L",F523="S",F523="I"),-1,1),"")</f>
        <v>0</v>
      </c>
      <c r="AM523" s="905">
        <f t="shared" si="50"/>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51"/>
        <v>G32301</v>
      </c>
      <c r="AU523" s="488" t="str">
        <f t="shared" si="52"/>
        <v>REER COLLECTIF A PAYER</v>
      </c>
      <c r="AV523" s="899">
        <f>IFERROR(INDEX(V523:AG523,1,MATCH(Parametres!$B$3,V$1:AG$1,0)-1)*IF(OR(C523="L",C523="S",C523="I"),-1,1),"")</f>
        <v>0</v>
      </c>
      <c r="AW523" s="899">
        <f t="shared" si="53"/>
        <v>0</v>
      </c>
      <c r="AX523" s="899">
        <f>INDEX(V523:AG523,1,MATCH(Parametres!$B$3,V$1:AG$1,0))*IF(OR(C523="L",C523="S",C523="I"),-1,1)</f>
        <v>0</v>
      </c>
      <c r="AY523" s="487" t="s">
        <v>337</v>
      </c>
      <c r="AZ523" s="487" t="e">
        <f>+VLOOKUP($AJ523,Data_Validation!$A:$E,5,0)</f>
        <v>#N/A</v>
      </c>
    </row>
    <row r="524" spans="1:52" ht="15" hidden="1" customHeight="1">
      <c r="A524" s="706" t="s">
        <v>1148</v>
      </c>
      <c r="B524" s="706">
        <v>2026</v>
      </c>
      <c r="C524" s="706" t="s">
        <v>2102</v>
      </c>
      <c r="D524" s="706" t="s">
        <v>2103</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G32302</v>
      </c>
      <c r="AK524" s="905" t="str">
        <f t="shared" si="49"/>
        <v>ASSURANCE CHOMAGE A PAYER</v>
      </c>
      <c r="AL524" s="905">
        <f>IFERROR(INDEX(G524:R524,1,MATCH(Parametres!$B$3,G$1:R$1,0)-1)*IF(OR(F524="L",F524="S",F524="I"),-1,1),"")</f>
        <v>0</v>
      </c>
      <c r="AM524" s="905">
        <f t="shared" si="50"/>
        <v>0</v>
      </c>
      <c r="AN524" s="905">
        <f>INDEX(G524:R524,1,MATCH(Parametres!$B$3,G$1:R$1,0))*IF(OR(F524="L",F524="S",F524="I"),-1,1)</f>
        <v>0</v>
      </c>
      <c r="AO524" s="487" t="str">
        <f>+VLOOKUP($AJ524,Data_Validation!$A:$D,1,0)</f>
        <v>G32302</v>
      </c>
      <c r="AP524" s="487">
        <f>+VLOOKUP($AJ524,Data_Validation!$A:$D,3,0)</f>
        <v>0</v>
      </c>
      <c r="AQ524" s="487">
        <f>+VLOOKUP($AJ524,Data_Validation!$A:$D,4,0)</f>
        <v>0</v>
      </c>
      <c r="AR524" s="487" t="s">
        <v>299</v>
      </c>
      <c r="AS524" s="487">
        <f>+VLOOKUP($AJ524,Data_Validation!$A:$E,5,0)</f>
        <v>0</v>
      </c>
      <c r="AT524" s="904" t="str">
        <f t="shared" si="51"/>
        <v>G32302</v>
      </c>
      <c r="AU524" s="488" t="str">
        <f t="shared" si="52"/>
        <v>ASSURANCE CHOMAGE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2104</v>
      </c>
      <c r="D525" s="706" t="s">
        <v>2105</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G32303</v>
      </c>
      <c r="AK525" s="905" t="str">
        <f t="shared" si="49"/>
        <v>DON CHARITE A PAYER CENTR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G32303</v>
      </c>
      <c r="AU525" s="488" t="str">
        <f t="shared" si="52"/>
        <v>DON CHARITE A PAYER CENTR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hidden="1" customHeight="1">
      <c r="A526" s="706" t="s">
        <v>1148</v>
      </c>
      <c r="B526" s="706">
        <v>2026</v>
      </c>
      <c r="C526" s="706" t="s">
        <v>2106</v>
      </c>
      <c r="D526" s="706" t="s">
        <v>2107</v>
      </c>
      <c r="E526" s="706" t="s">
        <v>333</v>
      </c>
      <c r="F526" s="706" t="s">
        <v>1135</v>
      </c>
      <c r="G526" s="706">
        <v>-373845.78</v>
      </c>
      <c r="H526" s="706">
        <v>-394845.78</v>
      </c>
      <c r="I526" s="706">
        <v>-767365.78</v>
      </c>
      <c r="J526" s="706">
        <v>-767365.78</v>
      </c>
      <c r="K526" s="706">
        <v>-767365.78</v>
      </c>
      <c r="L526" s="706">
        <v>-767365.78</v>
      </c>
      <c r="M526" s="706">
        <v>-217309.92</v>
      </c>
      <c r="N526" s="706">
        <v>-217309.92</v>
      </c>
      <c r="O526" s="706">
        <v>-217309.92</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G32304</v>
      </c>
      <c r="AK526" s="905" t="str">
        <f t="shared" si="49"/>
        <v>IMPOT FEDERAL A PAYER</v>
      </c>
      <c r="AL526" s="905">
        <f>IFERROR(INDEX(G526:R526,1,MATCH(Parametres!$B$3,G$1:R$1,0)-1)*IF(OR(F526="L",F526="S",F526="I"),-1,1),"")</f>
        <v>217309.92</v>
      </c>
      <c r="AM526" s="905">
        <f t="shared" si="50"/>
        <v>0</v>
      </c>
      <c r="AN526" s="905">
        <f>INDEX(G526:R526,1,MATCH(Parametres!$B$3,G$1:R$1,0))*IF(OR(F526="L",F526="S",F526="I"),-1,1)</f>
        <v>217309.92</v>
      </c>
      <c r="AO526" s="487" t="str">
        <f>+VLOOKUP($AJ526,Data_Validation!$A:$D,1,0)</f>
        <v>G32304</v>
      </c>
      <c r="AP526" s="487" t="str">
        <f>+VLOOKUP($AJ526,Data_Validation!$A:$D,3,0)</f>
        <v>Bilan</v>
      </c>
      <c r="AQ526" s="487" t="str">
        <f>+VLOOKUP($AJ526,Data_Validation!$A:$D,4,0)</f>
        <v>Frais Payés d'Avance</v>
      </c>
      <c r="AR526" s="487" t="s">
        <v>299</v>
      </c>
      <c r="AS526" s="487">
        <f>+VLOOKUP($AJ526,Data_Validation!$A:$E,5,0)</f>
        <v>0</v>
      </c>
      <c r="AT526" s="904" t="str">
        <f t="shared" si="51"/>
        <v>G32304</v>
      </c>
      <c r="AU526" s="488" t="str">
        <f t="shared" si="52"/>
        <v>IMPOT FEDERAL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2108</v>
      </c>
      <c r="D527" s="706" t="s">
        <v>2109</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G32305</v>
      </c>
      <c r="AK527" s="905" t="str">
        <f t="shared" si="49"/>
        <v>REGIME ASS. MALADIE PAYER</v>
      </c>
      <c r="AL527" s="905">
        <f>IFERROR(INDEX(G527:R527,1,MATCH(Parametres!$B$3,G$1:R$1,0)-1)*IF(OR(F527="L",F527="S",F527="I"),-1,1),"")</f>
        <v>0</v>
      </c>
      <c r="AM527" s="905">
        <f t="shared" si="50"/>
        <v>0</v>
      </c>
      <c r="AN527" s="905">
        <f>INDEX(G527:R527,1,MATCH(Parametres!$B$3,G$1:R$1,0))*IF(OR(F527="L",F527="S",F527="I"),-1,1)</f>
        <v>0</v>
      </c>
      <c r="AO527" s="487" t="str">
        <f>+VLOOKUP($AJ527,Data_Validation!$A:$D,1,0)</f>
        <v>G32305</v>
      </c>
      <c r="AP527" s="487">
        <f>+VLOOKUP($AJ527,Data_Validation!$A:$D,3,0)</f>
        <v>0</v>
      </c>
      <c r="AQ527" s="487">
        <f>+VLOOKUP($AJ527,Data_Validation!$A:$D,4,0)</f>
        <v>0</v>
      </c>
      <c r="AR527" s="487" t="s">
        <v>299</v>
      </c>
      <c r="AS527" s="487">
        <f>+VLOOKUP($AJ527,Data_Validation!$A:$E,5,0)</f>
        <v>0</v>
      </c>
      <c r="AT527" s="904" t="str">
        <f t="shared" si="51"/>
        <v>G32305</v>
      </c>
      <c r="AU527" s="488" t="str">
        <f t="shared" si="52"/>
        <v>REGIME ASS. MALADIE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2110</v>
      </c>
      <c r="D528" s="706" t="s">
        <v>2111</v>
      </c>
      <c r="E528" s="706" t="s">
        <v>333</v>
      </c>
      <c r="F528" s="706" t="s">
        <v>1135</v>
      </c>
      <c r="G528" s="706">
        <v>-275879.24</v>
      </c>
      <c r="H528" s="706">
        <v>-297379.24</v>
      </c>
      <c r="I528" s="706">
        <v>-606735.24</v>
      </c>
      <c r="J528" s="706">
        <v>-606735.24</v>
      </c>
      <c r="K528" s="706">
        <v>-606735.24</v>
      </c>
      <c r="L528" s="706">
        <v>-606735.24</v>
      </c>
      <c r="M528" s="706">
        <v>-172488.04</v>
      </c>
      <c r="N528" s="706">
        <v>-172488.04</v>
      </c>
      <c r="O528" s="706">
        <v>-172488.04</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G32306</v>
      </c>
      <c r="AK528" s="905" t="str">
        <f t="shared" si="49"/>
        <v>IMPOT PROVINCIAL A PAYER</v>
      </c>
      <c r="AL528" s="905">
        <f>IFERROR(INDEX(G528:R528,1,MATCH(Parametres!$B$3,G$1:R$1,0)-1)*IF(OR(F528="L",F528="S",F528="I"),-1,1),"")</f>
        <v>172488.04</v>
      </c>
      <c r="AM528" s="905">
        <f t="shared" si="50"/>
        <v>0</v>
      </c>
      <c r="AN528" s="905">
        <f>INDEX(G528:R528,1,MATCH(Parametres!$B$3,G$1:R$1,0))*IF(OR(F528="L",F528="S",F528="I"),-1,1)</f>
        <v>172488.04</v>
      </c>
      <c r="AO528" s="487" t="str">
        <f>+VLOOKUP($AJ528,Data_Validation!$A:$D,1,0)</f>
        <v>G32306</v>
      </c>
      <c r="AP528" s="487" t="str">
        <f>+VLOOKUP($AJ528,Data_Validation!$A:$D,3,0)</f>
        <v>Bilan</v>
      </c>
      <c r="AQ528" s="487" t="str">
        <f>+VLOOKUP($AJ528,Data_Validation!$A:$D,4,0)</f>
        <v>Frais Payés d'Avance</v>
      </c>
      <c r="AR528" s="487" t="s">
        <v>299</v>
      </c>
      <c r="AS528" s="487">
        <f>+VLOOKUP($AJ528,Data_Validation!$A:$E,5,0)</f>
        <v>0</v>
      </c>
      <c r="AT528" s="904" t="str">
        <f t="shared" si="51"/>
        <v>G32306</v>
      </c>
      <c r="AU528" s="488" t="str">
        <f t="shared" si="52"/>
        <v>IMPOT PROVINCIAL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2112</v>
      </c>
      <c r="D529" s="706" t="s">
        <v>2113</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G32307</v>
      </c>
      <c r="AK529" s="905" t="str">
        <f t="shared" si="49"/>
        <v>REGIME DES RENTES QUEBEC</v>
      </c>
      <c r="AL529" s="905">
        <f>IFERROR(INDEX(G529:R529,1,MATCH(Parametres!$B$3,G$1:R$1,0)-1)*IF(OR(F529="L",F529="S",F529="I"),-1,1),"")</f>
        <v>0</v>
      </c>
      <c r="AM529" s="905">
        <f t="shared" si="50"/>
        <v>0</v>
      </c>
      <c r="AN529" s="905">
        <f>INDEX(G529:R529,1,MATCH(Parametres!$B$3,G$1:R$1,0))*IF(OR(F529="L",F529="S",F529="I"),-1,1)</f>
        <v>0</v>
      </c>
      <c r="AO529" s="487" t="str">
        <f>+VLOOKUP($AJ529,Data_Validation!$A:$D,1,0)</f>
        <v>G32307</v>
      </c>
      <c r="AP529" s="487">
        <f>+VLOOKUP($AJ529,Data_Validation!$A:$D,3,0)</f>
        <v>0</v>
      </c>
      <c r="AQ529" s="487">
        <f>+VLOOKUP($AJ529,Data_Validation!$A:$D,4,0)</f>
        <v>0</v>
      </c>
      <c r="AR529" s="487" t="s">
        <v>299</v>
      </c>
      <c r="AS529" s="487">
        <f>+VLOOKUP($AJ529,Data_Validation!$A:$E,5,0)</f>
        <v>0</v>
      </c>
      <c r="AT529" s="904" t="str">
        <f t="shared" si="51"/>
        <v>G32307</v>
      </c>
      <c r="AU529" s="488" t="str">
        <f t="shared" si="52"/>
        <v>REGIME DES RENTES QUEBEC</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2114</v>
      </c>
      <c r="D530" s="706" t="s">
        <v>2115</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G32308</v>
      </c>
      <c r="AK530" s="905" t="str">
        <f t="shared" si="49"/>
        <v>COTISATIONS COMITE EMPLOY</v>
      </c>
      <c r="AL530" s="905">
        <f>IFERROR(INDEX(G530:R530,1,MATCH(Parametres!$B$3,G$1:R$1,0)-1)*IF(OR(F530="L",F530="S",F530="I"),-1,1),"")</f>
        <v>0</v>
      </c>
      <c r="AM530" s="905">
        <f t="shared" si="50"/>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51"/>
        <v>G32308</v>
      </c>
      <c r="AU530" s="488" t="str">
        <f t="shared" si="52"/>
        <v>COTISATIONS COMITE EMPLOY</v>
      </c>
      <c r="AV530" s="899">
        <f>IFERROR(INDEX(V530:AG530,1,MATCH(Parametres!$B$3,V$1:AG$1,0)-1)*IF(OR(C530="L",C530="S",C530="I"),-1,1),"")</f>
        <v>0</v>
      </c>
      <c r="AW530" s="899">
        <f t="shared" si="53"/>
        <v>0</v>
      </c>
      <c r="AX530" s="899">
        <f>INDEX(V530:AG530,1,MATCH(Parametres!$B$3,V$1:AG$1,0))*IF(OR(C530="L",C530="S",C530="I"),-1,1)</f>
        <v>0</v>
      </c>
      <c r="AY530" s="487" t="s">
        <v>337</v>
      </c>
      <c r="AZ530" s="487" t="e">
        <f>+VLOOKUP($AJ530,Data_Validation!$A:$E,5,0)</f>
        <v>#N/A</v>
      </c>
    </row>
    <row r="531" spans="1:52" ht="15" hidden="1" customHeight="1">
      <c r="A531" s="706" t="s">
        <v>1148</v>
      </c>
      <c r="B531" s="706">
        <v>2026</v>
      </c>
      <c r="C531" s="706" t="s">
        <v>2116</v>
      </c>
      <c r="D531" s="706" t="s">
        <v>2117</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G32309</v>
      </c>
      <c r="AK531" s="905" t="str">
        <f t="shared" ref="AK531:AK594" si="55">D531</f>
        <v>FONDS PENSION EMPLOYES</v>
      </c>
      <c r="AL531" s="905">
        <f>IFERROR(INDEX(G531:R531,1,MATCH(Parametres!$B$3,G$1:R$1,0)-1)*IF(OR(F531="L",F531="S",F531="I"),-1,1),"")</f>
        <v>0</v>
      </c>
      <c r="AM531" s="905">
        <f t="shared" si="50"/>
        <v>0</v>
      </c>
      <c r="AN531" s="905">
        <f>INDEX(G531:R531,1,MATCH(Parametres!$B$3,G$1:R$1,0))*IF(OR(F531="L",F531="S",F531="I"),-1,1)</f>
        <v>0</v>
      </c>
      <c r="AO531" s="487" t="str">
        <f>+VLOOKUP($AJ531,Data_Validation!$A:$D,1,0)</f>
        <v>G32309</v>
      </c>
      <c r="AP531" s="487">
        <f>+VLOOKUP($AJ531,Data_Validation!$A:$D,3,0)</f>
        <v>0</v>
      </c>
      <c r="AQ531" s="487">
        <f>+VLOOKUP($AJ531,Data_Validation!$A:$D,4,0)</f>
        <v>0</v>
      </c>
      <c r="AR531" s="487" t="s">
        <v>299</v>
      </c>
      <c r="AS531" s="487">
        <f>+VLOOKUP($AJ531,Data_Validation!$A:$E,5,0)</f>
        <v>0</v>
      </c>
      <c r="AT531" s="904" t="str">
        <f t="shared" si="51"/>
        <v>G32309</v>
      </c>
      <c r="AU531" s="488" t="str">
        <f t="shared" si="52"/>
        <v>FONDS PENSION EMPLOYES</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2118</v>
      </c>
      <c r="D532" s="706" t="s">
        <v>2119</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G32310</v>
      </c>
      <c r="AK532" s="905" t="str">
        <f t="shared" si="55"/>
        <v>FONDS PENSION EMPLOYEUR</v>
      </c>
      <c r="AL532" s="905">
        <f>IFERROR(INDEX(G532:R532,1,MATCH(Parametres!$B$3,G$1:R$1,0)-1)*IF(OR(F532="L",F532="S",F532="I"),-1,1),"")</f>
        <v>0</v>
      </c>
      <c r="AM532" s="905">
        <f t="shared" si="50"/>
        <v>0</v>
      </c>
      <c r="AN532" s="905">
        <f>INDEX(G532:R532,1,MATCH(Parametres!$B$3,G$1:R$1,0))*IF(OR(F532="L",F532="S",F532="I"),-1,1)</f>
        <v>0</v>
      </c>
      <c r="AO532" s="487" t="str">
        <f>+VLOOKUP($AJ532,Data_Validation!$A:$D,1,0)</f>
        <v>G32310</v>
      </c>
      <c r="AP532" s="487">
        <f>+VLOOKUP($AJ532,Data_Validation!$A:$D,3,0)</f>
        <v>0</v>
      </c>
      <c r="AQ532" s="487">
        <f>+VLOOKUP($AJ532,Data_Validation!$A:$D,4,0)</f>
        <v>0</v>
      </c>
      <c r="AR532" s="487" t="s">
        <v>299</v>
      </c>
      <c r="AS532" s="487">
        <f>+VLOOKUP($AJ532,Data_Validation!$A:$E,5,0)</f>
        <v>0</v>
      </c>
      <c r="AT532" s="904" t="str">
        <f t="shared" si="51"/>
        <v>G32310</v>
      </c>
      <c r="AU532" s="488" t="str">
        <f t="shared" si="52"/>
        <v>FONDS PENSION EMPLOYEUR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2120</v>
      </c>
      <c r="D533" s="706" t="s">
        <v>2121</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G32311</v>
      </c>
      <c r="AK533" s="905" t="str">
        <f t="shared" si="55"/>
        <v>RQAP A PAYER</v>
      </c>
      <c r="AL533" s="905">
        <f>IFERROR(INDEX(G533:R533,1,MATCH(Parametres!$B$3,G$1:R$1,0)-1)*IF(OR(F533="L",F533="S",F533="I"),-1,1),"")</f>
        <v>0</v>
      </c>
      <c r="AM533" s="905">
        <f t="shared" si="50"/>
        <v>0</v>
      </c>
      <c r="AN533" s="905">
        <f>INDEX(G533:R533,1,MATCH(Parametres!$B$3,G$1:R$1,0))*IF(OR(F533="L",F533="S",F533="I"),-1,1)</f>
        <v>0</v>
      </c>
      <c r="AO533" s="487" t="str">
        <f>+VLOOKUP($AJ533,Data_Validation!$A:$D,1,0)</f>
        <v>G32311</v>
      </c>
      <c r="AP533" s="487">
        <f>+VLOOKUP($AJ533,Data_Validation!$A:$D,3,0)</f>
        <v>0</v>
      </c>
      <c r="AQ533" s="487">
        <f>+VLOOKUP($AJ533,Data_Validation!$A:$D,4,0)</f>
        <v>0</v>
      </c>
      <c r="AR533" s="487" t="s">
        <v>299</v>
      </c>
      <c r="AS533" s="487">
        <f>+VLOOKUP($AJ533,Data_Validation!$A:$E,5,0)</f>
        <v>0</v>
      </c>
      <c r="AT533" s="904" t="str">
        <f t="shared" si="51"/>
        <v>G32311</v>
      </c>
      <c r="AU533" s="488" t="str">
        <f t="shared" si="52"/>
        <v>RQAP A PAYER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2122</v>
      </c>
      <c r="D534" s="706" t="s">
        <v>2123</v>
      </c>
      <c r="E534" s="706" t="s">
        <v>333</v>
      </c>
      <c r="F534" s="706" t="s">
        <v>1135</v>
      </c>
      <c r="G534" s="706">
        <v>3449.82</v>
      </c>
      <c r="H534" s="706">
        <v>3657.94</v>
      </c>
      <c r="I534" s="706">
        <v>3857.78</v>
      </c>
      <c r="J534" s="706">
        <v>12747.76</v>
      </c>
      <c r="K534" s="706">
        <v>13107.46</v>
      </c>
      <c r="L534" s="706">
        <v>13107.46</v>
      </c>
      <c r="M534" s="706">
        <v>13107.46</v>
      </c>
      <c r="N534" s="706">
        <v>13107.46</v>
      </c>
      <c r="O534" s="706">
        <v>13107.46</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G32312</v>
      </c>
      <c r="AK534" s="905" t="str">
        <f t="shared" si="55"/>
        <v>CSST A PAYER</v>
      </c>
      <c r="AL534" s="905">
        <f>IFERROR(INDEX(G534:R534,1,MATCH(Parametres!$B$3,G$1:R$1,0)-1)*IF(OR(F534="L",F534="S",F534="I"),-1,1),"")</f>
        <v>-13107.46</v>
      </c>
      <c r="AM534" s="905">
        <f t="shared" si="50"/>
        <v>0</v>
      </c>
      <c r="AN534" s="905">
        <f>INDEX(G534:R534,1,MATCH(Parametres!$B$3,G$1:R$1,0))*IF(OR(F534="L",F534="S",F534="I"),-1,1)</f>
        <v>-13107.46</v>
      </c>
      <c r="AO534" s="487" t="str">
        <f>+VLOOKUP($AJ534,Data_Validation!$A:$D,1,0)</f>
        <v>G32312</v>
      </c>
      <c r="AP534" s="487" t="str">
        <f>+VLOOKUP($AJ534,Data_Validation!$A:$D,3,0)</f>
        <v>Bilan</v>
      </c>
      <c r="AQ534" s="487" t="str">
        <f>+VLOOKUP($AJ534,Data_Validation!$A:$D,4,0)</f>
        <v>DAS à Payer</v>
      </c>
      <c r="AR534" s="487" t="s">
        <v>299</v>
      </c>
      <c r="AS534" s="487">
        <f>+VLOOKUP($AJ534,Data_Validation!$A:$E,5,0)</f>
        <v>0</v>
      </c>
      <c r="AT534" s="904" t="str">
        <f t="shared" si="51"/>
        <v>G32312</v>
      </c>
      <c r="AU534" s="488" t="str">
        <f t="shared" si="52"/>
        <v>CSST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3196</v>
      </c>
      <c r="D535" s="706" t="s">
        <v>3197</v>
      </c>
      <c r="E535" s="706" t="s">
        <v>333</v>
      </c>
      <c r="F535" s="706" t="s">
        <v>1135</v>
      </c>
      <c r="G535" s="706">
        <v>0</v>
      </c>
      <c r="H535" s="706">
        <v>0</v>
      </c>
      <c r="I535" s="706">
        <v>0</v>
      </c>
      <c r="J535" s="706">
        <v>0</v>
      </c>
      <c r="K535" s="706">
        <v>0</v>
      </c>
      <c r="L535" s="706">
        <v>214.98</v>
      </c>
      <c r="M535" s="706">
        <v>427.01</v>
      </c>
      <c r="N535" s="706">
        <v>628</v>
      </c>
      <c r="O535" s="706">
        <v>628</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G32313</v>
      </c>
      <c r="AK535" s="905" t="str">
        <f t="shared" si="55"/>
        <v>CNT A PAYER</v>
      </c>
      <c r="AL535" s="905">
        <f>IFERROR(INDEX(G535:R535,1,MATCH(Parametres!$B$3,G$1:R$1,0)-1)*IF(OR(F535="L",F535="S",F535="I"),-1,1),"")</f>
        <v>-427.01</v>
      </c>
      <c r="AM535" s="905">
        <f t="shared" si="50"/>
        <v>-200.99</v>
      </c>
      <c r="AN535" s="905">
        <f>INDEX(G535:R535,1,MATCH(Parametres!$B$3,G$1:R$1,0))*IF(OR(F535="L",F535="S",F535="I"),-1,1)</f>
        <v>-628</v>
      </c>
      <c r="AO535" s="487" t="str">
        <f>+VLOOKUP($AJ535,Data_Validation!$A:$D,1,0)</f>
        <v>G32313</v>
      </c>
      <c r="AP535" s="487" t="str">
        <f>+VLOOKUP($AJ535,Data_Validation!$A:$D,3,0)</f>
        <v>Bilan</v>
      </c>
      <c r="AQ535" s="487" t="str">
        <f>+VLOOKUP($AJ535,Data_Validation!$A:$D,4,0)</f>
        <v>DAS à Payer</v>
      </c>
      <c r="AR535" s="487" t="s">
        <v>299</v>
      </c>
      <c r="AS535" s="487">
        <f>+VLOOKUP($AJ535,Data_Validation!$A:$E,5,0)</f>
        <v>0</v>
      </c>
      <c r="AT535" s="904" t="str">
        <f t="shared" si="51"/>
        <v>G32313</v>
      </c>
      <c r="AU535" s="488" t="str">
        <f t="shared" si="52"/>
        <v>CNT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2124</v>
      </c>
      <c r="D536" s="706" t="s">
        <v>3328</v>
      </c>
      <c r="E536" s="706" t="s">
        <v>333</v>
      </c>
      <c r="F536" s="706" t="s">
        <v>1135</v>
      </c>
      <c r="G536" s="706">
        <v>104972.94</v>
      </c>
      <c r="H536" s="706">
        <v>91135.21</v>
      </c>
      <c r="I536" s="706">
        <v>105499.53</v>
      </c>
      <c r="J536" s="706">
        <v>130073.13</v>
      </c>
      <c r="K536" s="706">
        <v>57634.14</v>
      </c>
      <c r="L536" s="706">
        <v>106096.86</v>
      </c>
      <c r="M536" s="706">
        <v>106698.28</v>
      </c>
      <c r="N536" s="706">
        <v>98203.78</v>
      </c>
      <c r="O536" s="706">
        <v>111081.79</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G32400</v>
      </c>
      <c r="AK536" s="905" t="str">
        <f t="shared" si="55"/>
        <v>T.V.Q. A PAYER</v>
      </c>
      <c r="AL536" s="905">
        <f>IFERROR(INDEX(G536:R536,1,MATCH(Parametres!$B$3,G$1:R$1,0)-1)*IF(OR(F536="L",F536="S",F536="I"),-1,1),"")</f>
        <v>-106698.28</v>
      </c>
      <c r="AM536" s="905">
        <f t="shared" si="50"/>
        <v>8494.5</v>
      </c>
      <c r="AN536" s="905">
        <f>INDEX(G536:R536,1,MATCH(Parametres!$B$3,G$1:R$1,0))*IF(OR(F536="L",F536="S",F536="I"),-1,1)</f>
        <v>-98203.78</v>
      </c>
      <c r="AO536" s="487" t="str">
        <f>+VLOOKUP($AJ536,Data_Validation!$A:$D,1,0)</f>
        <v>G32400</v>
      </c>
      <c r="AP536" s="487" t="str">
        <f>+VLOOKUP($AJ536,Data_Validation!$A:$D,3,0)</f>
        <v>Bilan</v>
      </c>
      <c r="AQ536" s="487" t="str">
        <f>+VLOOKUP($AJ536,Data_Validation!$A:$D,4,0)</f>
        <v>Taxes de Vente à Payer</v>
      </c>
      <c r="AR536" s="487" t="s">
        <v>299</v>
      </c>
      <c r="AS536" s="487">
        <f>+VLOOKUP($AJ536,Data_Validation!$A:$E,5,0)</f>
        <v>0</v>
      </c>
      <c r="AT536" s="904" t="str">
        <f t="shared" si="51"/>
        <v>G32400</v>
      </c>
      <c r="AU536" s="488" t="str">
        <f t="shared" si="52"/>
        <v>T.V.Q.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2126</v>
      </c>
      <c r="D537" s="706" t="s">
        <v>2127</v>
      </c>
      <c r="E537" s="706" t="s">
        <v>333</v>
      </c>
      <c r="F537" s="706" t="s">
        <v>1135</v>
      </c>
      <c r="G537" s="706">
        <v>1076451.8400000001</v>
      </c>
      <c r="H537" s="706">
        <v>902541.32</v>
      </c>
      <c r="I537" s="706">
        <v>1152829.07</v>
      </c>
      <c r="J537" s="706">
        <v>3897674.97</v>
      </c>
      <c r="K537" s="706">
        <v>1140831.3600000001</v>
      </c>
      <c r="L537" s="706">
        <v>986858.79</v>
      </c>
      <c r="M537" s="706">
        <v>699437.82</v>
      </c>
      <c r="N537" s="706">
        <v>620908.21</v>
      </c>
      <c r="O537" s="706">
        <v>629346.67000000004</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G32401</v>
      </c>
      <c r="AK537" s="905" t="str">
        <f t="shared" si="55"/>
        <v>T.P.S. A PAYER</v>
      </c>
      <c r="AL537" s="905">
        <f>IFERROR(INDEX(G537:R537,1,MATCH(Parametres!$B$3,G$1:R$1,0)-1)*IF(OR(F537="L",F537="S",F537="I"),-1,1),"")</f>
        <v>-699437.82</v>
      </c>
      <c r="AM537" s="905">
        <f t="shared" si="50"/>
        <v>78529.609999999986</v>
      </c>
      <c r="AN537" s="905">
        <f>INDEX(G537:R537,1,MATCH(Parametres!$B$3,G$1:R$1,0))*IF(OR(F537="L",F537="S",F537="I"),-1,1)</f>
        <v>-620908.21</v>
      </c>
      <c r="AO537" s="487" t="str">
        <f>+VLOOKUP($AJ537,Data_Validation!$A:$D,1,0)</f>
        <v>G32401</v>
      </c>
      <c r="AP537" s="487" t="str">
        <f>+VLOOKUP($AJ537,Data_Validation!$A:$D,3,0)</f>
        <v>Bilan</v>
      </c>
      <c r="AQ537" s="487" t="str">
        <f>+VLOOKUP($AJ537,Data_Validation!$A:$D,4,0)</f>
        <v>Taxes de Vente à Payer</v>
      </c>
      <c r="AR537" s="487" t="s">
        <v>299</v>
      </c>
      <c r="AS537" s="487">
        <f>+VLOOKUP($AJ537,Data_Validation!$A:$E,5,0)</f>
        <v>0</v>
      </c>
      <c r="AT537" s="904" t="str">
        <f t="shared" si="51"/>
        <v>G32401</v>
      </c>
      <c r="AU537" s="488" t="str">
        <f t="shared" si="52"/>
        <v>T.P.S.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2128</v>
      </c>
      <c r="D538" s="706" t="s">
        <v>2129</v>
      </c>
      <c r="E538" s="706" t="s">
        <v>333</v>
      </c>
      <c r="F538" s="706" t="s">
        <v>1135</v>
      </c>
      <c r="G538" s="706">
        <v>195.93</v>
      </c>
      <c r="H538" s="706">
        <v>364.95</v>
      </c>
      <c r="I538" s="706">
        <v>275.39999999999998</v>
      </c>
      <c r="J538" s="706">
        <v>280.52999999999997</v>
      </c>
      <c r="K538" s="706">
        <v>0</v>
      </c>
      <c r="L538" s="706">
        <v>0</v>
      </c>
      <c r="M538" s="706">
        <v>609.33000000000004</v>
      </c>
      <c r="N538" s="706">
        <v>727.82</v>
      </c>
      <c r="O538" s="706">
        <v>727.82</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G32402</v>
      </c>
      <c r="AK538" s="905" t="str">
        <f t="shared" si="55"/>
        <v>TPA ASSURANCES</v>
      </c>
      <c r="AL538" s="905">
        <f>IFERROR(INDEX(G538:R538,1,MATCH(Parametres!$B$3,G$1:R$1,0)-1)*IF(OR(F538="L",F538="S",F538="I"),-1,1),"")</f>
        <v>-609.33000000000004</v>
      </c>
      <c r="AM538" s="905">
        <f t="shared" si="50"/>
        <v>-118.49000000000001</v>
      </c>
      <c r="AN538" s="905">
        <f>INDEX(G538:R538,1,MATCH(Parametres!$B$3,G$1:R$1,0))*IF(OR(F538="L",F538="S",F538="I"),-1,1)</f>
        <v>-727.82</v>
      </c>
      <c r="AO538" s="487" t="str">
        <f>+VLOOKUP($AJ538,Data_Validation!$A:$D,1,0)</f>
        <v>G32402</v>
      </c>
      <c r="AP538" s="487" t="str">
        <f>+VLOOKUP($AJ538,Data_Validation!$A:$D,3,0)</f>
        <v>Bilan</v>
      </c>
      <c r="AQ538" s="487" t="str">
        <f>+VLOOKUP($AJ538,Data_Validation!$A:$D,4,0)</f>
        <v>Taxes de Vente à Payer</v>
      </c>
      <c r="AR538" s="487" t="s">
        <v>299</v>
      </c>
      <c r="AS538" s="487">
        <f>+VLOOKUP($AJ538,Data_Validation!$A:$E,5,0)</f>
        <v>0</v>
      </c>
      <c r="AT538" s="904" t="str">
        <f t="shared" si="51"/>
        <v>G32402</v>
      </c>
      <c r="AU538" s="488" t="str">
        <f t="shared" si="52"/>
        <v>TPA ASSURANCES</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2130</v>
      </c>
      <c r="D539" s="706" t="s">
        <v>2131</v>
      </c>
      <c r="E539" s="706" t="s">
        <v>333</v>
      </c>
      <c r="F539" s="706" t="s">
        <v>1135</v>
      </c>
      <c r="G539" s="706">
        <v>5030</v>
      </c>
      <c r="H539" s="706">
        <v>12525.92</v>
      </c>
      <c r="I539" s="706">
        <v>21790.14</v>
      </c>
      <c r="J539" s="706">
        <v>2267.56</v>
      </c>
      <c r="K539" s="706">
        <v>10794.43</v>
      </c>
      <c r="L539" s="706">
        <v>27004.639999999999</v>
      </c>
      <c r="M539" s="706">
        <v>12198.69</v>
      </c>
      <c r="N539" s="706">
        <v>12198.69</v>
      </c>
      <c r="O539" s="706">
        <v>12198.69</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G32500</v>
      </c>
      <c r="AK539" s="905" t="str">
        <f t="shared" si="55"/>
        <v>TAXE DELUXE A PAYER</v>
      </c>
      <c r="AL539" s="905">
        <f>IFERROR(INDEX(G539:R539,1,MATCH(Parametres!$B$3,G$1:R$1,0)-1)*IF(OR(F539="L",F539="S",F539="I"),-1,1),"")</f>
        <v>-12198.69</v>
      </c>
      <c r="AM539" s="905">
        <f t="shared" si="50"/>
        <v>0</v>
      </c>
      <c r="AN539" s="905">
        <f>INDEX(G539:R539,1,MATCH(Parametres!$B$3,G$1:R$1,0))*IF(OR(F539="L",F539="S",F539="I"),-1,1)</f>
        <v>-12198.69</v>
      </c>
      <c r="AO539" s="487" t="str">
        <f>+VLOOKUP($AJ539,Data_Validation!$A:$D,1,0)</f>
        <v>G32500</v>
      </c>
      <c r="AP539" s="487" t="str">
        <f>+VLOOKUP($AJ539,Data_Validation!$A:$D,3,0)</f>
        <v>Bilan</v>
      </c>
      <c r="AQ539" s="487" t="str">
        <f>+VLOOKUP($AJ539,Data_Validation!$A:$D,4,0)</f>
        <v>Taxes de Vente à Payer</v>
      </c>
      <c r="AR539" s="487" t="s">
        <v>299</v>
      </c>
      <c r="AS539" s="487">
        <f>+VLOOKUP($AJ539,Data_Validation!$A:$E,5,0)</f>
        <v>0</v>
      </c>
      <c r="AT539" s="904" t="str">
        <f t="shared" si="51"/>
        <v>G32500</v>
      </c>
      <c r="AU539" s="488" t="str">
        <f t="shared" si="52"/>
        <v>TAXE DELUXE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2132</v>
      </c>
      <c r="D540" s="706" t="s">
        <v>1154</v>
      </c>
      <c r="E540" s="706" t="s">
        <v>333</v>
      </c>
      <c r="F540" s="706" t="s">
        <v>1135</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G32700</v>
      </c>
      <c r="AK540" s="905" t="str">
        <f t="shared" si="55"/>
        <v>IMPÔTS EXIGIBLES</v>
      </c>
      <c r="AL540" s="905">
        <f>IFERROR(INDEX(G540:R540,1,MATCH(Parametres!$B$3,G$1:R$1,0)-1)*IF(OR(F540="L",F540="S",F540="I"),-1,1),"")</f>
        <v>0</v>
      </c>
      <c r="AM540" s="905">
        <f t="shared" si="50"/>
        <v>0</v>
      </c>
      <c r="AN540" s="905">
        <f>INDEX(G540:R540,1,MATCH(Parametres!$B$3,G$1:R$1,0))*IF(OR(F540="L",F540="S",F540="I"),-1,1)</f>
        <v>0</v>
      </c>
      <c r="AO540" s="487" t="str">
        <f>+VLOOKUP($AJ540,Data_Validation!$A:$D,1,0)</f>
        <v>G32700</v>
      </c>
      <c r="AP540" s="487" t="str">
        <f>+VLOOKUP($AJ540,Data_Validation!$A:$D,3,0)</f>
        <v>Bilan</v>
      </c>
      <c r="AQ540" s="487" t="str">
        <f>+VLOOKUP($AJ540,Data_Validation!$A:$D,4,0)</f>
        <v>Impôts à payer</v>
      </c>
      <c r="AR540" s="487" t="s">
        <v>299</v>
      </c>
      <c r="AS540" s="487">
        <f>+VLOOKUP($AJ540,Data_Validation!$A:$E,5,0)</f>
        <v>0</v>
      </c>
      <c r="AT540" s="904" t="str">
        <f t="shared" si="51"/>
        <v>G32700</v>
      </c>
      <c r="AU540" s="488" t="str">
        <f t="shared" si="52"/>
        <v>IMPÔTS EXIGIBLES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2133</v>
      </c>
      <c r="D541" s="706" t="s">
        <v>1147</v>
      </c>
      <c r="E541" s="706" t="s">
        <v>333</v>
      </c>
      <c r="F541" s="706" t="s">
        <v>1135</v>
      </c>
      <c r="G541" s="706">
        <v>0</v>
      </c>
      <c r="H541" s="706">
        <v>0</v>
      </c>
      <c r="I541" s="706">
        <v>12274.51</v>
      </c>
      <c r="J541" s="706">
        <v>19394.73</v>
      </c>
      <c r="K541" s="706">
        <v>11577.99</v>
      </c>
      <c r="L541" s="706">
        <v>13279.16</v>
      </c>
      <c r="M541" s="706">
        <v>20373.650000000001</v>
      </c>
      <c r="N541" s="706">
        <v>3983.82</v>
      </c>
      <c r="O541" s="706">
        <v>3983.82</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G32800</v>
      </c>
      <c r="AK541" s="905" t="str">
        <f t="shared" si="55"/>
        <v>BONI A PAYER</v>
      </c>
      <c r="AL541" s="905">
        <f>IFERROR(INDEX(G541:R541,1,MATCH(Parametres!$B$3,G$1:R$1,0)-1)*IF(OR(F541="L",F541="S",F541="I"),-1,1),"")</f>
        <v>-20373.650000000001</v>
      </c>
      <c r="AM541" s="905">
        <f t="shared" si="50"/>
        <v>16389.830000000002</v>
      </c>
      <c r="AN541" s="905">
        <f>INDEX(G541:R541,1,MATCH(Parametres!$B$3,G$1:R$1,0))*IF(OR(F541="L",F541="S",F541="I"),-1,1)</f>
        <v>-3983.82</v>
      </c>
      <c r="AO541" s="487" t="str">
        <f>+VLOOKUP($AJ541,Data_Validation!$A:$D,1,0)</f>
        <v>G32800</v>
      </c>
      <c r="AP541" s="487" t="str">
        <f>+VLOOKUP($AJ541,Data_Validation!$A:$D,3,0)</f>
        <v>Bilan</v>
      </c>
      <c r="AQ541" s="487" t="str">
        <f>+VLOOKUP($AJ541,Data_Validation!$A:$D,4,0)</f>
        <v>Salaires à Payer</v>
      </c>
      <c r="AR541" s="487" t="s">
        <v>299</v>
      </c>
      <c r="AS541" s="487">
        <f>+VLOOKUP($AJ541,Data_Validation!$A:$E,5,0)</f>
        <v>0</v>
      </c>
      <c r="AT541" s="904" t="str">
        <f t="shared" si="51"/>
        <v>G32800</v>
      </c>
      <c r="AU541" s="488" t="str">
        <f t="shared" si="52"/>
        <v>BONI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2134</v>
      </c>
      <c r="D542" s="706" t="s">
        <v>2135</v>
      </c>
      <c r="E542" s="706" t="s">
        <v>333</v>
      </c>
      <c r="F542" s="706" t="s">
        <v>1135</v>
      </c>
      <c r="G542" s="706">
        <v>-2725964.6</v>
      </c>
      <c r="H542" s="706">
        <v>-3387014.6</v>
      </c>
      <c r="I542" s="706">
        <v>-3400964.6</v>
      </c>
      <c r="J542" s="706">
        <v>-3389504.24</v>
      </c>
      <c r="K542" s="706">
        <v>-3889504.24</v>
      </c>
      <c r="L542" s="706">
        <v>-3920685.29</v>
      </c>
      <c r="M542" s="706">
        <v>-3918620.97</v>
      </c>
      <c r="N542" s="706">
        <v>-3940255.42</v>
      </c>
      <c r="O542" s="706">
        <v>-3940255.42</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G32900</v>
      </c>
      <c r="AK542" s="905" t="str">
        <f t="shared" si="55"/>
        <v>BONI À PAYER PROPRIETAIRE</v>
      </c>
      <c r="AL542" s="905">
        <f>IFERROR(INDEX(G542:R542,1,MATCH(Parametres!$B$3,G$1:R$1,0)-1)*IF(OR(F542="L",F542="S",F542="I"),-1,1),"")</f>
        <v>3918620.97</v>
      </c>
      <c r="AM542" s="905">
        <f t="shared" si="50"/>
        <v>21634.449999999721</v>
      </c>
      <c r="AN542" s="905">
        <f>INDEX(G542:R542,1,MATCH(Parametres!$B$3,G$1:R$1,0))*IF(OR(F542="L",F542="S",F542="I"),-1,1)</f>
        <v>3940255.42</v>
      </c>
      <c r="AO542" s="487" t="str">
        <f>+VLOOKUP($AJ542,Data_Validation!$A:$D,1,0)</f>
        <v>G32900</v>
      </c>
      <c r="AP542" s="487" t="str">
        <f>+VLOOKUP($AJ542,Data_Validation!$A:$D,3,0)</f>
        <v>Bilan</v>
      </c>
      <c r="AQ542" s="487" t="str">
        <f>+VLOOKUP($AJ542,Data_Validation!$A:$D,4,0)</f>
        <v>Salaires à Payer</v>
      </c>
      <c r="AR542" s="487" t="s">
        <v>299</v>
      </c>
      <c r="AS542" s="487">
        <f>+VLOOKUP($AJ542,Data_Validation!$A:$E,5,0)</f>
        <v>0</v>
      </c>
      <c r="AT542" s="904" t="str">
        <f t="shared" si="51"/>
        <v>G32900</v>
      </c>
      <c r="AU542" s="488" t="str">
        <f t="shared" si="52"/>
        <v>BONI À PAYER PROPRIETAIRE</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2136</v>
      </c>
      <c r="D543" s="706" t="s">
        <v>2137</v>
      </c>
      <c r="E543" s="706" t="s">
        <v>336</v>
      </c>
      <c r="F543" s="706" t="s">
        <v>1135</v>
      </c>
      <c r="G543" s="706">
        <v>0</v>
      </c>
      <c r="H543" s="706">
        <v>0</v>
      </c>
      <c r="I543" s="706">
        <v>0</v>
      </c>
      <c r="J543" s="706">
        <v>0</v>
      </c>
      <c r="K543" s="706">
        <v>0</v>
      </c>
      <c r="L543" s="706">
        <v>41642.04</v>
      </c>
      <c r="M543" s="706">
        <v>0</v>
      </c>
      <c r="N543" s="706">
        <v>42402.54</v>
      </c>
      <c r="O543" s="706">
        <v>42402.54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G33030</v>
      </c>
      <c r="AK543" s="905" t="str">
        <f t="shared" si="55"/>
        <v>AP VEH. HAWKESBURY GM</v>
      </c>
      <c r="AL543" s="905">
        <f>IFERROR(INDEX(G543:R543,1,MATCH(Parametres!$B$3,G$1:R$1,0)-1)*IF(OR(F543="L",F543="S",F543="I"),-1,1),"")</f>
        <v>0</v>
      </c>
      <c r="AM543" s="905">
        <f t="shared" si="50"/>
        <v>-42402.54</v>
      </c>
      <c r="AN543" s="905">
        <f>INDEX(G543:R543,1,MATCH(Parametres!$B$3,G$1:R$1,0))*IF(OR(F543="L",F543="S",F543="I"),-1,1)</f>
        <v>-42402.54</v>
      </c>
      <c r="AO543" s="487" t="str">
        <f>+VLOOKUP($AJ543,Data_Validation!$A:$D,1,0)</f>
        <v>G33030</v>
      </c>
      <c r="AP543" s="487" t="str">
        <f>+VLOOKUP($AJ543,Data_Validation!$A:$D,3,0)</f>
        <v>Bilan</v>
      </c>
      <c r="AQ543" s="487" t="str">
        <f>+VLOOKUP($AJ543,Data_Validation!$A:$D,4,0)</f>
        <v>Payables Intercos</v>
      </c>
      <c r="AR543" s="487" t="s">
        <v>299</v>
      </c>
      <c r="AS543" s="487">
        <f>+VLOOKUP($AJ543,Data_Validation!$A:$E,5,0)</f>
        <v>0</v>
      </c>
      <c r="AT543" s="904" t="str">
        <f t="shared" si="51"/>
        <v>G33030</v>
      </c>
      <c r="AU543" s="488" t="str">
        <f t="shared" si="52"/>
        <v>AP VEH. HAWKESBURY GM</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2138</v>
      </c>
      <c r="D544" s="706" t="s">
        <v>2139</v>
      </c>
      <c r="E544" s="706" t="s">
        <v>336</v>
      </c>
      <c r="F544" s="706" t="s">
        <v>1135</v>
      </c>
      <c r="G544" s="706">
        <v>0</v>
      </c>
      <c r="H544" s="706">
        <v>0</v>
      </c>
      <c r="I544" s="706">
        <v>0</v>
      </c>
      <c r="J544" s="706">
        <v>0</v>
      </c>
      <c r="K544" s="706">
        <v>0</v>
      </c>
      <c r="L544" s="706">
        <v>164000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G33035</v>
      </c>
      <c r="AK544" s="905" t="str">
        <f t="shared" si="55"/>
        <v>AP VEH. BMW SHERBROOKE</v>
      </c>
      <c r="AL544" s="905">
        <f>IFERROR(INDEX(G544:R544,1,MATCH(Parametres!$B$3,G$1:R$1,0)-1)*IF(OR(F544="L",F544="S",F544="I"),-1,1),"")</f>
        <v>0</v>
      </c>
      <c r="AM544" s="905">
        <f t="shared" si="50"/>
        <v>0</v>
      </c>
      <c r="AN544" s="905">
        <f>INDEX(G544:R544,1,MATCH(Parametres!$B$3,G$1:R$1,0))*IF(OR(F544="L",F544="S",F544="I"),-1,1)</f>
        <v>0</v>
      </c>
      <c r="AO544" s="487" t="str">
        <f>+VLOOKUP($AJ544,Data_Validation!$A:$D,1,0)</f>
        <v>G33035</v>
      </c>
      <c r="AP544" s="487" t="str">
        <f>+VLOOKUP($AJ544,Data_Validation!$A:$D,3,0)</f>
        <v>Bilan</v>
      </c>
      <c r="AQ544" s="487" t="str">
        <f>+VLOOKUP($AJ544,Data_Validation!$A:$D,4,0)</f>
        <v>Payables Intercos</v>
      </c>
      <c r="AR544" s="487" t="s">
        <v>299</v>
      </c>
      <c r="AS544" s="487">
        <f>+VLOOKUP($AJ544,Data_Validation!$A:$E,5,0)</f>
        <v>0</v>
      </c>
      <c r="AT544" s="904" t="str">
        <f t="shared" si="51"/>
        <v>G33035</v>
      </c>
      <c r="AU544" s="488" t="str">
        <f t="shared" si="52"/>
        <v>AP VEH. BMW SHERBROOKE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2140</v>
      </c>
      <c r="D545" s="706" t="s">
        <v>2141</v>
      </c>
      <c r="E545" s="706" t="s">
        <v>336</v>
      </c>
      <c r="F545" s="706" t="s">
        <v>1135</v>
      </c>
      <c r="G545" s="706">
        <v>0</v>
      </c>
      <c r="H545" s="706">
        <v>0</v>
      </c>
      <c r="I545" s="706">
        <v>0</v>
      </c>
      <c r="J545" s="706">
        <v>0</v>
      </c>
      <c r="K545" s="706">
        <v>0</v>
      </c>
      <c r="L545" s="706">
        <v>0</v>
      </c>
      <c r="M545" s="706">
        <v>269445.07</v>
      </c>
      <c r="N545" s="706">
        <v>605146.31999999995</v>
      </c>
      <c r="O545" s="706">
        <v>56453.919999999998</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G33040</v>
      </c>
      <c r="AK545" s="905" t="str">
        <f t="shared" si="55"/>
        <v>AP VEH. LOCATION LMB</v>
      </c>
      <c r="AL545" s="905">
        <f>IFERROR(INDEX(G545:R545,1,MATCH(Parametres!$B$3,G$1:R$1,0)-1)*IF(OR(F545="L",F545="S",F545="I"),-1,1),"")</f>
        <v>-269445.07</v>
      </c>
      <c r="AM545" s="905">
        <f t="shared" si="50"/>
        <v>-335701.24999999994</v>
      </c>
      <c r="AN545" s="905">
        <f>INDEX(G545:R545,1,MATCH(Parametres!$B$3,G$1:R$1,0))*IF(OR(F545="L",F545="S",F545="I"),-1,1)</f>
        <v>-605146.31999999995</v>
      </c>
      <c r="AO545" s="487" t="str">
        <f>+VLOOKUP($AJ545,Data_Validation!$A:$D,1,0)</f>
        <v>G33040</v>
      </c>
      <c r="AP545" s="487" t="str">
        <f>+VLOOKUP($AJ545,Data_Validation!$A:$D,3,0)</f>
        <v>Bilan</v>
      </c>
      <c r="AQ545" s="487" t="str">
        <f>+VLOOKUP($AJ545,Data_Validation!$A:$D,4,0)</f>
        <v>Payables Intercos</v>
      </c>
      <c r="AR545" s="487" t="s">
        <v>299</v>
      </c>
      <c r="AS545" s="487">
        <f>+VLOOKUP($AJ545,Data_Validation!$A:$E,5,0)</f>
        <v>0</v>
      </c>
      <c r="AT545" s="904" t="str">
        <f t="shared" si="51"/>
        <v>G33040</v>
      </c>
      <c r="AU545" s="488" t="str">
        <f t="shared" si="52"/>
        <v>AP VEH. LOCATION LMB</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2142</v>
      </c>
      <c r="D546" s="706" t="s">
        <v>2143</v>
      </c>
      <c r="E546" s="706" t="s">
        <v>336</v>
      </c>
      <c r="F546" s="706" t="s">
        <v>1135</v>
      </c>
      <c r="G546" s="706">
        <v>0</v>
      </c>
      <c r="H546" s="706">
        <v>0</v>
      </c>
      <c r="I546" s="706">
        <v>0</v>
      </c>
      <c r="J546" s="706">
        <v>0</v>
      </c>
      <c r="K546" s="706">
        <v>0</v>
      </c>
      <c r="L546" s="706">
        <v>42500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G33045</v>
      </c>
      <c r="AK546" s="905" t="str">
        <f t="shared" si="55"/>
        <v>AP VEH. VOLKS BROSSARD</v>
      </c>
      <c r="AL546" s="905">
        <f>IFERROR(INDEX(G546:R546,1,MATCH(Parametres!$B$3,G$1:R$1,0)-1)*IF(OR(F546="L",F546="S",F546="I"),-1,1),"")</f>
        <v>0</v>
      </c>
      <c r="AM546" s="905">
        <f t="shared" si="50"/>
        <v>0</v>
      </c>
      <c r="AN546" s="905">
        <f>INDEX(G546:R546,1,MATCH(Parametres!$B$3,G$1:R$1,0))*IF(OR(F546="L",F546="S",F546="I"),-1,1)</f>
        <v>0</v>
      </c>
      <c r="AO546" s="487" t="str">
        <f>+VLOOKUP($AJ546,Data_Validation!$A:$D,1,0)</f>
        <v>G33045</v>
      </c>
      <c r="AP546" s="487" t="str">
        <f>+VLOOKUP($AJ546,Data_Validation!$A:$D,3,0)</f>
        <v>Bilan</v>
      </c>
      <c r="AQ546" s="487" t="str">
        <f>+VLOOKUP($AJ546,Data_Validation!$A:$D,4,0)</f>
        <v>Payables Intercos</v>
      </c>
      <c r="AR546" s="487" t="s">
        <v>299</v>
      </c>
      <c r="AS546" s="487">
        <f>+VLOOKUP($AJ546,Data_Validation!$A:$E,5,0)</f>
        <v>0</v>
      </c>
      <c r="AT546" s="904" t="str">
        <f t="shared" si="51"/>
        <v>G33045</v>
      </c>
      <c r="AU546" s="488" t="str">
        <f t="shared" si="52"/>
        <v>AP VEH. VOLKS BROSSARD</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2144</v>
      </c>
      <c r="D547" s="706" t="s">
        <v>2145</v>
      </c>
      <c r="E547" s="706" t="s">
        <v>336</v>
      </c>
      <c r="F547" s="706" t="s">
        <v>1135</v>
      </c>
      <c r="G547" s="706">
        <v>0</v>
      </c>
      <c r="H547" s="706">
        <v>0</v>
      </c>
      <c r="I547" s="706">
        <v>0</v>
      </c>
      <c r="J547" s="706">
        <v>0</v>
      </c>
      <c r="K547" s="706">
        <v>0</v>
      </c>
      <c r="L547" s="706">
        <v>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G33050</v>
      </c>
      <c r="AK547" s="905" t="str">
        <f t="shared" si="55"/>
        <v>AP VEH. LONGUEUIL HUYNDAI</v>
      </c>
      <c r="AL547" s="905">
        <f>IFERROR(INDEX(G547:R547,1,MATCH(Parametres!$B$3,G$1:R$1,0)-1)*IF(OR(F547="L",F547="S",F547="I"),-1,1),"")</f>
        <v>0</v>
      </c>
      <c r="AM547" s="905">
        <f t="shared" si="50"/>
        <v>0</v>
      </c>
      <c r="AN547" s="905">
        <f>INDEX(G547:R547,1,MATCH(Parametres!$B$3,G$1:R$1,0))*IF(OR(F547="L",F547="S",F547="I"),-1,1)</f>
        <v>0</v>
      </c>
      <c r="AO547" s="487" t="str">
        <f>+VLOOKUP($AJ547,Data_Validation!$A:$D,1,0)</f>
        <v>G33050</v>
      </c>
      <c r="AP547" s="487" t="str">
        <f>+VLOOKUP($AJ547,Data_Validation!$A:$D,3,0)</f>
        <v>Bilan</v>
      </c>
      <c r="AQ547" s="487" t="str">
        <f>+VLOOKUP($AJ547,Data_Validation!$A:$D,4,0)</f>
        <v>Payables Intercos</v>
      </c>
      <c r="AR547" s="487" t="s">
        <v>299</v>
      </c>
      <c r="AS547" s="487">
        <f>+VLOOKUP($AJ547,Data_Validation!$A:$E,5,0)</f>
        <v>0</v>
      </c>
      <c r="AT547" s="904" t="str">
        <f t="shared" si="51"/>
        <v>G33050</v>
      </c>
      <c r="AU547" s="488" t="str">
        <f t="shared" si="52"/>
        <v>AP VEH. LONGUEUIL HUYNDAI</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2146</v>
      </c>
      <c r="D548" s="706" t="s">
        <v>3329</v>
      </c>
      <c r="E548" s="706" t="s">
        <v>1139</v>
      </c>
      <c r="F548" s="706" t="s">
        <v>1135</v>
      </c>
      <c r="G548" s="706">
        <v>4700.8500000000004</v>
      </c>
      <c r="H548" s="706">
        <v>6127.32</v>
      </c>
      <c r="I548" s="706">
        <v>312.14</v>
      </c>
      <c r="J548" s="706">
        <v>4525.93</v>
      </c>
      <c r="K548" s="706">
        <v>7740.16</v>
      </c>
      <c r="L548" s="706">
        <v>9222.64</v>
      </c>
      <c r="M548" s="706">
        <v>7659.56</v>
      </c>
      <c r="N548" s="706">
        <v>9891.5499999999993</v>
      </c>
      <c r="O548" s="706">
        <v>9891.5499999999993</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G33100</v>
      </c>
      <c r="AK548" s="905" t="str">
        <f t="shared" si="55"/>
        <v>ACC VENDU NON INSTALLE</v>
      </c>
      <c r="AL548" s="905">
        <f>IFERROR(INDEX(G548:R548,1,MATCH(Parametres!$B$3,G$1:R$1,0)-1)*IF(OR(F548="L",F548="S",F548="I"),-1,1),"")</f>
        <v>-7659.56</v>
      </c>
      <c r="AM548" s="905">
        <f t="shared" si="50"/>
        <v>-2231.9899999999989</v>
      </c>
      <c r="AN548" s="905">
        <f>INDEX(G548:R548,1,MATCH(Parametres!$B$3,G$1:R$1,0))*IF(OR(F548="L",F548="S",F548="I"),-1,1)</f>
        <v>-9891.5499999999993</v>
      </c>
      <c r="AO548" s="487" t="str">
        <f>+VLOOKUP($AJ548,Data_Validation!$A:$D,1,0)</f>
        <v>G33100</v>
      </c>
      <c r="AP548" s="487" t="str">
        <f>+VLOOKUP($AJ548,Data_Validation!$A:$D,3,0)</f>
        <v>Bilan</v>
      </c>
      <c r="AQ548" s="487" t="str">
        <f>+VLOOKUP($AJ548,Data_Validation!$A:$D,4,0)</f>
        <v>Autres Courus</v>
      </c>
      <c r="AR548" s="487" t="s">
        <v>299</v>
      </c>
      <c r="AS548" s="487">
        <f>+VLOOKUP($AJ548,Data_Validation!$A:$E,5,0)</f>
        <v>0</v>
      </c>
      <c r="AT548" s="904" t="str">
        <f t="shared" si="51"/>
        <v>G33100</v>
      </c>
      <c r="AU548" s="488" t="str">
        <f t="shared" si="52"/>
        <v>ACC VENDU NON INSTALLE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2148</v>
      </c>
      <c r="D549" s="706" t="s">
        <v>2149</v>
      </c>
      <c r="E549" s="706" t="s">
        <v>333</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G33101</v>
      </c>
      <c r="AK549" s="905" t="str">
        <f t="shared" si="55"/>
        <v>PROVISION PUBLICITE</v>
      </c>
      <c r="AL549" s="905">
        <f>IFERROR(INDEX(G549:R549,1,MATCH(Parametres!$B$3,G$1:R$1,0)-1)*IF(OR(F549="L",F549="S",F549="I"),-1,1),"")</f>
        <v>0</v>
      </c>
      <c r="AM549" s="905">
        <f t="shared" si="50"/>
        <v>0</v>
      </c>
      <c r="AN549" s="905">
        <f>INDEX(G549:R549,1,MATCH(Parametres!$B$3,G$1:R$1,0))*IF(OR(F549="L",F549="S",F549="I"),-1,1)</f>
        <v>0</v>
      </c>
      <c r="AO549" s="487" t="str">
        <f>+VLOOKUP($AJ549,Data_Validation!$A:$D,1,0)</f>
        <v>G33101</v>
      </c>
      <c r="AP549" s="487" t="str">
        <f>+VLOOKUP($AJ549,Data_Validation!$A:$D,3,0)</f>
        <v>Bilan</v>
      </c>
      <c r="AQ549" s="487" t="str">
        <f>+VLOOKUP($AJ549,Data_Validation!$A:$D,4,0)</f>
        <v>Autres Courus</v>
      </c>
      <c r="AR549" s="487" t="s">
        <v>299</v>
      </c>
      <c r="AS549" s="487">
        <f>+VLOOKUP($AJ549,Data_Validation!$A:$E,5,0)</f>
        <v>0</v>
      </c>
      <c r="AT549" s="904" t="str">
        <f t="shared" si="51"/>
        <v>G33101</v>
      </c>
      <c r="AU549" s="488" t="str">
        <f t="shared" si="52"/>
        <v>PROVISION PUBLICITE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2150</v>
      </c>
      <c r="D550" s="706" t="s">
        <v>2151</v>
      </c>
      <c r="E550" s="706" t="s">
        <v>333</v>
      </c>
      <c r="F550" s="706" t="s">
        <v>1135</v>
      </c>
      <c r="G550" s="706">
        <v>258113.68</v>
      </c>
      <c r="H550" s="706">
        <v>276039.8</v>
      </c>
      <c r="I550" s="706">
        <v>276197.55</v>
      </c>
      <c r="J550" s="706">
        <v>282895.93</v>
      </c>
      <c r="K550" s="706">
        <v>273009.69</v>
      </c>
      <c r="L550" s="706">
        <v>275839.28999999998</v>
      </c>
      <c r="M550" s="706">
        <v>193376.23</v>
      </c>
      <c r="N550" s="706">
        <v>174031.13</v>
      </c>
      <c r="O550" s="706">
        <v>174031.13</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G33102</v>
      </c>
      <c r="AK550" s="905" t="str">
        <f t="shared" si="55"/>
        <v>PROVISIONS POUR VACANCES</v>
      </c>
      <c r="AL550" s="905">
        <f>IFERROR(INDEX(G550:R550,1,MATCH(Parametres!$B$3,G$1:R$1,0)-1)*IF(OR(F550="L",F550="S",F550="I"),-1,1),"")</f>
        <v>-193376.23</v>
      </c>
      <c r="AM550" s="905">
        <f t="shared" si="50"/>
        <v>19345.100000000006</v>
      </c>
      <c r="AN550" s="905">
        <f>INDEX(G550:R550,1,MATCH(Parametres!$B$3,G$1:R$1,0))*IF(OR(F550="L",F550="S",F550="I"),-1,1)</f>
        <v>-174031.13</v>
      </c>
      <c r="AO550" s="487" t="str">
        <f>+VLOOKUP($AJ550,Data_Validation!$A:$D,1,0)</f>
        <v>G33102</v>
      </c>
      <c r="AP550" s="487" t="str">
        <f>+VLOOKUP($AJ550,Data_Validation!$A:$D,3,0)</f>
        <v>Bilan</v>
      </c>
      <c r="AQ550" s="487" t="str">
        <f>+VLOOKUP($AJ550,Data_Validation!$A:$D,4,0)</f>
        <v>Salaires à Payer</v>
      </c>
      <c r="AR550" s="487" t="s">
        <v>299</v>
      </c>
      <c r="AS550" s="487">
        <f>+VLOOKUP($AJ550,Data_Validation!$A:$E,5,0)</f>
        <v>0</v>
      </c>
      <c r="AT550" s="904" t="str">
        <f t="shared" si="51"/>
        <v>G33102</v>
      </c>
      <c r="AU550" s="488" t="str">
        <f t="shared" si="52"/>
        <v>PROVISIONS POUR VACANCES</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2152</v>
      </c>
      <c r="D551" s="706" t="s">
        <v>2153</v>
      </c>
      <c r="E551" s="706" t="s">
        <v>336</v>
      </c>
      <c r="F551" s="706" t="s">
        <v>1135</v>
      </c>
      <c r="G551" s="706">
        <v>0</v>
      </c>
      <c r="H551" s="706">
        <v>900</v>
      </c>
      <c r="I551" s="706">
        <v>7000</v>
      </c>
      <c r="J551" s="706">
        <v>4068.52</v>
      </c>
      <c r="K551" s="706">
        <v>9993.52</v>
      </c>
      <c r="L551" s="706">
        <v>12361.57</v>
      </c>
      <c r="M551" s="706">
        <v>26665.25</v>
      </c>
      <c r="N551" s="706">
        <v>55110.42</v>
      </c>
      <c r="O551" s="706">
        <v>21845.98</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G33103</v>
      </c>
      <c r="AK551" s="905" t="str">
        <f t="shared" si="55"/>
        <v>RESERVE USA</v>
      </c>
      <c r="AL551" s="905">
        <f>IFERROR(INDEX(G551:R551,1,MATCH(Parametres!$B$3,G$1:R$1,0)-1)*IF(OR(F551="L",F551="S",F551="I"),-1,1),"")</f>
        <v>-26665.25</v>
      </c>
      <c r="AM551" s="905">
        <f t="shared" si="50"/>
        <v>-28445.17</v>
      </c>
      <c r="AN551" s="905">
        <f>INDEX(G551:R551,1,MATCH(Parametres!$B$3,G$1:R$1,0))*IF(OR(F551="L",F551="S",F551="I"),-1,1)</f>
        <v>-55110.42</v>
      </c>
      <c r="AO551" s="487" t="str">
        <f>+VLOOKUP($AJ551,Data_Validation!$A:$D,1,0)</f>
        <v>G33103</v>
      </c>
      <c r="AP551" s="487" t="str">
        <f>+VLOOKUP($AJ551,Data_Validation!$A:$D,3,0)</f>
        <v>Bilan</v>
      </c>
      <c r="AQ551" s="487" t="str">
        <f>+VLOOKUP($AJ551,Data_Validation!$A:$D,4,0)</f>
        <v>Autres Courus</v>
      </c>
      <c r="AR551" s="487" t="s">
        <v>299</v>
      </c>
      <c r="AS551" s="487">
        <f>+VLOOKUP($AJ551,Data_Validation!$A:$E,5,0)</f>
        <v>0</v>
      </c>
      <c r="AT551" s="904" t="str">
        <f t="shared" si="51"/>
        <v>G33103</v>
      </c>
      <c r="AU551" s="488" t="str">
        <f t="shared" si="52"/>
        <v>RESERVE USA</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2154</v>
      </c>
      <c r="D552" s="706" t="s">
        <v>2155</v>
      </c>
      <c r="E552" s="706" t="s">
        <v>1139</v>
      </c>
      <c r="F552" s="706" t="s">
        <v>1135</v>
      </c>
      <c r="G552" s="706">
        <v>11405</v>
      </c>
      <c r="H552" s="706">
        <v>14155</v>
      </c>
      <c r="I552" s="706">
        <v>16155</v>
      </c>
      <c r="J552" s="706">
        <v>17655</v>
      </c>
      <c r="K552" s="706">
        <v>18155</v>
      </c>
      <c r="L552" s="706">
        <v>18155</v>
      </c>
      <c r="M552" s="706">
        <v>18155</v>
      </c>
      <c r="N552" s="706">
        <v>18155</v>
      </c>
      <c r="O552" s="706">
        <v>18155</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G33104</v>
      </c>
      <c r="AK552" s="905" t="str">
        <f t="shared" si="55"/>
        <v>RESERVE FLOTTES</v>
      </c>
      <c r="AL552" s="905">
        <f>IFERROR(INDEX(G552:R552,1,MATCH(Parametres!$B$3,G$1:R$1,0)-1)*IF(OR(F552="L",F552="S",F552="I"),-1,1),"")</f>
        <v>-18155</v>
      </c>
      <c r="AM552" s="905">
        <f t="shared" si="50"/>
        <v>0</v>
      </c>
      <c r="AN552" s="905">
        <f>INDEX(G552:R552,1,MATCH(Parametres!$B$3,G$1:R$1,0))*IF(OR(F552="L",F552="S",F552="I"),-1,1)</f>
        <v>-18155</v>
      </c>
      <c r="AO552" s="487" t="str">
        <f>+VLOOKUP($AJ552,Data_Validation!$A:$D,1,0)</f>
        <v>G33104</v>
      </c>
      <c r="AP552" s="487" t="str">
        <f>+VLOOKUP($AJ552,Data_Validation!$A:$D,3,0)</f>
        <v>Bilan</v>
      </c>
      <c r="AQ552" s="487" t="str">
        <f>+VLOOKUP($AJ552,Data_Validation!$A:$D,4,0)</f>
        <v>Autres Courus</v>
      </c>
      <c r="AR552" s="487" t="s">
        <v>299</v>
      </c>
      <c r="AS552" s="487">
        <f>+VLOOKUP($AJ552,Data_Validation!$A:$E,5,0)</f>
        <v>0</v>
      </c>
      <c r="AT552" s="904" t="str">
        <f t="shared" si="51"/>
        <v>G33104</v>
      </c>
      <c r="AU552" s="488" t="str">
        <f t="shared" si="52"/>
        <v>RESERVE FLOTTES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2156</v>
      </c>
      <c r="D553" s="706" t="s">
        <v>2157</v>
      </c>
      <c r="E553" s="706" t="s">
        <v>336</v>
      </c>
      <c r="F553" s="706" t="s">
        <v>1135</v>
      </c>
      <c r="G553" s="706">
        <v>2230.75</v>
      </c>
      <c r="H553" s="706">
        <v>2230.75</v>
      </c>
      <c r="I553" s="706">
        <v>2230.75</v>
      </c>
      <c r="J553" s="706">
        <v>2230.75</v>
      </c>
      <c r="K553" s="706">
        <v>2230.75</v>
      </c>
      <c r="L553" s="706">
        <v>2230.75</v>
      </c>
      <c r="M553" s="706">
        <v>2230.75</v>
      </c>
      <c r="N553" s="706">
        <v>2230.75</v>
      </c>
      <c r="O553" s="706">
        <v>2230.75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G33105</v>
      </c>
      <c r="AK553" s="905" t="str">
        <f t="shared" si="55"/>
        <v>RESERVE TRANSP.WHOLESALE</v>
      </c>
      <c r="AL553" s="905">
        <f>IFERROR(INDEX(G553:R553,1,MATCH(Parametres!$B$3,G$1:R$1,0)-1)*IF(OR(F553="L",F553="S",F553="I"),-1,1),"")</f>
        <v>-2230.75</v>
      </c>
      <c r="AM553" s="905">
        <f t="shared" si="50"/>
        <v>0</v>
      </c>
      <c r="AN553" s="905">
        <f>INDEX(G553:R553,1,MATCH(Parametres!$B$3,G$1:R$1,0))*IF(OR(F553="L",F553="S",F553="I"),-1,1)</f>
        <v>-2230.75</v>
      </c>
      <c r="AO553" s="487" t="str">
        <f>+VLOOKUP($AJ553,Data_Validation!$A:$D,1,0)</f>
        <v>G33105</v>
      </c>
      <c r="AP553" s="487" t="str">
        <f>+VLOOKUP($AJ553,Data_Validation!$A:$D,3,0)</f>
        <v>Bilan</v>
      </c>
      <c r="AQ553" s="487" t="str">
        <f>+VLOOKUP($AJ553,Data_Validation!$A:$D,4,0)</f>
        <v>Autres Courus</v>
      </c>
      <c r="AR553" s="487" t="s">
        <v>299</v>
      </c>
      <c r="AS553" s="487">
        <f>+VLOOKUP($AJ553,Data_Validation!$A:$E,5,0)</f>
        <v>0</v>
      </c>
      <c r="AT553" s="904" t="str">
        <f t="shared" si="51"/>
        <v>G33105</v>
      </c>
      <c r="AU553" s="488" t="str">
        <f t="shared" si="52"/>
        <v>RESERVE TRANSP.WHOLESALE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2158</v>
      </c>
      <c r="D554" s="706" t="s">
        <v>2159</v>
      </c>
      <c r="E554" s="706" t="s">
        <v>1139</v>
      </c>
      <c r="F554" s="706" t="s">
        <v>1135</v>
      </c>
      <c r="G554" s="706">
        <v>-59856.17</v>
      </c>
      <c r="H554" s="706">
        <v>-56377.41</v>
      </c>
      <c r="I554" s="706">
        <v>-51741.85</v>
      </c>
      <c r="J554" s="706">
        <v>-41059.89</v>
      </c>
      <c r="K554" s="706">
        <v>-27006.69</v>
      </c>
      <c r="L554" s="706">
        <v>-17971.02</v>
      </c>
      <c r="M554" s="706">
        <v>34811.379999999997</v>
      </c>
      <c r="N554" s="706">
        <v>55140.79</v>
      </c>
      <c r="O554" s="706">
        <v>55140.79</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G33106</v>
      </c>
      <c r="AK554" s="905" t="str">
        <f t="shared" si="55"/>
        <v>RESERVE DEMO</v>
      </c>
      <c r="AL554" s="905">
        <f>IFERROR(INDEX(G554:R554,1,MATCH(Parametres!$B$3,G$1:R$1,0)-1)*IF(OR(F554="L",F554="S",F554="I"),-1,1),"")</f>
        <v>-34811.379999999997</v>
      </c>
      <c r="AM554" s="905">
        <f t="shared" si="50"/>
        <v>-20329.410000000003</v>
      </c>
      <c r="AN554" s="905">
        <f>INDEX(G554:R554,1,MATCH(Parametres!$B$3,G$1:R$1,0))*IF(OR(F554="L",F554="S",F554="I"),-1,1)</f>
        <v>-55140.79</v>
      </c>
      <c r="AO554" s="487" t="str">
        <f>+VLOOKUP($AJ554,Data_Validation!$A:$D,1,0)</f>
        <v>G33106</v>
      </c>
      <c r="AP554" s="487" t="str">
        <f>+VLOOKUP($AJ554,Data_Validation!$A:$D,3,0)</f>
        <v>Bilan</v>
      </c>
      <c r="AQ554" s="487" t="str">
        <f>+VLOOKUP($AJ554,Data_Validation!$A:$D,4,0)</f>
        <v>Autres Courus</v>
      </c>
      <c r="AR554" s="487" t="s">
        <v>299</v>
      </c>
      <c r="AS554" s="487">
        <f>+VLOOKUP($AJ554,Data_Validation!$A:$E,5,0)</f>
        <v>0</v>
      </c>
      <c r="AT554" s="904" t="str">
        <f t="shared" si="51"/>
        <v>G33106</v>
      </c>
      <c r="AU554" s="488" t="str">
        <f t="shared" si="52"/>
        <v>RESERVE DEMO</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2160</v>
      </c>
      <c r="D555" s="706" t="s">
        <v>2161</v>
      </c>
      <c r="E555" s="706" t="s">
        <v>1139</v>
      </c>
      <c r="F555" s="706" t="s">
        <v>1135</v>
      </c>
      <c r="G555" s="706">
        <v>-79159.12</v>
      </c>
      <c r="H555" s="706">
        <v>-79159.12</v>
      </c>
      <c r="I555" s="706">
        <v>-79633.53</v>
      </c>
      <c r="J555" s="706">
        <v>-77159.12</v>
      </c>
      <c r="K555" s="706">
        <v>-77660.12</v>
      </c>
      <c r="L555" s="706">
        <v>-77257</v>
      </c>
      <c r="M555" s="706">
        <v>-77257</v>
      </c>
      <c r="N555" s="706">
        <v>-77257</v>
      </c>
      <c r="O555" s="706">
        <v>-77257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G33107</v>
      </c>
      <c r="AK555" s="905" t="str">
        <f t="shared" si="55"/>
        <v>ACCESSOIRES FLOTTES</v>
      </c>
      <c r="AL555" s="905">
        <f>IFERROR(INDEX(G555:R555,1,MATCH(Parametres!$B$3,G$1:R$1,0)-1)*IF(OR(F555="L",F555="S",F555="I"),-1,1),"")</f>
        <v>77257</v>
      </c>
      <c r="AM555" s="905">
        <f t="shared" si="50"/>
        <v>0</v>
      </c>
      <c r="AN555" s="905">
        <f>INDEX(G555:R555,1,MATCH(Parametres!$B$3,G$1:R$1,0))*IF(OR(F555="L",F555="S",F555="I"),-1,1)</f>
        <v>77257</v>
      </c>
      <c r="AO555" s="487" t="str">
        <f>+VLOOKUP($AJ555,Data_Validation!$A:$D,1,0)</f>
        <v>G33107</v>
      </c>
      <c r="AP555" s="487" t="str">
        <f>+VLOOKUP($AJ555,Data_Validation!$A:$D,3,0)</f>
        <v>Bilan</v>
      </c>
      <c r="AQ555" s="487" t="str">
        <f>+VLOOKUP($AJ555,Data_Validation!$A:$D,4,0)</f>
        <v>Autres Comptes à Payer</v>
      </c>
      <c r="AR555" s="487" t="s">
        <v>299</v>
      </c>
      <c r="AS555" s="487">
        <f>+VLOOKUP($AJ555,Data_Validation!$A:$E,5,0)</f>
        <v>0</v>
      </c>
      <c r="AT555" s="904" t="str">
        <f t="shared" si="51"/>
        <v>G33107</v>
      </c>
      <c r="AU555" s="488" t="str">
        <f t="shared" si="52"/>
        <v>ACCESSOIRES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2162</v>
      </c>
      <c r="D556" s="706" t="s">
        <v>2163</v>
      </c>
      <c r="E556" s="706" t="s">
        <v>336</v>
      </c>
      <c r="F556" s="706" t="s">
        <v>1135</v>
      </c>
      <c r="G556" s="706">
        <v>0</v>
      </c>
      <c r="H556" s="706">
        <v>0</v>
      </c>
      <c r="I556" s="706">
        <v>0</v>
      </c>
      <c r="J556" s="706">
        <v>0</v>
      </c>
      <c r="K556" s="706">
        <v>0</v>
      </c>
      <c r="L556" s="706">
        <v>0</v>
      </c>
      <c r="M556" s="706">
        <v>0</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G33110</v>
      </c>
      <c r="AK556" s="905" t="str">
        <f t="shared" si="55"/>
        <v>RABAIS LOCATION LMB INC</v>
      </c>
      <c r="AL556" s="905">
        <f>IFERROR(INDEX(G556:R556,1,MATCH(Parametres!$B$3,G$1:R$1,0)-1)*IF(OR(F556="L",F556="S",F556="I"),-1,1),"")</f>
        <v>0</v>
      </c>
      <c r="AM556" s="905">
        <f t="shared" si="50"/>
        <v>0</v>
      </c>
      <c r="AN556" s="905">
        <f>INDEX(G556:R556,1,MATCH(Parametres!$B$3,G$1:R$1,0))*IF(OR(F556="L",F556="S",F556="I"),-1,1)</f>
        <v>0</v>
      </c>
      <c r="AO556" s="487" t="str">
        <f>+VLOOKUP($AJ556,Data_Validation!$A:$D,1,0)</f>
        <v>G33110</v>
      </c>
      <c r="AP556" s="487">
        <f>+VLOOKUP($AJ556,Data_Validation!$A:$D,3,0)</f>
        <v>0</v>
      </c>
      <c r="AQ556" s="487">
        <f>+VLOOKUP($AJ556,Data_Validation!$A:$D,4,0)</f>
        <v>0</v>
      </c>
      <c r="AR556" s="487" t="s">
        <v>299</v>
      </c>
      <c r="AS556" s="487">
        <f>+VLOOKUP($AJ556,Data_Validation!$A:$E,5,0)</f>
        <v>0</v>
      </c>
      <c r="AT556" s="904" t="str">
        <f t="shared" si="51"/>
        <v>G33110</v>
      </c>
      <c r="AU556" s="488" t="str">
        <f t="shared" si="52"/>
        <v>RABAIS LOCATION LMB INC</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2164</v>
      </c>
      <c r="D557" s="706" t="s">
        <v>2165</v>
      </c>
      <c r="E557" s="706" t="s">
        <v>333</v>
      </c>
      <c r="F557" s="706" t="s">
        <v>1135</v>
      </c>
      <c r="G557" s="706">
        <v>-200</v>
      </c>
      <c r="H557" s="706">
        <v>-200</v>
      </c>
      <c r="I557" s="706">
        <v>-200</v>
      </c>
      <c r="J557" s="706">
        <v>-200</v>
      </c>
      <c r="K557" s="706">
        <v>750</v>
      </c>
      <c r="L557" s="706">
        <v>1550</v>
      </c>
      <c r="M557" s="706">
        <v>6196</v>
      </c>
      <c r="N557" s="706">
        <v>21136</v>
      </c>
      <c r="O557" s="706">
        <v>21136</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G33111</v>
      </c>
      <c r="AK557" s="905" t="str">
        <f t="shared" si="55"/>
        <v>PROVISION WHOLESSALE</v>
      </c>
      <c r="AL557" s="905">
        <f>IFERROR(INDEX(G557:R557,1,MATCH(Parametres!$B$3,G$1:R$1,0)-1)*IF(OR(F557="L",F557="S",F557="I"),-1,1),"")</f>
        <v>-6196</v>
      </c>
      <c r="AM557" s="905">
        <f t="shared" si="50"/>
        <v>-14940</v>
      </c>
      <c r="AN557" s="905">
        <f>INDEX(G557:R557,1,MATCH(Parametres!$B$3,G$1:R$1,0))*IF(OR(F557="L",F557="S",F557="I"),-1,1)</f>
        <v>-21136</v>
      </c>
      <c r="AO557" s="487" t="str">
        <f>+VLOOKUP($AJ557,Data_Validation!$A:$D,1,0)</f>
        <v>G33111</v>
      </c>
      <c r="AP557" s="487" t="str">
        <f>+VLOOKUP($AJ557,Data_Validation!$A:$D,3,0)</f>
        <v>Bilan</v>
      </c>
      <c r="AQ557" s="487" t="str">
        <f>+VLOOKUP($AJ557,Data_Validation!$A:$D,4,0)</f>
        <v>Autres Courus</v>
      </c>
      <c r="AR557" s="487" t="s">
        <v>299</v>
      </c>
      <c r="AS557" s="487">
        <f>+VLOOKUP($AJ557,Data_Validation!$A:$E,5,0)</f>
        <v>0</v>
      </c>
      <c r="AT557" s="904" t="str">
        <f t="shared" si="51"/>
        <v>G33111</v>
      </c>
      <c r="AU557" s="488" t="str">
        <f t="shared" si="52"/>
        <v>PROVISION WHOLESSALE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2166</v>
      </c>
      <c r="D558" s="706" t="s">
        <v>2167</v>
      </c>
      <c r="E558" s="706" t="s">
        <v>333</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G33112</v>
      </c>
      <c r="AK558" s="905" t="str">
        <f t="shared" si="55"/>
        <v>PROVISION DETAIL</v>
      </c>
      <c r="AL558" s="905">
        <f>IFERROR(INDEX(G558:R558,1,MATCH(Parametres!$B$3,G$1:R$1,0)-1)*IF(OR(F558="L",F558="S",F558="I"),-1,1),"")</f>
        <v>0</v>
      </c>
      <c r="AM558" s="905">
        <f t="shared" si="50"/>
        <v>0</v>
      </c>
      <c r="AN558" s="905">
        <f>INDEX(G558:R558,1,MATCH(Parametres!$B$3,G$1:R$1,0))*IF(OR(F558="L",F558="S",F558="I"),-1,1)</f>
        <v>0</v>
      </c>
      <c r="AO558" s="487" t="str">
        <f>+VLOOKUP($AJ558,Data_Validation!$A:$D,1,0)</f>
        <v>G33112</v>
      </c>
      <c r="AP558" s="487" t="str">
        <f>+VLOOKUP($AJ558,Data_Validation!$A:$D,3,0)</f>
        <v>Bilan</v>
      </c>
      <c r="AQ558" s="487" t="str">
        <f>+VLOOKUP($AJ558,Data_Validation!$A:$D,4,0)</f>
        <v>Autres Courus</v>
      </c>
      <c r="AR558" s="487" t="s">
        <v>299</v>
      </c>
      <c r="AS558" s="487">
        <f>+VLOOKUP($AJ558,Data_Validation!$A:$E,5,0)</f>
        <v>0</v>
      </c>
      <c r="AT558" s="904" t="str">
        <f t="shared" si="51"/>
        <v>G33112</v>
      </c>
      <c r="AU558" s="488" t="str">
        <f t="shared" si="52"/>
        <v>PROVISION DETAIL</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2168</v>
      </c>
      <c r="D559" s="706" t="s">
        <v>2169</v>
      </c>
      <c r="E559" s="706" t="s">
        <v>333</v>
      </c>
      <c r="F559" s="706" t="s">
        <v>1135</v>
      </c>
      <c r="G559" s="706">
        <v>6050</v>
      </c>
      <c r="H559" s="706">
        <v>7800</v>
      </c>
      <c r="I559" s="706">
        <v>11050</v>
      </c>
      <c r="J559" s="706">
        <v>18950</v>
      </c>
      <c r="K559" s="706">
        <v>48850</v>
      </c>
      <c r="L559" s="706">
        <v>70500</v>
      </c>
      <c r="M559" s="706">
        <v>79450</v>
      </c>
      <c r="N559" s="706">
        <v>91750</v>
      </c>
      <c r="O559" s="706">
        <v>91750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G33113</v>
      </c>
      <c r="AK559" s="905" t="str">
        <f t="shared" si="55"/>
        <v>PROVISION USA</v>
      </c>
      <c r="AL559" s="905">
        <f>IFERROR(INDEX(G559:R559,1,MATCH(Parametres!$B$3,G$1:R$1,0)-1)*IF(OR(F559="L",F559="S",F559="I"),-1,1),"")</f>
        <v>-79450</v>
      </c>
      <c r="AM559" s="905">
        <f t="shared" si="50"/>
        <v>-12300</v>
      </c>
      <c r="AN559" s="905">
        <f>INDEX(G559:R559,1,MATCH(Parametres!$B$3,G$1:R$1,0))*IF(OR(F559="L",F559="S",F559="I"),-1,1)</f>
        <v>-91750</v>
      </c>
      <c r="AO559" s="487" t="str">
        <f>+VLOOKUP($AJ559,Data_Validation!$A:$D,1,0)</f>
        <v>G33113</v>
      </c>
      <c r="AP559" s="487" t="str">
        <f>+VLOOKUP($AJ559,Data_Validation!$A:$D,3,0)</f>
        <v>Bilan</v>
      </c>
      <c r="AQ559" s="487" t="str">
        <f>+VLOOKUP($AJ559,Data_Validation!$A:$D,4,0)</f>
        <v>Autres Courus</v>
      </c>
      <c r="AR559" s="487" t="s">
        <v>299</v>
      </c>
      <c r="AS559" s="487">
        <f>+VLOOKUP($AJ559,Data_Validation!$A:$E,5,0)</f>
        <v>0</v>
      </c>
      <c r="AT559" s="904" t="str">
        <f t="shared" si="51"/>
        <v>G33113</v>
      </c>
      <c r="AU559" s="488" t="str">
        <f t="shared" si="52"/>
        <v>PROVISION USA</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2170</v>
      </c>
      <c r="D560" s="706" t="s">
        <v>2171</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G33114</v>
      </c>
      <c r="AK560" s="905" t="str">
        <f t="shared" si="55"/>
        <v>PROVISION HERELLE</v>
      </c>
      <c r="AL560" s="905">
        <f>IFERROR(INDEX(G560:R560,1,MATCH(Parametres!$B$3,G$1:R$1,0)-1)*IF(OR(F560="L",F560="S",F560="I"),-1,1),"")</f>
        <v>0</v>
      </c>
      <c r="AM560" s="905">
        <f t="shared" si="50"/>
        <v>0</v>
      </c>
      <c r="AN560" s="905">
        <f>INDEX(G560:R560,1,MATCH(Parametres!$B$3,G$1:R$1,0))*IF(OR(F560="L",F560="S",F560="I"),-1,1)</f>
        <v>0</v>
      </c>
      <c r="AO560" s="487" t="str">
        <f>+VLOOKUP($AJ560,Data_Validation!$A:$D,1,0)</f>
        <v>G33114</v>
      </c>
      <c r="AP560" s="487" t="str">
        <f>+VLOOKUP($AJ560,Data_Validation!$A:$D,3,0)</f>
        <v>Bilan</v>
      </c>
      <c r="AQ560" s="487" t="str">
        <f>+VLOOKUP($AJ560,Data_Validation!$A:$D,4,0)</f>
        <v>Autres Courus</v>
      </c>
      <c r="AR560" s="487" t="s">
        <v>299</v>
      </c>
      <c r="AS560" s="487">
        <f>+VLOOKUP($AJ560,Data_Validation!$A:$E,5,0)</f>
        <v>0</v>
      </c>
      <c r="AT560" s="904" t="str">
        <f t="shared" si="51"/>
        <v>G33114</v>
      </c>
      <c r="AU560" s="488" t="str">
        <f t="shared" si="52"/>
        <v>PROVISION HERELLE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2172</v>
      </c>
      <c r="D561" s="706" t="s">
        <v>2173</v>
      </c>
      <c r="E561" s="706" t="s">
        <v>336</v>
      </c>
      <c r="F561" s="706" t="s">
        <v>1135</v>
      </c>
      <c r="G561" s="706">
        <v>-401.17</v>
      </c>
      <c r="H561" s="706">
        <v>20908.189999999999</v>
      </c>
      <c r="I561" s="706">
        <v>-0.02</v>
      </c>
      <c r="J561" s="706">
        <v>9.4</v>
      </c>
      <c r="K561" s="706">
        <v>37602.910000000003</v>
      </c>
      <c r="L561" s="706">
        <v>49318.7</v>
      </c>
      <c r="M561" s="706">
        <v>49318.7</v>
      </c>
      <c r="N561" s="706">
        <v>45353.79</v>
      </c>
      <c r="O561" s="706">
        <v>45353.79</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G33115</v>
      </c>
      <c r="AK561" s="905" t="str">
        <f t="shared" si="55"/>
        <v>PROVISION LMB</v>
      </c>
      <c r="AL561" s="905">
        <f>IFERROR(INDEX(G561:R561,1,MATCH(Parametres!$B$3,G$1:R$1,0)-1)*IF(OR(F561="L",F561="S",F561="I"),-1,1),"")</f>
        <v>-49318.7</v>
      </c>
      <c r="AM561" s="905">
        <f t="shared" si="50"/>
        <v>3964.9099999999962</v>
      </c>
      <c r="AN561" s="905">
        <f>INDEX(G561:R561,1,MATCH(Parametres!$B$3,G$1:R$1,0))*IF(OR(F561="L",F561="S",F561="I"),-1,1)</f>
        <v>-45353.79</v>
      </c>
      <c r="AO561" s="487" t="str">
        <f>+VLOOKUP($AJ561,Data_Validation!$A:$D,1,0)</f>
        <v>G33115</v>
      </c>
      <c r="AP561" s="487" t="str">
        <f>+VLOOKUP($AJ561,Data_Validation!$A:$D,3,0)</f>
        <v>Bilan</v>
      </c>
      <c r="AQ561" s="487" t="str">
        <f>+VLOOKUP($AJ561,Data_Validation!$A:$D,4,0)</f>
        <v>Autres Courus</v>
      </c>
      <c r="AR561" s="487" t="s">
        <v>299</v>
      </c>
      <c r="AS561" s="487">
        <f>+VLOOKUP($AJ561,Data_Validation!$A:$E,5,0)</f>
        <v>0</v>
      </c>
      <c r="AT561" s="904" t="str">
        <f t="shared" si="51"/>
        <v>G33115</v>
      </c>
      <c r="AU561" s="488" t="str">
        <f t="shared" si="52"/>
        <v>PROVISION LMB</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2174</v>
      </c>
      <c r="D562" s="706" t="s">
        <v>2175</v>
      </c>
      <c r="E562" s="706" t="s">
        <v>336</v>
      </c>
      <c r="F562" s="706" t="s">
        <v>1135</v>
      </c>
      <c r="G562" s="706">
        <v>0</v>
      </c>
      <c r="H562" s="706">
        <v>0</v>
      </c>
      <c r="I562" s="706">
        <v>0</v>
      </c>
      <c r="J562" s="706">
        <v>0</v>
      </c>
      <c r="K562" s="706">
        <v>410.14</v>
      </c>
      <c r="L562" s="706">
        <v>391.57</v>
      </c>
      <c r="M562" s="706">
        <v>391.57</v>
      </c>
      <c r="N562" s="706">
        <v>5363.78</v>
      </c>
      <c r="O562" s="706">
        <v>5363.78</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G33116</v>
      </c>
      <c r="AK562" s="905" t="str">
        <f t="shared" si="55"/>
        <v>PROVISION USA LMB</v>
      </c>
      <c r="AL562" s="905">
        <f>IFERROR(INDEX(G562:R562,1,MATCH(Parametres!$B$3,G$1:R$1,0)-1)*IF(OR(F562="L",F562="S",F562="I"),-1,1),"")</f>
        <v>-391.57</v>
      </c>
      <c r="AM562" s="905">
        <f t="shared" si="50"/>
        <v>-4972.21</v>
      </c>
      <c r="AN562" s="905">
        <f>INDEX(G562:R562,1,MATCH(Parametres!$B$3,G$1:R$1,0))*IF(OR(F562="L",F562="S",F562="I"),-1,1)</f>
        <v>-5363.78</v>
      </c>
      <c r="AO562" s="487" t="str">
        <f>+VLOOKUP($AJ562,Data_Validation!$A:$D,1,0)</f>
        <v>G33116</v>
      </c>
      <c r="AP562" s="487" t="str">
        <f>+VLOOKUP($AJ562,Data_Validation!$A:$D,3,0)</f>
        <v>Bilan</v>
      </c>
      <c r="AQ562" s="487" t="str">
        <f>+VLOOKUP($AJ562,Data_Validation!$A:$D,4,0)</f>
        <v>Autres Courus</v>
      </c>
      <c r="AR562" s="487" t="s">
        <v>299</v>
      </c>
      <c r="AS562" s="487">
        <f>+VLOOKUP($AJ562,Data_Validation!$A:$E,5,0)</f>
        <v>0</v>
      </c>
      <c r="AT562" s="904" t="str">
        <f t="shared" si="51"/>
        <v>G33116</v>
      </c>
      <c r="AU562" s="488" t="str">
        <f t="shared" si="52"/>
        <v>PROVISION USA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2176</v>
      </c>
      <c r="D563" s="706" t="s">
        <v>2177</v>
      </c>
      <c r="E563" s="706" t="s">
        <v>336</v>
      </c>
      <c r="F563" s="706" t="s">
        <v>1135</v>
      </c>
      <c r="G563" s="706">
        <v>0</v>
      </c>
      <c r="H563" s="706">
        <v>0</v>
      </c>
      <c r="I563" s="706">
        <v>0</v>
      </c>
      <c r="J563" s="706">
        <v>0</v>
      </c>
      <c r="K563" s="706">
        <v>1108.44</v>
      </c>
      <c r="L563" s="706">
        <v>0</v>
      </c>
      <c r="M563" s="706">
        <v>0</v>
      </c>
      <c r="N563" s="706">
        <v>1326.81</v>
      </c>
      <c r="O563" s="706">
        <v>1326.81</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G33117</v>
      </c>
      <c r="AK563" s="905" t="str">
        <f t="shared" si="55"/>
        <v>PROVISION USA BMW</v>
      </c>
      <c r="AL563" s="905">
        <f>IFERROR(INDEX(G563:R563,1,MATCH(Parametres!$B$3,G$1:R$1,0)-1)*IF(OR(F563="L",F563="S",F563="I"),-1,1),"")</f>
        <v>0</v>
      </c>
      <c r="AM563" s="905">
        <f t="shared" si="50"/>
        <v>-1326.81</v>
      </c>
      <c r="AN563" s="905">
        <f>INDEX(G563:R563,1,MATCH(Parametres!$B$3,G$1:R$1,0))*IF(OR(F563="L",F563="S",F563="I"),-1,1)</f>
        <v>-1326.81</v>
      </c>
      <c r="AO563" s="487" t="str">
        <f>+VLOOKUP($AJ563,Data_Validation!$A:$D,1,0)</f>
        <v>G33117</v>
      </c>
      <c r="AP563" s="487" t="str">
        <f>+VLOOKUP($AJ563,Data_Validation!$A:$D,3,0)</f>
        <v>Bilan</v>
      </c>
      <c r="AQ563" s="487" t="str">
        <f>+VLOOKUP($AJ563,Data_Validation!$A:$D,4,0)</f>
        <v>Autres Courus</v>
      </c>
      <c r="AR563" s="487" t="s">
        <v>299</v>
      </c>
      <c r="AS563" s="487">
        <f>+VLOOKUP($AJ563,Data_Validation!$A:$E,5,0)</f>
        <v>0</v>
      </c>
      <c r="AT563" s="904" t="str">
        <f t="shared" si="51"/>
        <v>G33117</v>
      </c>
      <c r="AU563" s="488" t="str">
        <f t="shared" si="52"/>
        <v>PROVISION USA BMW</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3423</v>
      </c>
      <c r="D564" s="706" t="s">
        <v>3424</v>
      </c>
      <c r="E564" s="706" t="s">
        <v>333</v>
      </c>
      <c r="F564" s="706" t="s">
        <v>1135</v>
      </c>
      <c r="G564" s="706">
        <v>0</v>
      </c>
      <c r="H564" s="706">
        <v>0</v>
      </c>
      <c r="I564" s="706">
        <v>0</v>
      </c>
      <c r="J564" s="706">
        <v>0</v>
      </c>
      <c r="K564" s="706">
        <v>0</v>
      </c>
      <c r="L564" s="706">
        <v>0</v>
      </c>
      <c r="M564" s="706">
        <v>-23333.35</v>
      </c>
      <c r="N564" s="706">
        <v>-23333.35</v>
      </c>
      <c r="O564" s="706">
        <v>-23333.35</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G33120</v>
      </c>
      <c r="AK564" s="905" t="str">
        <f t="shared" si="55"/>
        <v>HONORAIRE VERIFICATION</v>
      </c>
      <c r="AL564" s="905">
        <f>IFERROR(INDEX(G564:R564,1,MATCH(Parametres!$B$3,G$1:R$1,0)-1)*IF(OR(F564="L",F564="S",F564="I"),-1,1),"")</f>
        <v>23333.35</v>
      </c>
      <c r="AM564" s="905">
        <f t="shared" si="50"/>
        <v>0</v>
      </c>
      <c r="AN564" s="905">
        <f>INDEX(G564:R564,1,MATCH(Parametres!$B$3,G$1:R$1,0))*IF(OR(F564="L",F564="S",F564="I"),-1,1)</f>
        <v>23333.35</v>
      </c>
      <c r="AO564" s="487" t="str">
        <f>+VLOOKUP($AJ564,Data_Validation!$A:$D,1,0)</f>
        <v>G33120</v>
      </c>
      <c r="AP564" s="487" t="str">
        <f>+VLOOKUP($AJ564,Data_Validation!$A:$D,3,0)</f>
        <v>Bilan</v>
      </c>
      <c r="AQ564" s="487" t="str">
        <f>+VLOOKUP($AJ564,Data_Validation!$A:$D,4,0)</f>
        <v>Autres Courus</v>
      </c>
      <c r="AR564" s="487" t="s">
        <v>299</v>
      </c>
      <c r="AS564" s="487">
        <f>+VLOOKUP($AJ564,Data_Validation!$A:$E,5,0)</f>
        <v>0</v>
      </c>
      <c r="AT564" s="904" t="str">
        <f t="shared" si="51"/>
        <v>G33120</v>
      </c>
      <c r="AU564" s="488" t="str">
        <f t="shared" si="52"/>
        <v>HONORAIRE VERIFICATION</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2178</v>
      </c>
      <c r="D565" s="706" t="s">
        <v>2179</v>
      </c>
      <c r="E565" s="706" t="s">
        <v>1139</v>
      </c>
      <c r="F565" s="706" t="s">
        <v>1135</v>
      </c>
      <c r="G565" s="706">
        <v>4200</v>
      </c>
      <c r="H565" s="706">
        <v>1950</v>
      </c>
      <c r="I565" s="706">
        <v>4700</v>
      </c>
      <c r="J565" s="706">
        <v>8700</v>
      </c>
      <c r="K565" s="706">
        <v>12824</v>
      </c>
      <c r="L565" s="706">
        <v>12824</v>
      </c>
      <c r="M565" s="706">
        <v>12824</v>
      </c>
      <c r="N565" s="706">
        <v>6575</v>
      </c>
      <c r="O565" s="706">
        <v>6575</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G33150</v>
      </c>
      <c r="AK565" s="905" t="str">
        <f t="shared" si="55"/>
        <v>SIMPLICITÉ RABAIS À PAYER</v>
      </c>
      <c r="AL565" s="905">
        <f>IFERROR(INDEX(G565:R565,1,MATCH(Parametres!$B$3,G$1:R$1,0)-1)*IF(OR(F565="L",F565="S",F565="I"),-1,1),"")</f>
        <v>-12824</v>
      </c>
      <c r="AM565" s="905">
        <f t="shared" si="50"/>
        <v>6249</v>
      </c>
      <c r="AN565" s="905">
        <f>INDEX(G565:R565,1,MATCH(Parametres!$B$3,G$1:R$1,0))*IF(OR(F565="L",F565="S",F565="I"),-1,1)</f>
        <v>-6575</v>
      </c>
      <c r="AO565" s="487" t="str">
        <f>+VLOOKUP($AJ565,Data_Validation!$A:$D,1,0)</f>
        <v>G33150</v>
      </c>
      <c r="AP565" s="487" t="str">
        <f>+VLOOKUP($AJ565,Data_Validation!$A:$D,3,0)</f>
        <v>Bilan</v>
      </c>
      <c r="AQ565" s="487" t="str">
        <f>+VLOOKUP($AJ565,Data_Validation!$A:$D,4,0)</f>
        <v>Autres Courus</v>
      </c>
      <c r="AR565" s="487" t="s">
        <v>299</v>
      </c>
      <c r="AS565" s="487">
        <f>+VLOOKUP($AJ565,Data_Validation!$A:$E,5,0)</f>
        <v>0</v>
      </c>
      <c r="AT565" s="904" t="str">
        <f t="shared" si="51"/>
        <v>G33150</v>
      </c>
      <c r="AU565" s="488" t="str">
        <f t="shared" si="52"/>
        <v>SIMPLICITÉ RABAIS À PAYER</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2180</v>
      </c>
      <c r="D566" s="706" t="s">
        <v>2181</v>
      </c>
      <c r="E566" s="706" t="s">
        <v>333</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G33200</v>
      </c>
      <c r="AK566" s="905" t="str">
        <f t="shared" si="55"/>
        <v>RACHAT ACTIONS PRIVILEGIE</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G33200</v>
      </c>
      <c r="AU566" s="488" t="str">
        <f t="shared" si="52"/>
        <v>RACHAT ACTIONS PRIVILEGIE</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hidden="1" customHeight="1">
      <c r="A567" s="706" t="s">
        <v>1148</v>
      </c>
      <c r="B567" s="706">
        <v>2026</v>
      </c>
      <c r="C567" s="706" t="s">
        <v>2182</v>
      </c>
      <c r="D567" s="706" t="s">
        <v>2183</v>
      </c>
      <c r="E567" s="706" t="s">
        <v>333</v>
      </c>
      <c r="F567" s="706" t="s">
        <v>1135</v>
      </c>
      <c r="G567" s="706">
        <v>-30962</v>
      </c>
      <c r="H567" s="706">
        <v>-30962</v>
      </c>
      <c r="I567" s="706">
        <v>-30962</v>
      </c>
      <c r="J567" s="706">
        <v>-30962</v>
      </c>
      <c r="K567" s="706">
        <v>-30962</v>
      </c>
      <c r="L567" s="706">
        <v>-30962</v>
      </c>
      <c r="M567" s="706">
        <v>88167</v>
      </c>
      <c r="N567" s="706">
        <v>88167</v>
      </c>
      <c r="O567" s="706">
        <v>88167</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G33300</v>
      </c>
      <c r="AK567" s="905" t="str">
        <f t="shared" si="55"/>
        <v>ACTIF D'IMPOTS FUTURS</v>
      </c>
      <c r="AL567" s="905">
        <f>IFERROR(INDEX(G567:R567,1,MATCH(Parametres!$B$3,G$1:R$1,0)-1)*IF(OR(F567="L",F567="S",F567="I"),-1,1),"")</f>
        <v>-88167</v>
      </c>
      <c r="AM567" s="905">
        <f t="shared" si="50"/>
        <v>0</v>
      </c>
      <c r="AN567" s="905">
        <f>INDEX(G567:R567,1,MATCH(Parametres!$B$3,G$1:R$1,0))*IF(OR(F567="L",F567="S",F567="I"),-1,1)</f>
        <v>-88167</v>
      </c>
      <c r="AO567" s="487" t="str">
        <f>+VLOOKUP($AJ567,Data_Validation!$A:$D,1,0)</f>
        <v>G33300</v>
      </c>
      <c r="AP567" s="487" t="str">
        <f>+VLOOKUP($AJ567,Data_Validation!$A:$D,3,0)</f>
        <v>Bilan</v>
      </c>
      <c r="AQ567" s="487" t="str">
        <f>+VLOOKUP($AJ567,Data_Validation!$A:$D,4,0)</f>
        <v>Impôts Futurs à payer</v>
      </c>
      <c r="AR567" s="487" t="s">
        <v>299</v>
      </c>
      <c r="AS567" s="487">
        <f>+VLOOKUP($AJ567,Data_Validation!$A:$E,5,0)</f>
        <v>0</v>
      </c>
      <c r="AT567" s="904" t="str">
        <f t="shared" si="51"/>
        <v>G33300</v>
      </c>
      <c r="AU567" s="488" t="str">
        <f t="shared" si="52"/>
        <v>ACTIF D'IMPOTS FUTURS</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2184</v>
      </c>
      <c r="D568" s="706" t="s">
        <v>2185</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G33400</v>
      </c>
      <c r="AK568" s="905" t="str">
        <f t="shared" si="55"/>
        <v>MARGE DE CRÉDIT &amp; LOYER</v>
      </c>
      <c r="AL568" s="905">
        <f>IFERROR(INDEX(G568:R568,1,MATCH(Parametres!$B$3,G$1:R$1,0)-1)*IF(OR(F568="L",F568="S",F568="I"),-1,1),"")</f>
        <v>0</v>
      </c>
      <c r="AM568" s="905">
        <f t="shared" si="50"/>
        <v>0</v>
      </c>
      <c r="AN568" s="905">
        <f>INDEX(G568:R568,1,MATCH(Parametres!$B$3,G$1:R$1,0))*IF(OR(F568="L",F568="S",F568="I"),-1,1)</f>
        <v>0</v>
      </c>
      <c r="AO568" s="487" t="str">
        <f>+VLOOKUP($AJ568,Data_Validation!$A:$D,1,0)</f>
        <v>G33400</v>
      </c>
      <c r="AP568" s="487" t="str">
        <f>+VLOOKUP($AJ568,Data_Validation!$A:$D,3,0)</f>
        <v>Bilan</v>
      </c>
      <c r="AQ568" s="487" t="str">
        <f>+VLOOKUP($AJ568,Data_Validation!$A:$D,4,0)</f>
        <v>Marge de crédit</v>
      </c>
      <c r="AR568" s="487" t="s">
        <v>299</v>
      </c>
      <c r="AS568" s="487">
        <f>+VLOOKUP($AJ568,Data_Validation!$A:$E,5,0)</f>
        <v>0</v>
      </c>
      <c r="AT568" s="904" t="str">
        <f t="shared" si="51"/>
        <v>G33400</v>
      </c>
      <c r="AU568" s="488" t="str">
        <f t="shared" si="52"/>
        <v>MARGE DE CRÉDIT &amp; LOYER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2186</v>
      </c>
      <c r="D569" s="706" t="s">
        <v>2187</v>
      </c>
      <c r="E569" s="706" t="s">
        <v>333</v>
      </c>
      <c r="F569" s="706" t="s">
        <v>1135</v>
      </c>
      <c r="G569" s="706">
        <v>-62787</v>
      </c>
      <c r="H569" s="706">
        <v>-62787</v>
      </c>
      <c r="I569" s="706">
        <v>-62787</v>
      </c>
      <c r="J569" s="706">
        <v>-62787</v>
      </c>
      <c r="K569" s="706">
        <v>-62787</v>
      </c>
      <c r="L569" s="706">
        <v>-62787</v>
      </c>
      <c r="M569" s="706">
        <v>-156705</v>
      </c>
      <c r="N569" s="706">
        <v>-156705</v>
      </c>
      <c r="O569" s="706">
        <v>-156705</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G33600</v>
      </c>
      <c r="AK569" s="905" t="str">
        <f t="shared" si="55"/>
        <v>RRI</v>
      </c>
      <c r="AL569" s="905">
        <f>IFERROR(INDEX(G569:R569,1,MATCH(Parametres!$B$3,G$1:R$1,0)-1)*IF(OR(F569="L",F569="S",F569="I"),-1,1),"")</f>
        <v>156705</v>
      </c>
      <c r="AM569" s="905">
        <f t="shared" si="50"/>
        <v>0</v>
      </c>
      <c r="AN569" s="905">
        <f>INDEX(G569:R569,1,MATCH(Parametres!$B$3,G$1:R$1,0))*IF(OR(F569="L",F569="S",F569="I"),-1,1)</f>
        <v>156705</v>
      </c>
      <c r="AO569" s="487" t="str">
        <f>+VLOOKUP($AJ569,Data_Validation!$A:$D,1,0)</f>
        <v>G33600</v>
      </c>
      <c r="AP569" s="487" t="str">
        <f>+VLOOKUP($AJ569,Data_Validation!$A:$D,3,0)</f>
        <v>Bilan</v>
      </c>
      <c r="AQ569" s="487" t="str">
        <f>+VLOOKUP($AJ569,Data_Validation!$A:$D,4,0)</f>
        <v>Frais Payés d'Avance</v>
      </c>
      <c r="AR569" s="487" t="s">
        <v>299</v>
      </c>
      <c r="AS569" s="487">
        <f>+VLOOKUP($AJ569,Data_Validation!$A:$E,5,0)</f>
        <v>0</v>
      </c>
      <c r="AT569" s="904" t="str">
        <f t="shared" si="51"/>
        <v>G33600</v>
      </c>
      <c r="AU569" s="488" t="str">
        <f t="shared" si="52"/>
        <v>RRI</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2188</v>
      </c>
      <c r="D570" s="706" t="s">
        <v>2189</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G34000</v>
      </c>
      <c r="AK570" s="905" t="str">
        <f t="shared" si="55"/>
        <v>PROV.CREANCES DOUTEUSES</v>
      </c>
      <c r="AL570" s="905">
        <f>IFERROR(INDEX(G570:R570,1,MATCH(Parametres!$B$3,G$1:R$1,0)-1)*IF(OR(F570="L",F570="S",F570="I"),-1,1),"")</f>
        <v>0</v>
      </c>
      <c r="AM570" s="905">
        <f t="shared" si="50"/>
        <v>0</v>
      </c>
      <c r="AN570" s="905">
        <f>INDEX(G570:R570,1,MATCH(Parametres!$B$3,G$1:R$1,0))*IF(OR(F570="L",F570="S",F570="I"),-1,1)</f>
        <v>0</v>
      </c>
      <c r="AO570" s="487" t="str">
        <f>+VLOOKUP($AJ570,Data_Validation!$A:$D,1,0)</f>
        <v>G34000</v>
      </c>
      <c r="AP570" s="487">
        <f>+VLOOKUP($AJ570,Data_Validation!$A:$D,3,0)</f>
        <v>0</v>
      </c>
      <c r="AQ570" s="487">
        <f>+VLOOKUP($AJ570,Data_Validation!$A:$D,4,0)</f>
        <v>0</v>
      </c>
      <c r="AR570" s="487" t="s">
        <v>299</v>
      </c>
      <c r="AS570" s="487">
        <f>+VLOOKUP($AJ570,Data_Validation!$A:$E,5,0)</f>
        <v>0</v>
      </c>
      <c r="AT570" s="904" t="str">
        <f t="shared" si="51"/>
        <v>G34000</v>
      </c>
      <c r="AU570" s="488" t="str">
        <f t="shared" si="52"/>
        <v>PROV.CREANCES DOUTEUSES</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2190</v>
      </c>
      <c r="D571" s="706" t="s">
        <v>2191</v>
      </c>
      <c r="E571" s="706" t="s">
        <v>333</v>
      </c>
      <c r="F571" s="706" t="s">
        <v>1135</v>
      </c>
      <c r="G571" s="706">
        <v>1394309.58</v>
      </c>
      <c r="H571" s="706">
        <v>1394309.58</v>
      </c>
      <c r="I571" s="706">
        <v>1399339.58</v>
      </c>
      <c r="J571" s="706">
        <v>1414429.58</v>
      </c>
      <c r="K571" s="706">
        <v>1419459.58</v>
      </c>
      <c r="L571" s="706">
        <v>1424489.58</v>
      </c>
      <c r="M571" s="706">
        <v>1435855.58</v>
      </c>
      <c r="N571" s="706">
        <v>1440885.58</v>
      </c>
      <c r="O571" s="706">
        <v>1440885.58</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G35200</v>
      </c>
      <c r="AK571" s="905" t="str">
        <f t="shared" si="55"/>
        <v>AMORT.ACC.MACHINERIE,EQUI</v>
      </c>
      <c r="AL571" s="905">
        <f>IFERROR(INDEX(G571:R571,1,MATCH(Parametres!$B$3,G$1:R$1,0)-1)*IF(OR(F571="L",F571="S",F571="I"),-1,1),"")</f>
        <v>-1435855.58</v>
      </c>
      <c r="AM571" s="905">
        <f t="shared" si="50"/>
        <v>-5030</v>
      </c>
      <c r="AN571" s="905">
        <f>INDEX(G571:R571,1,MATCH(Parametres!$B$3,G$1:R$1,0))*IF(OR(F571="L",F571="S",F571="I"),-1,1)</f>
        <v>-1440885.58</v>
      </c>
      <c r="AO571" s="487" t="str">
        <f>+VLOOKUP($AJ571,Data_Validation!$A:$D,1,0)</f>
        <v>G35200</v>
      </c>
      <c r="AP571" s="487" t="str">
        <f>+VLOOKUP($AJ571,Data_Validation!$A:$D,3,0)</f>
        <v>Bilan</v>
      </c>
      <c r="AQ571" s="487" t="str">
        <f>+VLOOKUP($AJ571,Data_Validation!$A:$D,4,0)</f>
        <v>Équipements Service</v>
      </c>
      <c r="AR571" s="487" t="s">
        <v>299</v>
      </c>
      <c r="AS571" s="487">
        <f>+VLOOKUP($AJ571,Data_Validation!$A:$E,5,0)</f>
        <v>0</v>
      </c>
      <c r="AT571" s="904" t="str">
        <f t="shared" si="51"/>
        <v>G35200</v>
      </c>
      <c r="AU571" s="488" t="str">
        <f t="shared" si="52"/>
        <v>AMORT.ACC.MACHINERIE,EQUI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2192</v>
      </c>
      <c r="D572" s="706" t="s">
        <v>2193</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G35210</v>
      </c>
      <c r="AK572" s="905" t="str">
        <f t="shared" si="55"/>
        <v>AMORT.ACC.MACHINERIE,CARR</v>
      </c>
      <c r="AL572" s="905">
        <f>IFERROR(INDEX(G572:R572,1,MATCH(Parametres!$B$3,G$1:R$1,0)-1)*IF(OR(F572="L",F572="S",F572="I"),-1,1),"")</f>
        <v>0</v>
      </c>
      <c r="AM572" s="905">
        <f t="shared" si="50"/>
        <v>0</v>
      </c>
      <c r="AN572" s="905">
        <f>INDEX(G572:R572,1,MATCH(Parametres!$B$3,G$1:R$1,0))*IF(OR(F572="L",F572="S",F572="I"),-1,1)</f>
        <v>0</v>
      </c>
      <c r="AO572" s="487" t="str">
        <f>+VLOOKUP($AJ572,Data_Validation!$A:$D,1,0)</f>
        <v>G35210</v>
      </c>
      <c r="AP572" s="487" t="str">
        <f>+VLOOKUP($AJ572,Data_Validation!$A:$D,3,0)</f>
        <v>Bilan</v>
      </c>
      <c r="AQ572" s="487" t="str">
        <f>+VLOOKUP($AJ572,Data_Validation!$A:$D,4,0)</f>
        <v>Équipements Service</v>
      </c>
      <c r="AR572" s="487" t="s">
        <v>299</v>
      </c>
      <c r="AS572" s="487">
        <f>+VLOOKUP($AJ572,Data_Validation!$A:$E,5,0)</f>
        <v>0</v>
      </c>
      <c r="AT572" s="904" t="str">
        <f t="shared" si="51"/>
        <v>G35210</v>
      </c>
      <c r="AU572" s="488" t="str">
        <f t="shared" si="52"/>
        <v>AMORT.ACC.MACHINERIE,CARR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2194</v>
      </c>
      <c r="D573" s="706" t="s">
        <v>2195</v>
      </c>
      <c r="E573" s="706" t="s">
        <v>333</v>
      </c>
      <c r="F573" s="706" t="s">
        <v>1135</v>
      </c>
      <c r="G573" s="706">
        <v>1161.79</v>
      </c>
      <c r="H573" s="706">
        <v>1256.79</v>
      </c>
      <c r="I573" s="706">
        <v>1351.79</v>
      </c>
      <c r="J573" s="706">
        <v>1446.79</v>
      </c>
      <c r="K573" s="706">
        <v>1541.79</v>
      </c>
      <c r="L573" s="706">
        <v>1636.79</v>
      </c>
      <c r="M573" s="706">
        <v>599.79</v>
      </c>
      <c r="N573" s="706">
        <v>694.79</v>
      </c>
      <c r="O573" s="706">
        <v>694.79</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G35300</v>
      </c>
      <c r="AK573" s="905" t="str">
        <f t="shared" si="55"/>
        <v>AMORT.PNEUSACC.DEMO/COURT</v>
      </c>
      <c r="AL573" s="905">
        <f>IFERROR(INDEX(G573:R573,1,MATCH(Parametres!$B$3,G$1:R$1,0)-1)*IF(OR(F573="L",F573="S",F573="I"),-1,1),"")</f>
        <v>-599.79</v>
      </c>
      <c r="AM573" s="905">
        <f t="shared" si="50"/>
        <v>-95</v>
      </c>
      <c r="AN573" s="905">
        <f>INDEX(G573:R573,1,MATCH(Parametres!$B$3,G$1:R$1,0))*IF(OR(F573="L",F573="S",F573="I"),-1,1)</f>
        <v>-694.79</v>
      </c>
      <c r="AO573" s="487" t="str">
        <f>+VLOOKUP($AJ573,Data_Validation!$A:$D,1,0)</f>
        <v>G35300</v>
      </c>
      <c r="AP573" s="487" t="str">
        <f>+VLOOKUP($AJ573,Data_Validation!$A:$D,3,0)</f>
        <v>Bilan</v>
      </c>
      <c r="AQ573" s="487" t="str">
        <f>+VLOOKUP($AJ573,Data_Validation!$A:$D,4,0)</f>
        <v>Équipements Service</v>
      </c>
      <c r="AR573" s="487" t="s">
        <v>299</v>
      </c>
      <c r="AS573" s="487">
        <f>+VLOOKUP($AJ573,Data_Validation!$A:$E,5,0)</f>
        <v>0</v>
      </c>
      <c r="AT573" s="904" t="str">
        <f t="shared" si="51"/>
        <v>G35300</v>
      </c>
      <c r="AU573" s="488" t="str">
        <f t="shared" si="52"/>
        <v>AMORT.PNEUSACC.DEMO/COURT</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2196</v>
      </c>
      <c r="D574" s="706" t="s">
        <v>2197</v>
      </c>
      <c r="E574" s="706" t="s">
        <v>333</v>
      </c>
      <c r="F574" s="706" t="s">
        <v>1135</v>
      </c>
      <c r="G574" s="706">
        <v>315824.27</v>
      </c>
      <c r="H574" s="706">
        <v>316649.27</v>
      </c>
      <c r="I574" s="706">
        <v>317474.27</v>
      </c>
      <c r="J574" s="706">
        <v>318299.27</v>
      </c>
      <c r="K574" s="706">
        <v>319124.27</v>
      </c>
      <c r="L574" s="706">
        <v>319949.27</v>
      </c>
      <c r="M574" s="706">
        <v>321922.27</v>
      </c>
      <c r="N574" s="706">
        <v>322747.27</v>
      </c>
      <c r="O574" s="706">
        <v>322747.27</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G35400</v>
      </c>
      <c r="AK574" s="905" t="str">
        <f t="shared" si="55"/>
        <v>AMORT.ACC.&amp; EQUIP.BUR</v>
      </c>
      <c r="AL574" s="905">
        <f>IFERROR(INDEX(G574:R574,1,MATCH(Parametres!$B$3,G$1:R$1,0)-1)*IF(OR(F574="L",F574="S",F574="I"),-1,1),"")</f>
        <v>-321922.27</v>
      </c>
      <c r="AM574" s="905">
        <f t="shared" si="50"/>
        <v>-825</v>
      </c>
      <c r="AN574" s="905">
        <f>INDEX(G574:R574,1,MATCH(Parametres!$B$3,G$1:R$1,0))*IF(OR(F574="L",F574="S",F574="I"),-1,1)</f>
        <v>-322747.27</v>
      </c>
      <c r="AO574" s="487" t="str">
        <f>+VLOOKUP($AJ574,Data_Validation!$A:$D,1,0)</f>
        <v>G35400</v>
      </c>
      <c r="AP574" s="487" t="str">
        <f>+VLOOKUP($AJ574,Data_Validation!$A:$D,3,0)</f>
        <v>Bilan</v>
      </c>
      <c r="AQ574" s="487" t="str">
        <f>+VLOOKUP($AJ574,Data_Validation!$A:$D,4,0)</f>
        <v>Mobilier</v>
      </c>
      <c r="AR574" s="487" t="s">
        <v>299</v>
      </c>
      <c r="AS574" s="487">
        <f>+VLOOKUP($AJ574,Data_Validation!$A:$E,5,0)</f>
        <v>0</v>
      </c>
      <c r="AT574" s="904" t="str">
        <f t="shared" si="51"/>
        <v>G35400</v>
      </c>
      <c r="AU574" s="488" t="str">
        <f t="shared" si="52"/>
        <v>AMORT.ACC.&amp; EQUIP.BUR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2198</v>
      </c>
      <c r="D575" s="706" t="s">
        <v>2199</v>
      </c>
      <c r="E575" s="706" t="s">
        <v>333</v>
      </c>
      <c r="F575" s="706" t="s">
        <v>1135</v>
      </c>
      <c r="G575" s="706">
        <v>78325.710000000006</v>
      </c>
      <c r="H575" s="706">
        <v>80075.710000000006</v>
      </c>
      <c r="I575" s="706">
        <v>81825.710000000006</v>
      </c>
      <c r="J575" s="706">
        <v>83575.710000000006</v>
      </c>
      <c r="K575" s="706">
        <v>85325.71</v>
      </c>
      <c r="L575" s="706">
        <v>87075.71</v>
      </c>
      <c r="M575" s="706">
        <v>88825.71</v>
      </c>
      <c r="N575" s="706">
        <v>90575.71</v>
      </c>
      <c r="O575" s="706">
        <v>90575.71</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G35500</v>
      </c>
      <c r="AK575" s="905" t="str">
        <f t="shared" si="55"/>
        <v>AMORT.CUMULE VEHICULE SER</v>
      </c>
      <c r="AL575" s="905">
        <f>IFERROR(INDEX(G575:R575,1,MATCH(Parametres!$B$3,G$1:R$1,0)-1)*IF(OR(F575="L",F575="S",F575="I"),-1,1),"")</f>
        <v>-88825.71</v>
      </c>
      <c r="AM575" s="905">
        <f t="shared" si="50"/>
        <v>-1750</v>
      </c>
      <c r="AN575" s="905">
        <f>INDEX(G575:R575,1,MATCH(Parametres!$B$3,G$1:R$1,0))*IF(OR(F575="L",F575="S",F575="I"),-1,1)</f>
        <v>-90575.71</v>
      </c>
      <c r="AO575" s="487" t="str">
        <f>+VLOOKUP($AJ575,Data_Validation!$A:$D,1,0)</f>
        <v>G35500</v>
      </c>
      <c r="AP575" s="487" t="str">
        <f>+VLOOKUP($AJ575,Data_Validation!$A:$D,3,0)</f>
        <v>Bilan</v>
      </c>
      <c r="AQ575" s="487" t="str">
        <f>+VLOOKUP($AJ575,Data_Validation!$A:$D,4,0)</f>
        <v>Équipements Service</v>
      </c>
      <c r="AR575" s="487" t="s">
        <v>299</v>
      </c>
      <c r="AS575" s="487">
        <f>+VLOOKUP($AJ575,Data_Validation!$A:$E,5,0)</f>
        <v>0</v>
      </c>
      <c r="AT575" s="904" t="str">
        <f t="shared" si="51"/>
        <v>G35500</v>
      </c>
      <c r="AU575" s="488" t="str">
        <f t="shared" si="52"/>
        <v>AMORT.CUMULE VEHICULE SER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2200</v>
      </c>
      <c r="D576" s="706" t="s">
        <v>2201</v>
      </c>
      <c r="E576" s="706" t="s">
        <v>333</v>
      </c>
      <c r="F576" s="706" t="s">
        <v>1135</v>
      </c>
      <c r="G576" s="706">
        <v>62858.9</v>
      </c>
      <c r="H576" s="706">
        <v>65058.9</v>
      </c>
      <c r="I576" s="706">
        <v>67258.899999999994</v>
      </c>
      <c r="J576" s="706">
        <v>69458.899999999994</v>
      </c>
      <c r="K576" s="706">
        <v>71658.899999999994</v>
      </c>
      <c r="L576" s="706">
        <v>73858.899999999994</v>
      </c>
      <c r="M576" s="706">
        <v>88802.9</v>
      </c>
      <c r="N576" s="706">
        <v>91002.9</v>
      </c>
      <c r="O576" s="706">
        <v>91002.9</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G35600</v>
      </c>
      <c r="AK576" s="905" t="str">
        <f t="shared" si="55"/>
        <v>AMORT.ACC.AMEL. LOCAT.</v>
      </c>
      <c r="AL576" s="905">
        <f>IFERROR(INDEX(G576:R576,1,MATCH(Parametres!$B$3,G$1:R$1,0)-1)*IF(OR(F576="L",F576="S",F576="I"),-1,1),"")</f>
        <v>-88802.9</v>
      </c>
      <c r="AM576" s="905">
        <f t="shared" si="50"/>
        <v>-2200</v>
      </c>
      <c r="AN576" s="905">
        <f>INDEX(G576:R576,1,MATCH(Parametres!$B$3,G$1:R$1,0))*IF(OR(F576="L",F576="S",F576="I"),-1,1)</f>
        <v>-91002.9</v>
      </c>
      <c r="AO576" s="487" t="str">
        <f>+VLOOKUP($AJ576,Data_Validation!$A:$D,1,0)</f>
        <v>G35600</v>
      </c>
      <c r="AP576" s="487" t="str">
        <f>+VLOOKUP($AJ576,Data_Validation!$A:$D,3,0)</f>
        <v>Bilan</v>
      </c>
      <c r="AQ576" s="487" t="str">
        <f>+VLOOKUP($AJ576,Data_Validation!$A:$D,4,0)</f>
        <v>Améliorations Locatives</v>
      </c>
      <c r="AR576" s="487" t="s">
        <v>299</v>
      </c>
      <c r="AS576" s="487">
        <f>+VLOOKUP($AJ576,Data_Validation!$A:$E,5,0)</f>
        <v>0</v>
      </c>
      <c r="AT576" s="904" t="str">
        <f t="shared" si="51"/>
        <v>G35600</v>
      </c>
      <c r="AU576" s="488" t="str">
        <f t="shared" si="52"/>
        <v>AMORT.ACC.AMEL. LOCAT.</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2202</v>
      </c>
      <c r="D577" s="706" t="s">
        <v>2203</v>
      </c>
      <c r="E577" s="706" t="s">
        <v>333</v>
      </c>
      <c r="F577" s="706" t="s">
        <v>1135</v>
      </c>
      <c r="G577" s="706">
        <v>187329.09</v>
      </c>
      <c r="H577" s="706">
        <v>188099.09</v>
      </c>
      <c r="I577" s="706">
        <v>188869.09</v>
      </c>
      <c r="J577" s="706">
        <v>189639.09</v>
      </c>
      <c r="K577" s="706">
        <v>190409.09</v>
      </c>
      <c r="L577" s="706">
        <v>191179.09</v>
      </c>
      <c r="M577" s="706">
        <v>202845.09</v>
      </c>
      <c r="N577" s="706">
        <v>203615.09</v>
      </c>
      <c r="O577" s="706">
        <v>203615.09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G35700</v>
      </c>
      <c r="AK577" s="905" t="str">
        <f t="shared" si="55"/>
        <v>AMORT. MATERIEL INFORM.</v>
      </c>
      <c r="AL577" s="905">
        <f>IFERROR(INDEX(G577:R577,1,MATCH(Parametres!$B$3,G$1:R$1,0)-1)*IF(OR(F577="L",F577="S",F577="I"),-1,1),"")</f>
        <v>-202845.09</v>
      </c>
      <c r="AM577" s="905">
        <f t="shared" si="50"/>
        <v>-770</v>
      </c>
      <c r="AN577" s="905">
        <f>INDEX(G577:R577,1,MATCH(Parametres!$B$3,G$1:R$1,0))*IF(OR(F577="L",F577="S",F577="I"),-1,1)</f>
        <v>-203615.09</v>
      </c>
      <c r="AO577" s="487" t="str">
        <f>+VLOOKUP($AJ577,Data_Validation!$A:$D,1,0)</f>
        <v>G35700</v>
      </c>
      <c r="AP577" s="487" t="str">
        <f>+VLOOKUP($AJ577,Data_Validation!$A:$D,3,0)</f>
        <v>Bilan</v>
      </c>
      <c r="AQ577" s="487" t="str">
        <f>+VLOOKUP($AJ577,Data_Validation!$A:$D,4,0)</f>
        <v>Équipements Informatique</v>
      </c>
      <c r="AR577" s="487" t="s">
        <v>299</v>
      </c>
      <c r="AS577" s="487">
        <f>+VLOOKUP($AJ577,Data_Validation!$A:$E,5,0)</f>
        <v>0</v>
      </c>
      <c r="AT577" s="904" t="str">
        <f t="shared" si="51"/>
        <v>G35700</v>
      </c>
      <c r="AU577" s="488" t="str">
        <f t="shared" si="52"/>
        <v>AMORT. MATERIEL INFORM.</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2204</v>
      </c>
      <c r="D578" s="706" t="s">
        <v>2205</v>
      </c>
      <c r="E578" s="706" t="s">
        <v>333</v>
      </c>
      <c r="F578" s="706" t="s">
        <v>1135</v>
      </c>
      <c r="G578" s="706">
        <v>49409.61</v>
      </c>
      <c r="H578" s="706">
        <v>49549.61</v>
      </c>
      <c r="I578" s="706">
        <v>49689.61</v>
      </c>
      <c r="J578" s="706">
        <v>49829.61</v>
      </c>
      <c r="K578" s="706">
        <v>49969.61</v>
      </c>
      <c r="L578" s="706">
        <v>50109.61</v>
      </c>
      <c r="M578" s="706">
        <v>50249.61</v>
      </c>
      <c r="N578" s="706">
        <v>50389.61</v>
      </c>
      <c r="O578" s="706">
        <v>50389.61</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G35800</v>
      </c>
      <c r="AK578" s="905" t="str">
        <f t="shared" si="55"/>
        <v>AMORT.CUMULÉ ENSEIGNES</v>
      </c>
      <c r="AL578" s="905">
        <f>IFERROR(INDEX(G578:R578,1,MATCH(Parametres!$B$3,G$1:R$1,0)-1)*IF(OR(F578="L",F578="S",F578="I"),-1,1),"")</f>
        <v>-50249.61</v>
      </c>
      <c r="AM578" s="905">
        <f t="shared" si="50"/>
        <v>-140</v>
      </c>
      <c r="AN578" s="905">
        <f>INDEX(G578:R578,1,MATCH(Parametres!$B$3,G$1:R$1,0))*IF(OR(F578="L",F578="S",F578="I"),-1,1)</f>
        <v>-50389.61</v>
      </c>
      <c r="AO578" s="487" t="str">
        <f>+VLOOKUP($AJ578,Data_Validation!$A:$D,1,0)</f>
        <v>G35800</v>
      </c>
      <c r="AP578" s="487" t="str">
        <f>+VLOOKUP($AJ578,Data_Validation!$A:$D,3,0)</f>
        <v>Bilan</v>
      </c>
      <c r="AQ578" s="487" t="str">
        <f>+VLOOKUP($AJ578,Data_Validation!$A:$D,4,0)</f>
        <v>Enseigne</v>
      </c>
      <c r="AR578" s="487" t="s">
        <v>299</v>
      </c>
      <c r="AS578" s="487">
        <f>+VLOOKUP($AJ578,Data_Validation!$A:$E,5,0)</f>
        <v>0</v>
      </c>
      <c r="AT578" s="904" t="str">
        <f t="shared" si="51"/>
        <v>G35800</v>
      </c>
      <c r="AU578" s="488" t="str">
        <f t="shared" si="52"/>
        <v>AMORT.CUMULÉ ENSEIGNES</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2206</v>
      </c>
      <c r="D579" s="706" t="s">
        <v>2207</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G35900</v>
      </c>
      <c r="AK579" s="905" t="str">
        <f t="shared" si="55"/>
        <v>ASPHALTE AMORT.CUMULÉ</v>
      </c>
      <c r="AL579" s="905">
        <f>IFERROR(INDEX(G579:R579,1,MATCH(Parametres!$B$3,G$1:R$1,0)-1)*IF(OR(F579="L",F579="S",F579="I"),-1,1),"")</f>
        <v>0</v>
      </c>
      <c r="AM579" s="905">
        <f t="shared" si="50"/>
        <v>0</v>
      </c>
      <c r="AN579" s="905">
        <f>INDEX(G579:R579,1,MATCH(Parametres!$B$3,G$1:R$1,0))*IF(OR(F579="L",F579="S",F579="I"),-1,1)</f>
        <v>0</v>
      </c>
      <c r="AO579" s="487" t="str">
        <f>+VLOOKUP($AJ579,Data_Validation!$A:$D,1,0)</f>
        <v>G35900</v>
      </c>
      <c r="AP579" s="487">
        <f>+VLOOKUP($AJ579,Data_Validation!$A:$D,3,0)</f>
        <v>0</v>
      </c>
      <c r="AQ579" s="487">
        <f>+VLOOKUP($AJ579,Data_Validation!$A:$D,4,0)</f>
        <v>0</v>
      </c>
      <c r="AR579" s="487" t="s">
        <v>299</v>
      </c>
      <c r="AS579" s="487">
        <f>+VLOOKUP($AJ579,Data_Validation!$A:$E,5,0)</f>
        <v>0</v>
      </c>
      <c r="AT579" s="904" t="str">
        <f t="shared" si="51"/>
        <v>G35900</v>
      </c>
      <c r="AU579" s="488" t="str">
        <f t="shared" si="52"/>
        <v>ASPHALTE AMORT.CUMULÉ</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2208</v>
      </c>
      <c r="D580" s="706" t="s">
        <v>2209</v>
      </c>
      <c r="E580" s="706" t="s">
        <v>333</v>
      </c>
      <c r="F580" s="706" t="s">
        <v>1135</v>
      </c>
      <c r="G580" s="706">
        <v>0</v>
      </c>
      <c r="H580" s="706">
        <v>0</v>
      </c>
      <c r="I580" s="706">
        <v>0</v>
      </c>
      <c r="J580" s="706">
        <v>0</v>
      </c>
      <c r="K580" s="706">
        <v>0</v>
      </c>
      <c r="L580" s="706">
        <v>0</v>
      </c>
      <c r="M580" s="706">
        <v>0</v>
      </c>
      <c r="N580" s="706">
        <v>0</v>
      </c>
      <c r="O580" s="706">
        <v>0</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G36000</v>
      </c>
      <c r="AK580" s="905" t="str">
        <f t="shared" si="55"/>
        <v>CAPITAL-ACTIONS</v>
      </c>
      <c r="AL580" s="905">
        <f>IFERROR(INDEX(G580:R580,1,MATCH(Parametres!$B$3,G$1:R$1,0)-1)*IF(OR(F580="L",F580="S",F580="I"),-1,1),"")</f>
        <v>0</v>
      </c>
      <c r="AM580" s="905">
        <f t="shared" ref="AM580:AM643" si="56">AN580-AL580</f>
        <v>0</v>
      </c>
      <c r="AN580" s="905">
        <f>INDEX(G580:R580,1,MATCH(Parametres!$B$3,G$1:R$1,0))*IF(OR(F580="L",F580="S",F580="I"),-1,1)</f>
        <v>0</v>
      </c>
      <c r="AO580" s="487" t="str">
        <f>+VLOOKUP($AJ580,Data_Validation!$A:$D,1,0)</f>
        <v>G36000</v>
      </c>
      <c r="AP580" s="487" t="str">
        <f>+VLOOKUP($AJ580,Data_Validation!$A:$D,3,0)</f>
        <v>Bilan</v>
      </c>
      <c r="AQ580" s="487" t="str">
        <f>+VLOOKUP($AJ580,Data_Validation!$A:$D,4,0)</f>
        <v>Capital Actions</v>
      </c>
      <c r="AR580" s="487" t="s">
        <v>299</v>
      </c>
      <c r="AS580" s="487">
        <f>+VLOOKUP($AJ580,Data_Validation!$A:$E,5,0)</f>
        <v>0</v>
      </c>
      <c r="AT580" s="904" t="str">
        <f t="shared" ref="AT580:AT643" si="57">C580</f>
        <v>G36000</v>
      </c>
      <c r="AU580" s="488" t="str">
        <f t="shared" ref="AU580:AU643" si="58">D580</f>
        <v>CAPITAL-ACTIONS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2210</v>
      </c>
      <c r="D581" s="706" t="s">
        <v>2211</v>
      </c>
      <c r="E581" s="706" t="s">
        <v>333</v>
      </c>
      <c r="F581" s="706" t="s">
        <v>1135</v>
      </c>
      <c r="G581" s="706">
        <v>15</v>
      </c>
      <c r="H581" s="706">
        <v>15</v>
      </c>
      <c r="I581" s="706">
        <v>15</v>
      </c>
      <c r="J581" s="706">
        <v>15</v>
      </c>
      <c r="K581" s="706">
        <v>15</v>
      </c>
      <c r="L581" s="706">
        <v>15</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G36001</v>
      </c>
      <c r="AK581" s="905" t="str">
        <f t="shared" si="55"/>
        <v>ACTIONS A</v>
      </c>
      <c r="AL581" s="905">
        <f>IFERROR(INDEX(G581:R581,1,MATCH(Parametres!$B$3,G$1:R$1,0)-1)*IF(OR(F581="L",F581="S",F581="I"),-1,1),"")</f>
        <v>0</v>
      </c>
      <c r="AM581" s="905">
        <f t="shared" si="56"/>
        <v>0</v>
      </c>
      <c r="AN581" s="905">
        <f>INDEX(G581:R581,1,MATCH(Parametres!$B$3,G$1:R$1,0))*IF(OR(F581="L",F581="S",F581="I"),-1,1)</f>
        <v>0</v>
      </c>
      <c r="AO581" s="487" t="str">
        <f>+VLOOKUP($AJ581,Data_Validation!$A:$D,1,0)</f>
        <v>G36001</v>
      </c>
      <c r="AP581" s="487" t="str">
        <f>+VLOOKUP($AJ581,Data_Validation!$A:$D,3,0)</f>
        <v>Bilan</v>
      </c>
      <c r="AQ581" s="487" t="str">
        <f>+VLOOKUP($AJ581,Data_Validation!$A:$D,4,0)</f>
        <v>Capital Actions</v>
      </c>
      <c r="AR581" s="487" t="s">
        <v>299</v>
      </c>
      <c r="AS581" s="487">
        <f>+VLOOKUP($AJ581,Data_Validation!$A:$E,5,0)</f>
        <v>0</v>
      </c>
      <c r="AT581" s="904" t="str">
        <f t="shared" si="57"/>
        <v>G36001</v>
      </c>
      <c r="AU581" s="488" t="str">
        <f t="shared" si="58"/>
        <v>ACTIONS A</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2212</v>
      </c>
      <c r="D582" s="706" t="s">
        <v>2213</v>
      </c>
      <c r="E582" s="706" t="s">
        <v>333</v>
      </c>
      <c r="F582" s="706" t="s">
        <v>1135</v>
      </c>
      <c r="G582" s="706">
        <v>85</v>
      </c>
      <c r="H582" s="706">
        <v>85</v>
      </c>
      <c r="I582" s="706">
        <v>85</v>
      </c>
      <c r="J582" s="706">
        <v>85</v>
      </c>
      <c r="K582" s="706">
        <v>85</v>
      </c>
      <c r="L582" s="706">
        <v>85</v>
      </c>
      <c r="M582" s="706">
        <v>85</v>
      </c>
      <c r="N582" s="706">
        <v>85</v>
      </c>
      <c r="O582" s="706">
        <v>85</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G36002</v>
      </c>
      <c r="AK582" s="905" t="str">
        <f t="shared" si="55"/>
        <v>ACTIONS B</v>
      </c>
      <c r="AL582" s="905">
        <f>IFERROR(INDEX(G582:R582,1,MATCH(Parametres!$B$3,G$1:R$1,0)-1)*IF(OR(F582="L",F582="S",F582="I"),-1,1),"")</f>
        <v>-85</v>
      </c>
      <c r="AM582" s="905">
        <f t="shared" si="56"/>
        <v>0</v>
      </c>
      <c r="AN582" s="905">
        <f>INDEX(G582:R582,1,MATCH(Parametres!$B$3,G$1:R$1,0))*IF(OR(F582="L",F582="S",F582="I"),-1,1)</f>
        <v>-85</v>
      </c>
      <c r="AO582" s="487" t="str">
        <f>+VLOOKUP($AJ582,Data_Validation!$A:$D,1,0)</f>
        <v>G36002</v>
      </c>
      <c r="AP582" s="487" t="str">
        <f>+VLOOKUP($AJ582,Data_Validation!$A:$D,3,0)</f>
        <v>Bilan</v>
      </c>
      <c r="AQ582" s="487" t="str">
        <f>+VLOOKUP($AJ582,Data_Validation!$A:$D,4,0)</f>
        <v>Capital Actions</v>
      </c>
      <c r="AR582" s="487" t="s">
        <v>299</v>
      </c>
      <c r="AS582" s="487">
        <f>+VLOOKUP($AJ582,Data_Validation!$A:$E,5,0)</f>
        <v>0</v>
      </c>
      <c r="AT582" s="904" t="str">
        <f t="shared" si="57"/>
        <v>G36002</v>
      </c>
      <c r="AU582" s="488" t="str">
        <f t="shared" si="58"/>
        <v>ACTIONS B</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2214</v>
      </c>
      <c r="D583" s="706" t="s">
        <v>2215</v>
      </c>
      <c r="E583" s="706" t="s">
        <v>333</v>
      </c>
      <c r="F583" s="706" t="s">
        <v>1135</v>
      </c>
      <c r="G583" s="706">
        <v>85</v>
      </c>
      <c r="H583" s="706">
        <v>85</v>
      </c>
      <c r="I583" s="706">
        <v>85</v>
      </c>
      <c r="J583" s="706">
        <v>85</v>
      </c>
      <c r="K583" s="706">
        <v>85</v>
      </c>
      <c r="L583" s="706">
        <v>85</v>
      </c>
      <c r="M583" s="706">
        <v>85</v>
      </c>
      <c r="N583" s="706">
        <v>85</v>
      </c>
      <c r="O583" s="706">
        <v>85</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G36003</v>
      </c>
      <c r="AK583" s="905" t="str">
        <f t="shared" si="55"/>
        <v>ACTIONS C</v>
      </c>
      <c r="AL583" s="905">
        <f>IFERROR(INDEX(G583:R583,1,MATCH(Parametres!$B$3,G$1:R$1,0)-1)*IF(OR(F583="L",F583="S",F583="I"),-1,1),"")</f>
        <v>-85</v>
      </c>
      <c r="AM583" s="905">
        <f t="shared" si="56"/>
        <v>0</v>
      </c>
      <c r="AN583" s="905">
        <f>INDEX(G583:R583,1,MATCH(Parametres!$B$3,G$1:R$1,0))*IF(OR(F583="L",F583="S",F583="I"),-1,1)</f>
        <v>-85</v>
      </c>
      <c r="AO583" s="487" t="str">
        <f>+VLOOKUP($AJ583,Data_Validation!$A:$D,1,0)</f>
        <v>G36003</v>
      </c>
      <c r="AP583" s="487" t="str">
        <f>+VLOOKUP($AJ583,Data_Validation!$A:$D,3,0)</f>
        <v>Bilan</v>
      </c>
      <c r="AQ583" s="487" t="str">
        <f>+VLOOKUP($AJ583,Data_Validation!$A:$D,4,0)</f>
        <v>Capital Actions</v>
      </c>
      <c r="AR583" s="487" t="s">
        <v>299</v>
      </c>
      <c r="AS583" s="487">
        <f>+VLOOKUP($AJ583,Data_Validation!$A:$E,5,0)</f>
        <v>0</v>
      </c>
      <c r="AT583" s="904" t="str">
        <f t="shared" si="57"/>
        <v>G36003</v>
      </c>
      <c r="AU583" s="488" t="str">
        <f t="shared" si="58"/>
        <v>ACTIONS C</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2216</v>
      </c>
      <c r="D584" s="706" t="s">
        <v>2217</v>
      </c>
      <c r="E584" s="706" t="s">
        <v>333</v>
      </c>
      <c r="F584" s="706" t="s">
        <v>1135</v>
      </c>
      <c r="G584" s="706">
        <v>51</v>
      </c>
      <c r="H584" s="706">
        <v>51</v>
      </c>
      <c r="I584" s="706">
        <v>51</v>
      </c>
      <c r="J584" s="706">
        <v>51</v>
      </c>
      <c r="K584" s="706">
        <v>51</v>
      </c>
      <c r="L584" s="706">
        <v>51</v>
      </c>
      <c r="M584" s="706">
        <v>51</v>
      </c>
      <c r="N584" s="706">
        <v>51</v>
      </c>
      <c r="O584" s="706">
        <v>51</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G36004</v>
      </c>
      <c r="AK584" s="905" t="str">
        <f t="shared" si="55"/>
        <v>ACTIONS E</v>
      </c>
      <c r="AL584" s="905">
        <f>IFERROR(INDEX(G584:R584,1,MATCH(Parametres!$B$3,G$1:R$1,0)-1)*IF(OR(F584="L",F584="S",F584="I"),-1,1),"")</f>
        <v>-51</v>
      </c>
      <c r="AM584" s="905">
        <f t="shared" si="56"/>
        <v>0</v>
      </c>
      <c r="AN584" s="905">
        <f>INDEX(G584:R584,1,MATCH(Parametres!$B$3,G$1:R$1,0))*IF(OR(F584="L",F584="S",F584="I"),-1,1)</f>
        <v>-51</v>
      </c>
      <c r="AO584" s="487" t="str">
        <f>+VLOOKUP($AJ584,Data_Validation!$A:$D,1,0)</f>
        <v>G36004</v>
      </c>
      <c r="AP584" s="487" t="str">
        <f>+VLOOKUP($AJ584,Data_Validation!$A:$D,3,0)</f>
        <v>Bilan</v>
      </c>
      <c r="AQ584" s="487" t="str">
        <f>+VLOOKUP($AJ584,Data_Validation!$A:$D,4,0)</f>
        <v>Capital Actions</v>
      </c>
      <c r="AR584" s="487" t="s">
        <v>299</v>
      </c>
      <c r="AS584" s="487">
        <f>+VLOOKUP($AJ584,Data_Validation!$A:$E,5,0)</f>
        <v>0</v>
      </c>
      <c r="AT584" s="904" t="str">
        <f t="shared" si="57"/>
        <v>G36004</v>
      </c>
      <c r="AU584" s="488" t="str">
        <f t="shared" si="58"/>
        <v>ACTIONS E</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2218</v>
      </c>
      <c r="D585" s="706" t="s">
        <v>2219</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G36005</v>
      </c>
      <c r="AK585" s="905" t="str">
        <f t="shared" si="55"/>
        <v>VALEUR RACHETABLE ACT E</v>
      </c>
      <c r="AL585" s="905">
        <f>IFERROR(INDEX(G585:R585,1,MATCH(Parametres!$B$3,G$1:R$1,0)-1)*IF(OR(F585="L",F585="S",F585="I"),-1,1),"")</f>
        <v>0</v>
      </c>
      <c r="AM585" s="905">
        <f t="shared" si="56"/>
        <v>0</v>
      </c>
      <c r="AN585" s="905">
        <f>INDEX(G585:R585,1,MATCH(Parametres!$B$3,G$1:R$1,0))*IF(OR(F585="L",F585="S",F585="I"),-1,1)</f>
        <v>0</v>
      </c>
      <c r="AO585" s="487" t="str">
        <f>+VLOOKUP($AJ585,Data_Validation!$A:$D,1,0)</f>
        <v>G36005</v>
      </c>
      <c r="AP585" s="487" t="str">
        <f>+VLOOKUP($AJ585,Data_Validation!$A:$D,3,0)</f>
        <v>Bilan</v>
      </c>
      <c r="AQ585" s="487" t="str">
        <f>+VLOOKUP($AJ585,Data_Validation!$A:$D,4,0)</f>
        <v>Capital Actions</v>
      </c>
      <c r="AR585" s="487" t="s">
        <v>299</v>
      </c>
      <c r="AS585" s="487">
        <f>+VLOOKUP($AJ585,Data_Validation!$A:$E,5,0)</f>
        <v>0</v>
      </c>
      <c r="AT585" s="904" t="str">
        <f t="shared" si="57"/>
        <v>G36005</v>
      </c>
      <c r="AU585" s="488" t="str">
        <f t="shared" si="58"/>
        <v>VALEUR RACHETABLE ACT E</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3330</v>
      </c>
      <c r="D586" s="706" t="s">
        <v>3331</v>
      </c>
      <c r="E586" s="706" t="s">
        <v>333</v>
      </c>
      <c r="F586" s="706" t="s">
        <v>1135</v>
      </c>
      <c r="G586" s="706">
        <v>0</v>
      </c>
      <c r="H586" s="706">
        <v>0</v>
      </c>
      <c r="I586" s="706">
        <v>0</v>
      </c>
      <c r="J586" s="706">
        <v>0</v>
      </c>
      <c r="K586" s="706">
        <v>0</v>
      </c>
      <c r="L586" s="706">
        <v>0</v>
      </c>
      <c r="M586" s="706">
        <v>1349853</v>
      </c>
      <c r="N586" s="706">
        <v>1349853</v>
      </c>
      <c r="O586" s="706">
        <v>1349853</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G36006</v>
      </c>
      <c r="AK586" s="905" t="str">
        <f t="shared" si="55"/>
        <v>ACTIONS F</v>
      </c>
      <c r="AL586" s="905">
        <f>IFERROR(INDEX(G586:R586,1,MATCH(Parametres!$B$3,G$1:R$1,0)-1)*IF(OR(F586="L",F586="S",F586="I"),-1,1),"")</f>
        <v>-1349853</v>
      </c>
      <c r="AM586" s="905">
        <f t="shared" si="56"/>
        <v>0</v>
      </c>
      <c r="AN586" s="905">
        <f>INDEX(G586:R586,1,MATCH(Parametres!$B$3,G$1:R$1,0))*IF(OR(F586="L",F586="S",F586="I"),-1,1)</f>
        <v>-1349853</v>
      </c>
      <c r="AO586" s="487" t="str">
        <f>+VLOOKUP($AJ586,Data_Validation!$A:$D,1,0)</f>
        <v>G36006</v>
      </c>
      <c r="AP586" s="487" t="str">
        <f>+VLOOKUP($AJ586,Data_Validation!$A:$D,3,0)</f>
        <v>Bilan</v>
      </c>
      <c r="AQ586" s="487" t="str">
        <f>+VLOOKUP($AJ586,Data_Validation!$A:$D,4,0)</f>
        <v>Capital Actions</v>
      </c>
      <c r="AR586" s="487" t="s">
        <v>299</v>
      </c>
      <c r="AS586" s="487">
        <f>+VLOOKUP($AJ586,Data_Validation!$A:$E,5,0)</f>
        <v>0</v>
      </c>
      <c r="AT586" s="904" t="str">
        <f t="shared" si="57"/>
        <v>G36006</v>
      </c>
      <c r="AU586" s="488" t="str">
        <f t="shared" si="58"/>
        <v>ACTIONS F</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2220</v>
      </c>
      <c r="D587" s="706" t="s">
        <v>2221</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G36009</v>
      </c>
      <c r="AK587" s="905" t="str">
        <f t="shared" si="55"/>
        <v>AJUST 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G36009</v>
      </c>
      <c r="AP587" s="487" t="str">
        <f>+VLOOKUP($AJ587,Data_Validation!$A:$D,3,0)</f>
        <v>Bilan</v>
      </c>
      <c r="AQ587" s="487" t="str">
        <f>+VLOOKUP($AJ587,Data_Validation!$A:$D,4,0)</f>
        <v>Capital Actions</v>
      </c>
      <c r="AR587" s="487" t="s">
        <v>299</v>
      </c>
      <c r="AS587" s="487">
        <f>+VLOOKUP($AJ587,Data_Validation!$A:$E,5,0)</f>
        <v>0</v>
      </c>
      <c r="AT587" s="904" t="str">
        <f t="shared" si="57"/>
        <v>G36009</v>
      </c>
      <c r="AU587" s="488" t="str">
        <f t="shared" si="58"/>
        <v>AJUST 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3332</v>
      </c>
      <c r="D588" s="706" t="s">
        <v>3333</v>
      </c>
      <c r="E588" s="706" t="s">
        <v>333</v>
      </c>
      <c r="F588" s="706" t="s">
        <v>1135</v>
      </c>
      <c r="G588" s="706">
        <v>0</v>
      </c>
      <c r="H588" s="706">
        <v>0</v>
      </c>
      <c r="I588" s="706">
        <v>0</v>
      </c>
      <c r="J588" s="706">
        <v>0</v>
      </c>
      <c r="K588" s="706">
        <v>0</v>
      </c>
      <c r="L588" s="706">
        <v>0</v>
      </c>
      <c r="M588" s="706">
        <v>-1349838</v>
      </c>
      <c r="N588" s="706">
        <v>-1349838</v>
      </c>
      <c r="O588" s="706">
        <v>-1349838</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G36100</v>
      </c>
      <c r="AK588" s="905" t="str">
        <f t="shared" si="55"/>
        <v>AJUST ACTIONS RACHETABLE</v>
      </c>
      <c r="AL588" s="905">
        <f>IFERROR(INDEX(G588:R588,1,MATCH(Parametres!$B$3,G$1:R$1,0)-1)*IF(OR(F588="L",F588="S",F588="I"),-1,1),"")</f>
        <v>1349838</v>
      </c>
      <c r="AM588" s="905">
        <f t="shared" si="56"/>
        <v>0</v>
      </c>
      <c r="AN588" s="905">
        <f>INDEX(G588:R588,1,MATCH(Parametres!$B$3,G$1:R$1,0))*IF(OR(F588="L",F588="S",F588="I"),-1,1)</f>
        <v>1349838</v>
      </c>
      <c r="AO588" s="487" t="str">
        <f>+VLOOKUP($AJ588,Data_Validation!$A:$D,1,0)</f>
        <v>G36100</v>
      </c>
      <c r="AP588" s="487" t="str">
        <f>+VLOOKUP($AJ588,Data_Validation!$A:$D,3,0)</f>
        <v>Bilan</v>
      </c>
      <c r="AQ588" s="487" t="str">
        <f>+VLOOKUP($AJ588,Data_Validation!$A:$D,4,0)</f>
        <v>Capital Actions</v>
      </c>
      <c r="AR588" s="487" t="s">
        <v>299</v>
      </c>
      <c r="AS588" s="487">
        <f>+VLOOKUP($AJ588,Data_Validation!$A:$E,5,0)</f>
        <v>0</v>
      </c>
      <c r="AT588" s="904" t="str">
        <f t="shared" si="57"/>
        <v>G36100</v>
      </c>
      <c r="AU588" s="488" t="str">
        <f t="shared" si="58"/>
        <v>AJUST ACTIONS RACHETABLE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2222</v>
      </c>
      <c r="D589" s="706" t="s">
        <v>2223</v>
      </c>
      <c r="E589" s="706" t="s">
        <v>333</v>
      </c>
      <c r="F589" s="706" t="s">
        <v>1135</v>
      </c>
      <c r="G589" s="706">
        <v>9723956.0099999998</v>
      </c>
      <c r="H589" s="706">
        <v>9723956.0099999998</v>
      </c>
      <c r="I589" s="706">
        <v>9723956.0099999998</v>
      </c>
      <c r="J589" s="706">
        <v>9723956.0099999998</v>
      </c>
      <c r="K589" s="706">
        <v>9723956.0099999998</v>
      </c>
      <c r="L589" s="706">
        <v>9723956.0099999998</v>
      </c>
      <c r="M589" s="706">
        <v>8651948</v>
      </c>
      <c r="N589" s="706">
        <v>8651948</v>
      </c>
      <c r="O589" s="706">
        <v>8651948</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G37000</v>
      </c>
      <c r="AK589" s="905" t="str">
        <f t="shared" si="55"/>
        <v>BENEFICES NON REPARTIS</v>
      </c>
      <c r="AL589" s="905">
        <f>IFERROR(INDEX(G589:R589,1,MATCH(Parametres!$B$3,G$1:R$1,0)-1)*IF(OR(F589="L",F589="S",F589="I"),-1,1),"")</f>
        <v>-8651948</v>
      </c>
      <c r="AM589" s="905">
        <f t="shared" si="56"/>
        <v>0</v>
      </c>
      <c r="AN589" s="905">
        <f>INDEX(G589:R589,1,MATCH(Parametres!$B$3,G$1:R$1,0))*IF(OR(F589="L",F589="S",F589="I"),-1,1)</f>
        <v>-8651948</v>
      </c>
      <c r="AO589" s="487" t="str">
        <f>+VLOOKUP($AJ589,Data_Validation!$A:$D,1,0)</f>
        <v>G37000</v>
      </c>
      <c r="AP589" s="487" t="str">
        <f>+VLOOKUP($AJ589,Data_Validation!$A:$D,3,0)</f>
        <v>Bilan</v>
      </c>
      <c r="AQ589" s="487" t="str">
        <f>+VLOOKUP($AJ589,Data_Validation!$A:$D,4,0)</f>
        <v>Bénéfices non répartis</v>
      </c>
      <c r="AR589" s="487" t="s">
        <v>299</v>
      </c>
      <c r="AS589" s="487">
        <f>+VLOOKUP($AJ589,Data_Validation!$A:$E,5,0)</f>
        <v>0</v>
      </c>
      <c r="AT589" s="904" t="str">
        <f t="shared" si="57"/>
        <v>G37000</v>
      </c>
      <c r="AU589" s="488" t="str">
        <f t="shared" si="58"/>
        <v>BENEFICES NON REPARTIS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2224</v>
      </c>
      <c r="D590" s="706" t="s">
        <v>2225</v>
      </c>
      <c r="E590" s="706" t="s">
        <v>333</v>
      </c>
      <c r="F590" s="706" t="s">
        <v>1135</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G37500</v>
      </c>
      <c r="AK590" s="905" t="str">
        <f t="shared" si="55"/>
        <v>DIVIDENDES RECUS</v>
      </c>
      <c r="AL590" s="905">
        <f>IFERROR(INDEX(G590:R590,1,MATCH(Parametres!$B$3,G$1:R$1,0)-1)*IF(OR(F590="L",F590="S",F590="I"),-1,1),"")</f>
        <v>0</v>
      </c>
      <c r="AM590" s="1047">
        <f t="shared" si="56"/>
        <v>0</v>
      </c>
      <c r="AN590" s="905">
        <f>INDEX(G590:R590,1,MATCH(Parametres!$B$3,G$1:R$1,0))*IF(OR(F590="L",F590="S",F590="I"),-1,1)</f>
        <v>0</v>
      </c>
      <c r="AO590" s="487" t="str">
        <f>+VLOOKUP($AJ590,Data_Validation!$A:$D,1,0)</f>
        <v>G37500</v>
      </c>
      <c r="AP590" s="487">
        <f>+VLOOKUP($AJ590,Data_Validation!$A:$D,3,0)</f>
        <v>0</v>
      </c>
      <c r="AQ590" s="487">
        <f>+VLOOKUP($AJ590,Data_Validation!$A:$D,4,0)</f>
        <v>0</v>
      </c>
      <c r="AR590" s="487" t="s">
        <v>299</v>
      </c>
      <c r="AS590" s="487">
        <f>+VLOOKUP($AJ590,Data_Validation!$A:$E,5,0)</f>
        <v>0</v>
      </c>
      <c r="AT590" s="904" t="str">
        <f t="shared" si="57"/>
        <v>G37500</v>
      </c>
      <c r="AU590" s="488" t="str">
        <f t="shared" si="58"/>
        <v>DIVIDENDES RECUS</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2226</v>
      </c>
      <c r="D591" s="706" t="s">
        <v>2227</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G38000</v>
      </c>
      <c r="AK591" s="905" t="str">
        <f t="shared" si="55"/>
        <v>PLACEMENTS</v>
      </c>
      <c r="AL591" s="905">
        <f>IFERROR(INDEX(G591:R591,1,MATCH(Parametres!$B$3,G$1:R$1,0)-1)*IF(OR(F591="L",F591="S",F591="I"),-1,1),"")</f>
        <v>0</v>
      </c>
      <c r="AM591" s="905">
        <f t="shared" si="56"/>
        <v>0</v>
      </c>
      <c r="AN591" s="905">
        <f>INDEX(G591:R591,1,MATCH(Parametres!$B$3,G$1:R$1,0))*IF(OR(F591="L",F591="S",F591="I"),-1,1)</f>
        <v>0</v>
      </c>
      <c r="AO591" s="487" t="e">
        <f>+VLOOKUP($AJ591,Data_Validation!$A:$D,1,0)</f>
        <v>#N/A</v>
      </c>
      <c r="AP591" s="487" t="e">
        <f>+VLOOKUP($AJ591,Data_Validation!$A:$D,3,0)</f>
        <v>#N/A</v>
      </c>
      <c r="AQ591" s="487" t="e">
        <f>+VLOOKUP($AJ591,Data_Validation!$A:$D,4,0)</f>
        <v>#N/A</v>
      </c>
      <c r="AR591" s="487" t="s">
        <v>299</v>
      </c>
      <c r="AS591" s="487" t="e">
        <f>+VLOOKUP($AJ591,Data_Validation!$A:$E,5,0)</f>
        <v>#N/A</v>
      </c>
      <c r="AT591" s="904" t="str">
        <f t="shared" si="57"/>
        <v>G38000</v>
      </c>
      <c r="AU591" s="488" t="str">
        <f t="shared" si="58"/>
        <v>PLACEMENTS</v>
      </c>
      <c r="AV591" s="899">
        <f>IFERROR(INDEX(V591:AG591,1,MATCH(Parametres!$B$3,V$1:AG$1,0)-1)*IF(OR(C591="L",C591="S",C591="I"),-1,1),"")</f>
        <v>0</v>
      </c>
      <c r="AW591" s="899">
        <f t="shared" si="59"/>
        <v>0</v>
      </c>
      <c r="AX591" s="899">
        <f>INDEX(V591:AG591,1,MATCH(Parametres!$B$3,V$1:AG$1,0))*IF(OR(C591="L",C591="S",C591="I"),-1,1)</f>
        <v>0</v>
      </c>
      <c r="AY591" s="487" t="s">
        <v>337</v>
      </c>
      <c r="AZ591" s="487" t="e">
        <f>+VLOOKUP($AJ591,Data_Validation!$A:$E,5,0)</f>
        <v>#N/A</v>
      </c>
    </row>
    <row r="592" spans="1:52" ht="15" hidden="1" customHeight="1">
      <c r="A592" s="706" t="s">
        <v>1148</v>
      </c>
      <c r="B592" s="706">
        <v>2026</v>
      </c>
      <c r="C592" s="706" t="s">
        <v>2228</v>
      </c>
      <c r="D592" s="706" t="s">
        <v>2229</v>
      </c>
      <c r="E592" s="706" t="s">
        <v>1149</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G40000</v>
      </c>
      <c r="AK592" s="905" t="str">
        <f t="shared" si="55"/>
        <v>VENTE VOLT</v>
      </c>
      <c r="AL592" s="905">
        <f>IFERROR(INDEX(G592:R592,1,MATCH(Parametres!$B$3,G$1:R$1,0)-1)*IF(OR(F592="L",F592="S",F592="I"),-1,1),"")</f>
        <v>0</v>
      </c>
      <c r="AM592" s="905">
        <f t="shared" si="56"/>
        <v>0</v>
      </c>
      <c r="AN592" s="905">
        <f>INDEX(G592:R592,1,MATCH(Parametres!$B$3,G$1:R$1,0))*IF(OR(F592="L",F592="S",F592="I"),-1,1)</f>
        <v>0</v>
      </c>
      <c r="AO592" s="487" t="str">
        <f>+VLOOKUP($AJ592,Data_Validation!$A:$D,1,0)</f>
        <v>G40000</v>
      </c>
      <c r="AP592" s="487" t="str">
        <f>+VLOOKUP($AJ592,Data_Validation!$A:$D,3,0)</f>
        <v>Véhicules neufs</v>
      </c>
      <c r="AQ592" s="487" t="str">
        <f>+VLOOKUP($AJ592,Data_Validation!$A:$D,4,0)</f>
        <v>Autos détail</v>
      </c>
      <c r="AR592" s="487" t="s">
        <v>299</v>
      </c>
      <c r="AS592" s="487" t="str">
        <f>+VLOOKUP($AJ592,Data_Validation!$A:$E,5,0)</f>
        <v>Oui</v>
      </c>
      <c r="AT592" s="904" t="str">
        <f t="shared" si="57"/>
        <v>G40000</v>
      </c>
      <c r="AU592" s="488" t="str">
        <f t="shared" si="58"/>
        <v>VENTE VOLT</v>
      </c>
      <c r="AV592" s="899">
        <f>IFERROR(INDEX(V592:AG592,1,MATCH(Parametres!$B$3,V$1:AG$1,0)-1)*IF(OR(C592="L",C592="S",C592="I"),-1,1),"")</f>
        <v>0</v>
      </c>
      <c r="AW592" s="899">
        <f t="shared" si="59"/>
        <v>0</v>
      </c>
      <c r="AX592" s="899">
        <f>INDEX(V592:AG592,1,MATCH(Parametres!$B$3,V$1:AG$1,0))*IF(OR(C592="L",C592="S",C592="I"),-1,1)</f>
        <v>0</v>
      </c>
      <c r="AY592" s="487" t="s">
        <v>337</v>
      </c>
      <c r="AZ592" s="487" t="str">
        <f>+VLOOKUP($AJ592,Data_Validation!$A:$E,5,0)</f>
        <v>Oui</v>
      </c>
    </row>
    <row r="593" spans="1:52" ht="15" hidden="1" customHeight="1">
      <c r="A593" s="706" t="s">
        <v>1148</v>
      </c>
      <c r="B593" s="706">
        <v>2026</v>
      </c>
      <c r="C593" s="706" t="s">
        <v>2230</v>
      </c>
      <c r="D593" s="706" t="s">
        <v>2231</v>
      </c>
      <c r="E593" s="706" t="s">
        <v>1149</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G40004</v>
      </c>
      <c r="AK593" s="905" t="str">
        <f t="shared" si="55"/>
        <v>VENTE BUICK REGAL</v>
      </c>
      <c r="AL593" s="905">
        <f>IFERROR(INDEX(G593:R593,1,MATCH(Parametres!$B$3,G$1:R$1,0)-1)*IF(OR(F593="L",F593="S",F593="I"),-1,1),"")</f>
        <v>0</v>
      </c>
      <c r="AM593" s="905">
        <f t="shared" si="56"/>
        <v>0</v>
      </c>
      <c r="AN593" s="905">
        <f>INDEX(G593:R593,1,MATCH(Parametres!$B$3,G$1:R$1,0))*IF(OR(F593="L",F593="S",F593="I"),-1,1)</f>
        <v>0</v>
      </c>
      <c r="AO593" s="487" t="str">
        <f>+VLOOKUP($AJ593,Data_Validation!$A:$D,1,0)</f>
        <v>G40004</v>
      </c>
      <c r="AP593" s="487" t="str">
        <f>+VLOOKUP($AJ593,Data_Validation!$A:$D,3,0)</f>
        <v>Véhicules neufs</v>
      </c>
      <c r="AQ593" s="487" t="str">
        <f>+VLOOKUP($AJ593,Data_Validation!$A:$D,4,0)</f>
        <v>Autos détail</v>
      </c>
      <c r="AR593" s="487" t="s">
        <v>299</v>
      </c>
      <c r="AS593" s="487" t="str">
        <f>+VLOOKUP($AJ593,Data_Validation!$A:$E,5,0)</f>
        <v>Oui</v>
      </c>
      <c r="AT593" s="904" t="str">
        <f t="shared" si="57"/>
        <v>G40004</v>
      </c>
      <c r="AU593" s="488" t="str">
        <f t="shared" si="58"/>
        <v>VENTE BUICK REGAL</v>
      </c>
      <c r="AV593" s="899">
        <f>IFERROR(INDEX(V593:AG593,1,MATCH(Parametres!$B$3,V$1:AG$1,0)-1)*IF(OR(C593="L",C593="S",C593="I"),-1,1),"")</f>
        <v>0</v>
      </c>
      <c r="AW593" s="899">
        <f t="shared" si="59"/>
        <v>0</v>
      </c>
      <c r="AX593" s="899">
        <f>INDEX(V593:AG593,1,MATCH(Parametres!$B$3,V$1:AG$1,0))*IF(OR(C593="L",C593="S",C593="I"),-1,1)</f>
        <v>0</v>
      </c>
      <c r="AY593" s="487" t="s">
        <v>337</v>
      </c>
      <c r="AZ593" s="487" t="str">
        <f>+VLOOKUP($AJ593,Data_Validation!$A:$E,5,0)</f>
        <v>Oui</v>
      </c>
    </row>
    <row r="594" spans="1:52" ht="15" hidden="1" customHeight="1">
      <c r="A594" s="706" t="s">
        <v>1148</v>
      </c>
      <c r="B594" s="706">
        <v>2026</v>
      </c>
      <c r="C594" s="706" t="s">
        <v>2232</v>
      </c>
      <c r="D594" s="706" t="s">
        <v>2233</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G40100</v>
      </c>
      <c r="AK594" s="905" t="str">
        <f t="shared" si="55"/>
        <v>VTES-MALIBU</v>
      </c>
      <c r="AL594" s="905">
        <f>IFERROR(INDEX(G594:R594,1,MATCH(Parametres!$B$3,G$1:R$1,0)-1)*IF(OR(F594="L",F594="S",F594="I"),-1,1),"")</f>
        <v>0</v>
      </c>
      <c r="AM594" s="905">
        <f t="shared" si="56"/>
        <v>0</v>
      </c>
      <c r="AN594" s="905">
        <f>INDEX(G594:R594,1,MATCH(Parametres!$B$3,G$1:R$1,0))*IF(OR(F594="L",F594="S",F594="I"),-1,1)</f>
        <v>0</v>
      </c>
      <c r="AO594" s="487" t="str">
        <f>+VLOOKUP($AJ594,Data_Validation!$A:$D,1,0)</f>
        <v>G40100</v>
      </c>
      <c r="AP594" s="487" t="str">
        <f>+VLOOKUP($AJ594,Data_Validation!$A:$D,3,0)</f>
        <v>Véhicules neufs</v>
      </c>
      <c r="AQ594" s="487" t="str">
        <f>+VLOOKUP($AJ594,Data_Validation!$A:$D,4,0)</f>
        <v>Autos détail</v>
      </c>
      <c r="AR594" s="487" t="s">
        <v>299</v>
      </c>
      <c r="AS594" s="487" t="str">
        <f>+VLOOKUP($AJ594,Data_Validation!$A:$E,5,0)</f>
        <v>Oui</v>
      </c>
      <c r="AT594" s="904" t="str">
        <f t="shared" si="57"/>
        <v>G40100</v>
      </c>
      <c r="AU594" s="488" t="str">
        <f t="shared" si="58"/>
        <v>VTES-MALIBU</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hidden="1" customHeight="1">
      <c r="A595" s="706" t="s">
        <v>1148</v>
      </c>
      <c r="B595" s="706">
        <v>2026</v>
      </c>
      <c r="C595" s="706" t="s">
        <v>2234</v>
      </c>
      <c r="D595" s="706" t="s">
        <v>2235</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G40101</v>
      </c>
      <c r="AK595" s="905" t="str">
        <f t="shared" ref="AK595:AK658" si="61">D595</f>
        <v>VENTE BUICK LACROSSE</v>
      </c>
      <c r="AL595" s="905">
        <f>IFERROR(INDEX(G595:R595,1,MATCH(Parametres!$B$3,G$1:R$1,0)-1)*IF(OR(F595="L",F595="S",F595="I"),-1,1),"")</f>
        <v>0</v>
      </c>
      <c r="AM595" s="905">
        <f t="shared" si="56"/>
        <v>0</v>
      </c>
      <c r="AN595" s="905">
        <f>INDEX(G595:R595,1,MATCH(Parametres!$B$3,G$1:R$1,0))*IF(OR(F595="L",F595="S",F595="I"),-1,1)</f>
        <v>0</v>
      </c>
      <c r="AO595" s="487" t="str">
        <f>+VLOOKUP($AJ595,Data_Validation!$A:$D,1,0)</f>
        <v>G40101</v>
      </c>
      <c r="AP595" s="487" t="str">
        <f>+VLOOKUP($AJ595,Data_Validation!$A:$D,3,0)</f>
        <v>Véhicules neufs</v>
      </c>
      <c r="AQ595" s="487" t="str">
        <f>+VLOOKUP($AJ595,Data_Validation!$A:$D,4,0)</f>
        <v>Autos détail</v>
      </c>
      <c r="AR595" s="487" t="s">
        <v>299</v>
      </c>
      <c r="AS595" s="487" t="str">
        <f>+VLOOKUP($AJ595,Data_Validation!$A:$E,5,0)</f>
        <v>Oui</v>
      </c>
      <c r="AT595" s="904" t="str">
        <f t="shared" si="57"/>
        <v>G40101</v>
      </c>
      <c r="AU595" s="488" t="str">
        <f t="shared" si="58"/>
        <v>VENTE BUICK LACROSSE</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hidden="1" customHeight="1">
      <c r="A596" s="706" t="s">
        <v>1148</v>
      </c>
      <c r="B596" s="706">
        <v>2026</v>
      </c>
      <c r="C596" s="706" t="s">
        <v>2236</v>
      </c>
      <c r="D596" s="706" t="s">
        <v>2237</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G40120</v>
      </c>
      <c r="AK596" s="905" t="str">
        <f t="shared" si="61"/>
        <v>VTES-MALIBU          -LOC</v>
      </c>
      <c r="AL596" s="905">
        <f>IFERROR(INDEX(G596:R596,1,MATCH(Parametres!$B$3,G$1:R$1,0)-1)*IF(OR(F596="L",F596="S",F596="I"),-1,1),"")</f>
        <v>0</v>
      </c>
      <c r="AM596" s="905">
        <f t="shared" si="56"/>
        <v>0</v>
      </c>
      <c r="AN596" s="905">
        <f>INDEX(G596:R596,1,MATCH(Parametres!$B$3,G$1:R$1,0))*IF(OR(F596="L",F596="S",F596="I"),-1,1)</f>
        <v>0</v>
      </c>
      <c r="AO596" s="487" t="e">
        <f>+VLOOKUP($AJ596,Data_Validation!$A:$D,1,0)</f>
        <v>#N/A</v>
      </c>
      <c r="AP596" s="487" t="e">
        <f>+VLOOKUP($AJ596,Data_Validation!$A:$D,3,0)</f>
        <v>#N/A</v>
      </c>
      <c r="AQ596" s="487" t="e">
        <f>+VLOOKUP($AJ596,Data_Validation!$A:$D,4,0)</f>
        <v>#N/A</v>
      </c>
      <c r="AR596" s="487" t="s">
        <v>299</v>
      </c>
      <c r="AS596" s="487" t="e">
        <f>+VLOOKUP($AJ596,Data_Validation!$A:$E,5,0)</f>
        <v>#N/A</v>
      </c>
      <c r="AT596" s="904" t="str">
        <f t="shared" si="57"/>
        <v>G40120</v>
      </c>
      <c r="AU596" s="488" t="str">
        <f t="shared" si="58"/>
        <v>VTES-MALIBU          -LOC</v>
      </c>
      <c r="AV596" s="899">
        <f>IFERROR(INDEX(V596:AG596,1,MATCH(Parametres!$B$3,V$1:AG$1,0)-1)*IF(OR(C596="L",C596="S",C596="I"),-1,1),"")</f>
        <v>0</v>
      </c>
      <c r="AW596" s="899">
        <f t="shared" si="59"/>
        <v>0</v>
      </c>
      <c r="AX596" s="899">
        <f>INDEX(V596:AG596,1,MATCH(Parametres!$B$3,V$1:AG$1,0))*IF(OR(C596="L",C596="S",C596="I"),-1,1)</f>
        <v>0</v>
      </c>
      <c r="AY596" s="487" t="s">
        <v>337</v>
      </c>
      <c r="AZ596" s="487" t="e">
        <f>+VLOOKUP($AJ596,Data_Validation!$A:$E,5,0)</f>
        <v>#N/A</v>
      </c>
    </row>
    <row r="597" spans="1:52" ht="15" hidden="1" customHeight="1">
      <c r="A597" s="706" t="s">
        <v>1148</v>
      </c>
      <c r="B597" s="706">
        <v>2026</v>
      </c>
      <c r="C597" s="706" t="s">
        <v>2238</v>
      </c>
      <c r="D597" s="706" t="s">
        <v>2239</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G40200</v>
      </c>
      <c r="AK597" s="905" t="str">
        <f t="shared" si="61"/>
        <v>VTES-MALIBU MAXX</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G40200</v>
      </c>
      <c r="AU597" s="488" t="str">
        <f t="shared" si="58"/>
        <v>VTES-MALIBU MAXX</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hidden="1" customHeight="1">
      <c r="A598" s="706" t="s">
        <v>1148</v>
      </c>
      <c r="B598" s="706">
        <v>2026</v>
      </c>
      <c r="C598" s="706" t="s">
        <v>2240</v>
      </c>
      <c r="D598" s="706" t="s">
        <v>2241</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G40201</v>
      </c>
      <c r="AK598" s="905" t="str">
        <f t="shared" si="61"/>
        <v>VENTES - SONIC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G40201</v>
      </c>
      <c r="AU598" s="488" t="str">
        <f t="shared" si="58"/>
        <v>VENTES - SONIC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2242</v>
      </c>
      <c r="D599" s="706" t="s">
        <v>2243</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G40204</v>
      </c>
      <c r="AK599" s="905" t="str">
        <f t="shared" si="61"/>
        <v>VENTES - VERANO</v>
      </c>
      <c r="AL599" s="905">
        <f>IFERROR(INDEX(G599:R599,1,MATCH(Parametres!$B$3,G$1:R$1,0)-1)*IF(OR(F599="L",F599="S",F599="I"),-1,1),"")</f>
        <v>0</v>
      </c>
      <c r="AM599" s="905">
        <f t="shared" si="56"/>
        <v>0</v>
      </c>
      <c r="AN599" s="905">
        <f>INDEX(G599:R599,1,MATCH(Parametres!$B$3,G$1:R$1,0))*IF(OR(F599="L",F599="S",F599="I"),-1,1)</f>
        <v>0</v>
      </c>
      <c r="AO599" s="487" t="str">
        <f>+VLOOKUP($AJ599,Data_Validation!$A:$D,1,0)</f>
        <v>G40204</v>
      </c>
      <c r="AP599" s="487" t="str">
        <f>+VLOOKUP($AJ599,Data_Validation!$A:$D,3,0)</f>
        <v>Véhicules neufs</v>
      </c>
      <c r="AQ599" s="487" t="str">
        <f>+VLOOKUP($AJ599,Data_Validation!$A:$D,4,0)</f>
        <v>Autos détail</v>
      </c>
      <c r="AR599" s="487" t="s">
        <v>299</v>
      </c>
      <c r="AS599" s="487" t="str">
        <f>+VLOOKUP($AJ599,Data_Validation!$A:$E,5,0)</f>
        <v>Oui</v>
      </c>
      <c r="AT599" s="904" t="str">
        <f t="shared" si="57"/>
        <v>G40204</v>
      </c>
      <c r="AU599" s="488" t="str">
        <f t="shared" si="58"/>
        <v>VENTES - VERANO</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2244</v>
      </c>
      <c r="D600" s="706" t="s">
        <v>2245</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G40300</v>
      </c>
      <c r="AK600" s="905" t="str">
        <f t="shared" si="61"/>
        <v>VTES-IMPALA</v>
      </c>
      <c r="AL600" s="905">
        <f>IFERROR(INDEX(G600:R600,1,MATCH(Parametres!$B$3,G$1:R$1,0)-1)*IF(OR(F600="L",F600="S",F600="I"),-1,1),"")</f>
        <v>0</v>
      </c>
      <c r="AM600" s="905">
        <f t="shared" si="56"/>
        <v>0</v>
      </c>
      <c r="AN600" s="905">
        <f>INDEX(G600:R600,1,MATCH(Parametres!$B$3,G$1:R$1,0))*IF(OR(F600="L",F600="S",F600="I"),-1,1)</f>
        <v>0</v>
      </c>
      <c r="AO600" s="487" t="str">
        <f>+VLOOKUP($AJ600,Data_Validation!$A:$D,1,0)</f>
        <v>G40300</v>
      </c>
      <c r="AP600" s="487" t="str">
        <f>+VLOOKUP($AJ600,Data_Validation!$A:$D,3,0)</f>
        <v>Véhicules neufs</v>
      </c>
      <c r="AQ600" s="487" t="str">
        <f>+VLOOKUP($AJ600,Data_Validation!$A:$D,4,0)</f>
        <v>Autos détail</v>
      </c>
      <c r="AR600" s="487" t="s">
        <v>299</v>
      </c>
      <c r="AS600" s="487" t="str">
        <f>+VLOOKUP($AJ600,Data_Validation!$A:$E,5,0)</f>
        <v>Oui</v>
      </c>
      <c r="AT600" s="904" t="str">
        <f t="shared" si="57"/>
        <v>G40300</v>
      </c>
      <c r="AU600" s="488" t="str">
        <f t="shared" si="58"/>
        <v>VTES-IMPALA</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2246</v>
      </c>
      <c r="D601" s="706" t="s">
        <v>2247</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G40320</v>
      </c>
      <c r="AK601" s="905" t="str">
        <f t="shared" si="61"/>
        <v>VTES-IMPALA          -LOC</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G40320</v>
      </c>
      <c r="AU601" s="488" t="str">
        <f t="shared" si="58"/>
        <v>VTES-IMPALA          -LOC</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hidden="1" customHeight="1">
      <c r="A602" s="706" t="s">
        <v>1148</v>
      </c>
      <c r="B602" s="706">
        <v>2026</v>
      </c>
      <c r="C602" s="706" t="s">
        <v>2248</v>
      </c>
      <c r="D602" s="706" t="s">
        <v>2249</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G40400</v>
      </c>
      <c r="AK602" s="905" t="str">
        <f t="shared" si="61"/>
        <v>VENTES / SPARK</v>
      </c>
      <c r="AL602" s="905">
        <f>IFERROR(INDEX(G602:R602,1,MATCH(Parametres!$B$3,G$1:R$1,0)-1)*IF(OR(F602="L",F602="S",F602="I"),-1,1),"")</f>
        <v>0</v>
      </c>
      <c r="AM602" s="905">
        <f t="shared" si="56"/>
        <v>0</v>
      </c>
      <c r="AN602" s="905">
        <f>INDEX(G602:R602,1,MATCH(Parametres!$B$3,G$1:R$1,0))*IF(OR(F602="L",F602="S",F602="I"),-1,1)</f>
        <v>0</v>
      </c>
      <c r="AO602" s="487" t="str">
        <f>+VLOOKUP($AJ602,Data_Validation!$A:$D,1,0)</f>
        <v>G40400</v>
      </c>
      <c r="AP602" s="487" t="str">
        <f>+VLOOKUP($AJ602,Data_Validation!$A:$D,3,0)</f>
        <v>Véhicules neufs</v>
      </c>
      <c r="AQ602" s="487" t="str">
        <f>+VLOOKUP($AJ602,Data_Validation!$A:$D,4,0)</f>
        <v>Autos détail</v>
      </c>
      <c r="AR602" s="487" t="s">
        <v>299</v>
      </c>
      <c r="AS602" s="487" t="str">
        <f>+VLOOKUP($AJ602,Data_Validation!$A:$E,5,0)</f>
        <v>Oui</v>
      </c>
      <c r="AT602" s="904" t="str">
        <f t="shared" si="57"/>
        <v>G40400</v>
      </c>
      <c r="AU602" s="488" t="str">
        <f t="shared" si="58"/>
        <v>VENTES / SPARK</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2250</v>
      </c>
      <c r="D603" s="706" t="s">
        <v>2251</v>
      </c>
      <c r="E603" s="706" t="s">
        <v>1149</v>
      </c>
      <c r="F603" s="706" t="s">
        <v>1149</v>
      </c>
      <c r="G603" s="706">
        <v>0</v>
      </c>
      <c r="H603" s="706">
        <v>0</v>
      </c>
      <c r="I603" s="706">
        <v>0</v>
      </c>
      <c r="J603" s="706">
        <v>102018.5</v>
      </c>
      <c r="K603" s="706">
        <v>203641.5</v>
      </c>
      <c r="L603" s="706">
        <v>349904.5</v>
      </c>
      <c r="M603" s="706">
        <v>449377.5</v>
      </c>
      <c r="N603" s="706">
        <v>449377.5</v>
      </c>
      <c r="O603" s="706">
        <v>449377.5</v>
      </c>
      <c r="P603" s="706">
        <v>0</v>
      </c>
      <c r="Q603" s="706">
        <v>0</v>
      </c>
      <c r="R603" s="706">
        <v>0</v>
      </c>
      <c r="S603" s="706">
        <v>56172.19</v>
      </c>
      <c r="T603" s="706">
        <v>56172.19</v>
      </c>
      <c r="U603" s="706">
        <v>0</v>
      </c>
      <c r="V603" s="706">
        <v>0</v>
      </c>
      <c r="W603" s="706">
        <v>0</v>
      </c>
      <c r="X603" s="706">
        <v>0</v>
      </c>
      <c r="Y603" s="706">
        <v>1</v>
      </c>
      <c r="Z603" s="706">
        <v>2</v>
      </c>
      <c r="AA603" s="706">
        <v>3</v>
      </c>
      <c r="AB603" s="706">
        <v>4</v>
      </c>
      <c r="AC603" s="706">
        <v>4</v>
      </c>
      <c r="AD603" s="706">
        <v>4</v>
      </c>
      <c r="AE603" s="706">
        <v>0</v>
      </c>
      <c r="AF603" s="706">
        <v>0</v>
      </c>
      <c r="AG603" s="706">
        <v>0</v>
      </c>
      <c r="AH603" s="706">
        <v>1</v>
      </c>
      <c r="AI603" s="706">
        <v>1</v>
      </c>
      <c r="AJ603" s="905" t="str">
        <f t="shared" si="60"/>
        <v>G40500</v>
      </c>
      <c r="AK603" s="905" t="str">
        <f t="shared" si="61"/>
        <v>VTES-CORVETTE</v>
      </c>
      <c r="AL603" s="905">
        <f>IFERROR(INDEX(G603:R603,1,MATCH(Parametres!$B$3,G$1:R$1,0)-1)*IF(OR(F603="L",F603="S",F603="I"),-1,1),"")</f>
        <v>-449377.5</v>
      </c>
      <c r="AM603" s="905">
        <f t="shared" si="56"/>
        <v>0</v>
      </c>
      <c r="AN603" s="905">
        <f>INDEX(G603:R603,1,MATCH(Parametres!$B$3,G$1:R$1,0))*IF(OR(F603="L",F603="S",F603="I"),-1,1)</f>
        <v>-449377.5</v>
      </c>
      <c r="AO603" s="487" t="str">
        <f>+VLOOKUP($AJ603,Data_Validation!$A:$D,1,0)</f>
        <v>G40500</v>
      </c>
      <c r="AP603" s="487" t="str">
        <f>+VLOOKUP($AJ603,Data_Validation!$A:$D,3,0)</f>
        <v>Véhicules neufs</v>
      </c>
      <c r="AQ603" s="487" t="str">
        <f>+VLOOKUP($AJ603,Data_Validation!$A:$D,4,0)</f>
        <v>Autos détail</v>
      </c>
      <c r="AR603" s="487" t="s">
        <v>299</v>
      </c>
      <c r="AS603" s="487" t="str">
        <f>+VLOOKUP($AJ603,Data_Validation!$A:$E,5,0)</f>
        <v>Oui</v>
      </c>
      <c r="AT603" s="904" t="str">
        <f t="shared" si="57"/>
        <v>G40500</v>
      </c>
      <c r="AU603" s="488" t="str">
        <f t="shared" si="58"/>
        <v>VTES-CORVETTE</v>
      </c>
      <c r="AV603" s="899">
        <f>IFERROR(INDEX(V603:AG603,1,MATCH(Parametres!$B$3,V$1:AG$1,0)-1)*IF(OR(C603="L",C603="S",C603="I"),-1,1),"")</f>
        <v>4</v>
      </c>
      <c r="AW603" s="899">
        <f t="shared" si="59"/>
        <v>0</v>
      </c>
      <c r="AX603" s="899">
        <f>INDEX(V603:AG603,1,MATCH(Parametres!$B$3,V$1:AG$1,0))*IF(OR(C603="L",C603="S",C603="I"),-1,1)</f>
        <v>4</v>
      </c>
      <c r="AY603" s="487" t="s">
        <v>337</v>
      </c>
      <c r="AZ603" s="487" t="str">
        <f>+VLOOKUP($AJ603,Data_Validation!$A:$E,5,0)</f>
        <v>Oui</v>
      </c>
    </row>
    <row r="604" spans="1:52" ht="15" hidden="1" customHeight="1">
      <c r="A604" s="706" t="s">
        <v>1148</v>
      </c>
      <c r="B604" s="706">
        <v>2026</v>
      </c>
      <c r="C604" s="706" t="s">
        <v>2252</v>
      </c>
      <c r="D604" s="706" t="s">
        <v>2253</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G40600</v>
      </c>
      <c r="AK604" s="905" t="str">
        <f t="shared" si="61"/>
        <v>VTES-AVEO</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G40600</v>
      </c>
      <c r="AU604" s="488" t="str">
        <f t="shared" si="58"/>
        <v>VTES-AVEO</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2254</v>
      </c>
      <c r="D605" s="706" t="s">
        <v>2255</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G40620</v>
      </c>
      <c r="AK605" s="905" t="str">
        <f t="shared" si="61"/>
        <v>VTES-AVEO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G40620</v>
      </c>
      <c r="AU605" s="488" t="str">
        <f t="shared" si="58"/>
        <v>VTES-AVEO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2256</v>
      </c>
      <c r="D606" s="706" t="s">
        <v>2257</v>
      </c>
      <c r="E606" s="706" t="s">
        <v>1149</v>
      </c>
      <c r="F606" s="706" t="s">
        <v>1149</v>
      </c>
      <c r="G606" s="706">
        <v>0</v>
      </c>
      <c r="H606" s="706">
        <v>0</v>
      </c>
      <c r="I606" s="706">
        <v>0</v>
      </c>
      <c r="J606" s="706">
        <v>0</v>
      </c>
      <c r="K606" s="706">
        <v>46018</v>
      </c>
      <c r="L606" s="706">
        <v>46018</v>
      </c>
      <c r="M606" s="706">
        <v>46018</v>
      </c>
      <c r="N606" s="706">
        <v>174813.7</v>
      </c>
      <c r="O606" s="706">
        <v>174813.7</v>
      </c>
      <c r="P606" s="706">
        <v>0</v>
      </c>
      <c r="Q606" s="706">
        <v>0</v>
      </c>
      <c r="R606" s="706">
        <v>0</v>
      </c>
      <c r="S606" s="706">
        <v>21851.71</v>
      </c>
      <c r="T606" s="706">
        <v>21851.71</v>
      </c>
      <c r="U606" s="706">
        <v>0</v>
      </c>
      <c r="V606" s="706">
        <v>0</v>
      </c>
      <c r="W606" s="706">
        <v>0</v>
      </c>
      <c r="X606" s="706">
        <v>0</v>
      </c>
      <c r="Y606" s="706">
        <v>0</v>
      </c>
      <c r="Z606" s="706">
        <v>1</v>
      </c>
      <c r="AA606" s="706">
        <v>1</v>
      </c>
      <c r="AB606" s="706">
        <v>1</v>
      </c>
      <c r="AC606" s="706">
        <v>4</v>
      </c>
      <c r="AD606" s="706">
        <v>4</v>
      </c>
      <c r="AE606" s="706">
        <v>0</v>
      </c>
      <c r="AF606" s="706">
        <v>0</v>
      </c>
      <c r="AG606" s="706">
        <v>0</v>
      </c>
      <c r="AH606" s="706">
        <v>1</v>
      </c>
      <c r="AI606" s="706">
        <v>1</v>
      </c>
      <c r="AJ606" s="905" t="str">
        <f t="shared" si="60"/>
        <v>G40700</v>
      </c>
      <c r="AK606" s="905" t="str">
        <f t="shared" si="61"/>
        <v>VENTES BOLT - EV</v>
      </c>
      <c r="AL606" s="905">
        <f>IFERROR(INDEX(G606:R606,1,MATCH(Parametres!$B$3,G$1:R$1,0)-1)*IF(OR(F606="L",F606="S",F606="I"),-1,1),"")</f>
        <v>-46018</v>
      </c>
      <c r="AM606" s="905">
        <f t="shared" si="56"/>
        <v>-128795.70000000001</v>
      </c>
      <c r="AN606" s="905">
        <f>INDEX(G606:R606,1,MATCH(Parametres!$B$3,G$1:R$1,0))*IF(OR(F606="L",F606="S",F606="I"),-1,1)</f>
        <v>-174813.7</v>
      </c>
      <c r="AO606" s="487" t="str">
        <f>+VLOOKUP($AJ606,Data_Validation!$A:$D,1,0)</f>
        <v>G40700</v>
      </c>
      <c r="AP606" s="487" t="str">
        <f>+VLOOKUP($AJ606,Data_Validation!$A:$D,3,0)</f>
        <v>Véhicules neufs</v>
      </c>
      <c r="AQ606" s="487" t="str">
        <f>+VLOOKUP($AJ606,Data_Validation!$A:$D,4,0)</f>
        <v>Camions electriques</v>
      </c>
      <c r="AR606" s="487" t="s">
        <v>299</v>
      </c>
      <c r="AS606" s="487" t="str">
        <f>+VLOOKUP($AJ606,Data_Validation!$A:$E,5,0)</f>
        <v>Oui</v>
      </c>
      <c r="AT606" s="904" t="str">
        <f t="shared" si="57"/>
        <v>G40700</v>
      </c>
      <c r="AU606" s="488" t="str">
        <f t="shared" si="58"/>
        <v>VENTES BOLT - EV</v>
      </c>
      <c r="AV606" s="899">
        <f>IFERROR(INDEX(V606:AG606,1,MATCH(Parametres!$B$3,V$1:AG$1,0)-1)*IF(OR(C606="L",C606="S",C606="I"),-1,1),"")</f>
        <v>1</v>
      </c>
      <c r="AW606" s="899">
        <f t="shared" si="59"/>
        <v>3</v>
      </c>
      <c r="AX606" s="899">
        <f>INDEX(V606:AG606,1,MATCH(Parametres!$B$3,V$1:AG$1,0))*IF(OR(C606="L",C606="S",C606="I"),-1,1)</f>
        <v>4</v>
      </c>
      <c r="AY606" s="487" t="s">
        <v>337</v>
      </c>
      <c r="AZ606" s="487" t="str">
        <f>+VLOOKUP($AJ606,Data_Validation!$A:$E,5,0)</f>
        <v>Oui</v>
      </c>
    </row>
    <row r="607" spans="1:52" ht="15" hidden="1" customHeight="1">
      <c r="A607" s="706" t="s">
        <v>1148</v>
      </c>
      <c r="B607" s="706">
        <v>2026</v>
      </c>
      <c r="C607" s="706" t="s">
        <v>2258</v>
      </c>
      <c r="D607" s="706" t="s">
        <v>2259</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G40720</v>
      </c>
      <c r="AK607" s="905" t="str">
        <f t="shared" si="61"/>
        <v>VTES-OPTRA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G40720</v>
      </c>
      <c r="AU607" s="488" t="str">
        <f t="shared" si="58"/>
        <v>VTES-OPTRA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2260</v>
      </c>
      <c r="D608" s="706" t="s">
        <v>2261</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G40800</v>
      </c>
      <c r="AK608" s="905" t="str">
        <f t="shared" si="61"/>
        <v>VTES-EPICA</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G40800</v>
      </c>
      <c r="AU608" s="488" t="str">
        <f t="shared" si="58"/>
        <v>VTES-EPICA</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2262</v>
      </c>
      <c r="D609" s="706" t="s">
        <v>2263</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G40820</v>
      </c>
      <c r="AK609" s="905" t="str">
        <f t="shared" si="61"/>
        <v>VTES-EPICA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G40820</v>
      </c>
      <c r="AU609" s="488" t="str">
        <f t="shared" si="58"/>
        <v>VTES-EPICA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hidden="1" customHeight="1">
      <c r="A610" s="706" t="s">
        <v>1148</v>
      </c>
      <c r="B610" s="706">
        <v>2026</v>
      </c>
      <c r="C610" s="706" t="s">
        <v>2264</v>
      </c>
      <c r="D610" s="706" t="s">
        <v>2265</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G40900</v>
      </c>
      <c r="AK610" s="905" t="str">
        <f t="shared" si="61"/>
        <v>VTES-COBALT</v>
      </c>
      <c r="AL610" s="905">
        <f>IFERROR(INDEX(G610:R610,1,MATCH(Parametres!$B$3,G$1:R$1,0)-1)*IF(OR(F610="L",F610="S",F610="I"),-1,1),"")</f>
        <v>0</v>
      </c>
      <c r="AM610" s="905">
        <f t="shared" si="56"/>
        <v>0</v>
      </c>
      <c r="AN610" s="905">
        <f>INDEX(G610:R610,1,MATCH(Parametres!$B$3,G$1:R$1,0))*IF(OR(F610="L",F610="S",F610="I"),-1,1)</f>
        <v>0</v>
      </c>
      <c r="AO610" s="487" t="str">
        <f>+VLOOKUP($AJ610,Data_Validation!$A:$D,1,0)</f>
        <v>G40900</v>
      </c>
      <c r="AP610" s="487" t="str">
        <f>+VLOOKUP($AJ610,Data_Validation!$A:$D,3,0)</f>
        <v>Véhicules neufs</v>
      </c>
      <c r="AQ610" s="487" t="str">
        <f>+VLOOKUP($AJ610,Data_Validation!$A:$D,4,0)</f>
        <v>Autos détail</v>
      </c>
      <c r="AR610" s="487" t="s">
        <v>299</v>
      </c>
      <c r="AS610" s="487" t="str">
        <f>+VLOOKUP($AJ610,Data_Validation!$A:$E,5,0)</f>
        <v>Oui</v>
      </c>
      <c r="AT610" s="904" t="str">
        <f t="shared" si="57"/>
        <v>G40900</v>
      </c>
      <c r="AU610" s="488" t="str">
        <f t="shared" si="58"/>
        <v>VTES-COBALT</v>
      </c>
      <c r="AV610" s="899">
        <f>IFERROR(INDEX(V610:AG610,1,MATCH(Parametres!$B$3,V$1:AG$1,0)-1)*IF(OR(C610="L",C610="S",C610="I"),-1,1),"")</f>
        <v>0</v>
      </c>
      <c r="AW610" s="899">
        <f t="shared" si="59"/>
        <v>0</v>
      </c>
      <c r="AX610" s="899">
        <f>INDEX(V610:AG610,1,MATCH(Parametres!$B$3,V$1:AG$1,0))*IF(OR(C610="L",C610="S",C610="I"),-1,1)</f>
        <v>0</v>
      </c>
      <c r="AY610" s="487" t="s">
        <v>337</v>
      </c>
      <c r="AZ610" s="487" t="str">
        <f>+VLOOKUP($AJ610,Data_Validation!$A:$E,5,0)</f>
        <v>Oui</v>
      </c>
    </row>
    <row r="611" spans="1:52" ht="15" hidden="1" customHeight="1">
      <c r="A611" s="706" t="s">
        <v>1148</v>
      </c>
      <c r="B611" s="706">
        <v>2026</v>
      </c>
      <c r="C611" s="706" t="s">
        <v>2266</v>
      </c>
      <c r="D611" s="706" t="s">
        <v>2267</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G40920</v>
      </c>
      <c r="AK611" s="905" t="str">
        <f t="shared" si="61"/>
        <v>VTES-COBALT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G40920</v>
      </c>
      <c r="AU611" s="488" t="str">
        <f t="shared" si="58"/>
        <v>VTES-COBALT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2268</v>
      </c>
      <c r="D612" s="706" t="s">
        <v>2269</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G41000</v>
      </c>
      <c r="AK612" s="905" t="str">
        <f t="shared" si="61"/>
        <v>VENTES CAMARO</v>
      </c>
      <c r="AL612" s="905">
        <f>IFERROR(INDEX(G612:R612,1,MATCH(Parametres!$B$3,G$1:R$1,0)-1)*IF(OR(F612="L",F612="S",F612="I"),-1,1),"")</f>
        <v>0</v>
      </c>
      <c r="AM612" s="1047">
        <f t="shared" si="56"/>
        <v>0</v>
      </c>
      <c r="AN612" s="905">
        <f>INDEX(G612:R612,1,MATCH(Parametres!$B$3,G$1:R$1,0))*IF(OR(F612="L",F612="S",F612="I"),-1,1)</f>
        <v>0</v>
      </c>
      <c r="AO612" s="487" t="str">
        <f>+VLOOKUP($AJ612,Data_Validation!$A:$D,1,0)</f>
        <v>G41000</v>
      </c>
      <c r="AP612" s="487" t="str">
        <f>+VLOOKUP($AJ612,Data_Validation!$A:$D,3,0)</f>
        <v>Véhicules neufs</v>
      </c>
      <c r="AQ612" s="487" t="str">
        <f>+VLOOKUP($AJ612,Data_Validation!$A:$D,4,0)</f>
        <v>Autos détail</v>
      </c>
      <c r="AR612" s="487" t="s">
        <v>299</v>
      </c>
      <c r="AS612" s="487" t="str">
        <f>+VLOOKUP($AJ612,Data_Validation!$A:$E,5,0)</f>
        <v>Oui</v>
      </c>
      <c r="AT612" s="904" t="str">
        <f t="shared" si="57"/>
        <v>G41000</v>
      </c>
      <c r="AU612" s="488" t="str">
        <f t="shared" si="58"/>
        <v>VENTES CAMARO</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hidden="1" customHeight="1">
      <c r="A613" s="706" t="s">
        <v>1148</v>
      </c>
      <c r="B613" s="706">
        <v>2026</v>
      </c>
      <c r="C613" s="706" t="s">
        <v>2270</v>
      </c>
      <c r="D613" s="706" t="s">
        <v>2271</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G41100</v>
      </c>
      <c r="AK613" s="905" t="str">
        <f t="shared" si="61"/>
        <v>VENTES CRUZE</v>
      </c>
      <c r="AL613" s="905">
        <f>IFERROR(INDEX(G613:R613,1,MATCH(Parametres!$B$3,G$1:R$1,0)-1)*IF(OR(F613="L",F613="S",F613="I"),-1,1),"")</f>
        <v>0</v>
      </c>
      <c r="AM613" s="905">
        <f t="shared" si="56"/>
        <v>0</v>
      </c>
      <c r="AN613" s="905">
        <f>INDEX(G613:R613,1,MATCH(Parametres!$B$3,G$1:R$1,0))*IF(OR(F613="L",F613="S",F613="I"),-1,1)</f>
        <v>0</v>
      </c>
      <c r="AO613" s="487" t="str">
        <f>+VLOOKUP($AJ613,Data_Validation!$A:$D,1,0)</f>
        <v>G41100</v>
      </c>
      <c r="AP613" s="487" t="str">
        <f>+VLOOKUP($AJ613,Data_Validation!$A:$D,3,0)</f>
        <v>Véhicules neufs</v>
      </c>
      <c r="AQ613" s="487" t="str">
        <f>+VLOOKUP($AJ613,Data_Validation!$A:$D,4,0)</f>
        <v>Autos détail</v>
      </c>
      <c r="AR613" s="487" t="s">
        <v>299</v>
      </c>
      <c r="AS613" s="487" t="str">
        <f>+VLOOKUP($AJ613,Data_Validation!$A:$E,5,0)</f>
        <v>Oui</v>
      </c>
      <c r="AT613" s="904" t="str">
        <f t="shared" si="57"/>
        <v>G41100</v>
      </c>
      <c r="AU613" s="488" t="str">
        <f t="shared" si="58"/>
        <v>VENTES CRUZE</v>
      </c>
      <c r="AV613" s="899">
        <f>IFERROR(INDEX(V613:AG613,1,MATCH(Parametres!$B$3,V$1:AG$1,0)-1)*IF(OR(C613="L",C613="S",C613="I"),-1,1),"")</f>
        <v>0</v>
      </c>
      <c r="AW613" s="899">
        <f t="shared" si="59"/>
        <v>0</v>
      </c>
      <c r="AX613" s="899">
        <f>INDEX(V613:AG613,1,MATCH(Parametres!$B$3,V$1:AG$1,0))*IF(OR(C613="L",C613="S",C613="I"),-1,1)</f>
        <v>0</v>
      </c>
      <c r="AY613" s="487" t="s">
        <v>337</v>
      </c>
      <c r="AZ613" s="487" t="str">
        <f>+VLOOKUP($AJ613,Data_Validation!$A:$E,5,0)</f>
        <v>Oui</v>
      </c>
    </row>
    <row r="614" spans="1:52" ht="15" hidden="1" customHeight="1">
      <c r="A614" s="706" t="s">
        <v>1148</v>
      </c>
      <c r="B614" s="706">
        <v>2026</v>
      </c>
      <c r="C614" s="706" t="s">
        <v>2272</v>
      </c>
      <c r="D614" s="706" t="s">
        <v>2273</v>
      </c>
      <c r="E614" s="706" t="s">
        <v>333</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G41600</v>
      </c>
      <c r="AK614" s="905" t="str">
        <f t="shared" si="61"/>
        <v>*PROGRAMME GENERAL MOTORS</v>
      </c>
      <c r="AL614" s="905">
        <f>IFERROR(INDEX(G614:R614,1,MATCH(Parametres!$B$3,G$1:R$1,0)-1)*IF(OR(F614="L",F614="S",F614="I"),-1,1),"")</f>
        <v>0</v>
      </c>
      <c r="AM614" s="905">
        <f t="shared" si="56"/>
        <v>0</v>
      </c>
      <c r="AN614" s="905">
        <f>INDEX(G614:R614,1,MATCH(Parametres!$B$3,G$1:R$1,0))*IF(OR(F614="L",F614="S",F614="I"),-1,1)</f>
        <v>0</v>
      </c>
      <c r="AO614" s="487" t="str">
        <f>+VLOOKUP($AJ614,Data_Validation!$A:$D,1,0)</f>
        <v>G41600</v>
      </c>
      <c r="AP614" s="487">
        <f>+VLOOKUP($AJ614,Data_Validation!$A:$D,3,0)</f>
        <v>0</v>
      </c>
      <c r="AQ614" s="487">
        <f>+VLOOKUP($AJ614,Data_Validation!$A:$D,4,0)</f>
        <v>0</v>
      </c>
      <c r="AR614" s="487" t="s">
        <v>299</v>
      </c>
      <c r="AS614" s="487">
        <f>+VLOOKUP($AJ614,Data_Validation!$A:$E,5,0)</f>
        <v>0</v>
      </c>
      <c r="AT614" s="904" t="str">
        <f t="shared" si="57"/>
        <v>G41600</v>
      </c>
      <c r="AU614" s="488" t="str">
        <f t="shared" si="58"/>
        <v>*PROGRAMME GENERAL MOTORS</v>
      </c>
      <c r="AV614" s="899">
        <f>IFERROR(INDEX(V614:AG614,1,MATCH(Parametres!$B$3,V$1:AG$1,0)-1)*IF(OR(C614="L",C614="S",C614="I"),-1,1),"")</f>
        <v>0</v>
      </c>
      <c r="AW614" s="899">
        <f t="shared" si="59"/>
        <v>0</v>
      </c>
      <c r="AX614" s="899">
        <f>INDEX(V614:AG614,1,MATCH(Parametres!$B$3,V$1:AG$1,0))*IF(OR(C614="L",C614="S",C614="I"),-1,1)</f>
        <v>0</v>
      </c>
      <c r="AY614" s="487" t="s">
        <v>337</v>
      </c>
      <c r="AZ614" s="487">
        <f>+VLOOKUP($AJ614,Data_Validation!$A:$E,5,0)</f>
        <v>0</v>
      </c>
    </row>
    <row r="615" spans="1:52" ht="15" hidden="1" customHeight="1">
      <c r="A615" s="706" t="s">
        <v>1148</v>
      </c>
      <c r="B615" s="706">
        <v>2026</v>
      </c>
      <c r="C615" s="706" t="s">
        <v>2274</v>
      </c>
      <c r="D615" s="706" t="s">
        <v>2275</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G41700</v>
      </c>
      <c r="AK615" s="905" t="str">
        <f t="shared" si="61"/>
        <v>VTES-CHEV AUTOS AUTRES</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G41700</v>
      </c>
      <c r="AU615" s="488" t="str">
        <f t="shared" si="58"/>
        <v>VTES-CHEV AUTOS AUTRES</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2276</v>
      </c>
      <c r="D616" s="706" t="s">
        <v>2277</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G41720</v>
      </c>
      <c r="AK616" s="905" t="str">
        <f t="shared" si="61"/>
        <v>VTES-CHEV AUTOS AUTRE-LOC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G41720</v>
      </c>
      <c r="AU616" s="488" t="str">
        <f t="shared" si="58"/>
        <v>VTES-CHEV AUTOS AUTRE-LOC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2278</v>
      </c>
      <c r="D617" s="706" t="s">
        <v>2279</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20</v>
      </c>
      <c r="W617" s="706">
        <v>54</v>
      </c>
      <c r="X617" s="706">
        <v>104</v>
      </c>
      <c r="Y617" s="706">
        <v>159</v>
      </c>
      <c r="Z617" s="706">
        <v>186</v>
      </c>
      <c r="AA617" s="706">
        <v>230</v>
      </c>
      <c r="AB617" s="706">
        <v>272</v>
      </c>
      <c r="AC617" s="706">
        <v>320</v>
      </c>
      <c r="AD617" s="706">
        <v>320</v>
      </c>
      <c r="AE617" s="706">
        <v>0</v>
      </c>
      <c r="AF617" s="706">
        <v>0</v>
      </c>
      <c r="AG617" s="706">
        <v>0</v>
      </c>
      <c r="AH617" s="706">
        <v>40</v>
      </c>
      <c r="AI617" s="706">
        <v>40</v>
      </c>
      <c r="AJ617" s="905" t="str">
        <f t="shared" si="60"/>
        <v>G41799</v>
      </c>
      <c r="AK617" s="905" t="str">
        <f t="shared" si="61"/>
        <v>VTES-ECHANGE CONCESSIONN.</v>
      </c>
      <c r="AL617" s="905">
        <f>IFERROR(INDEX(G617:R617,1,MATCH(Parametres!$B$3,G$1:R$1,0)-1)*IF(OR(F617="L",F617="S",F617="I"),-1,1),"")</f>
        <v>0</v>
      </c>
      <c r="AM617" s="905">
        <f t="shared" si="56"/>
        <v>0</v>
      </c>
      <c r="AN617" s="905">
        <f>INDEX(G617:R617,1,MATCH(Parametres!$B$3,G$1:R$1,0))*IF(OR(F617="L",F617="S",F617="I"),-1,1)</f>
        <v>0</v>
      </c>
      <c r="AO617" s="487" t="str">
        <f>+VLOOKUP($AJ617,Data_Validation!$A:$D,1,0)</f>
        <v>G41799</v>
      </c>
      <c r="AP617" s="487">
        <f>+VLOOKUP($AJ617,Data_Validation!$A:$D,3,0)</f>
        <v>0</v>
      </c>
      <c r="AQ617" s="487">
        <f>+VLOOKUP($AJ617,Data_Validation!$A:$D,4,0)</f>
        <v>0</v>
      </c>
      <c r="AR617" s="487" t="s">
        <v>299</v>
      </c>
      <c r="AS617" s="487">
        <f>+VLOOKUP($AJ617,Data_Validation!$A:$E,5,0)</f>
        <v>0</v>
      </c>
      <c r="AT617" s="904" t="str">
        <f t="shared" si="57"/>
        <v>G41799</v>
      </c>
      <c r="AU617" s="488" t="str">
        <f t="shared" si="58"/>
        <v>VTES-ECHANGE CONCESSIONN.</v>
      </c>
      <c r="AV617" s="899">
        <f>IFERROR(INDEX(V617:AG617,1,MATCH(Parametres!$B$3,V$1:AG$1,0)-1)*IF(OR(C617="L",C617="S",C617="I"),-1,1),"")</f>
        <v>272</v>
      </c>
      <c r="AW617" s="899">
        <f t="shared" si="59"/>
        <v>48</v>
      </c>
      <c r="AX617" s="899">
        <f>INDEX(V617:AG617,1,MATCH(Parametres!$B$3,V$1:AG$1,0))*IF(OR(C617="L",C617="S",C617="I"),-1,1)</f>
        <v>320</v>
      </c>
      <c r="AY617" s="487" t="s">
        <v>337</v>
      </c>
      <c r="AZ617" s="487">
        <f>+VLOOKUP($AJ617,Data_Validation!$A:$E,5,0)</f>
        <v>0</v>
      </c>
    </row>
    <row r="618" spans="1:52" ht="15" hidden="1" customHeight="1">
      <c r="A618" s="706" t="s">
        <v>1148</v>
      </c>
      <c r="B618" s="706">
        <v>2026</v>
      </c>
      <c r="C618" s="706" t="s">
        <v>2280</v>
      </c>
      <c r="D618" s="706" t="s">
        <v>2281</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G41800</v>
      </c>
      <c r="AK618" s="905" t="str">
        <f t="shared" si="61"/>
        <v>AUTRES CHEVROLET</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G41800</v>
      </c>
      <c r="AU618" s="488" t="str">
        <f t="shared" si="58"/>
        <v>AUTRES CHEVROLET</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2282</v>
      </c>
      <c r="D619" s="706" t="s">
        <v>2283</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G42000</v>
      </c>
      <c r="AK619" s="905" t="str">
        <f t="shared" si="61"/>
        <v>VTES-PARCS VOITURES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G42000</v>
      </c>
      <c r="AU619" s="488" t="str">
        <f t="shared" si="58"/>
        <v>VTES-PARCS VOITURES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hidden="1" customHeight="1">
      <c r="A620" s="706" t="s">
        <v>1148</v>
      </c>
      <c r="B620" s="706">
        <v>2026</v>
      </c>
      <c r="C620" s="706" t="s">
        <v>2284</v>
      </c>
      <c r="D620" s="706" t="s">
        <v>2285</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G42100</v>
      </c>
      <c r="AK620" s="905" t="str">
        <f t="shared" si="61"/>
        <v>VTES-VOITURES INTERNE</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G42100</v>
      </c>
      <c r="AU620" s="488" t="str">
        <f t="shared" si="58"/>
        <v>VTES-VOITURES INTERNE</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hidden="1" customHeight="1">
      <c r="A621" s="706" t="s">
        <v>1148</v>
      </c>
      <c r="B621" s="706">
        <v>2026</v>
      </c>
      <c r="C621" s="706" t="s">
        <v>2286</v>
      </c>
      <c r="D621" s="706" t="s">
        <v>2287</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G42300</v>
      </c>
      <c r="AK621" s="905" t="str">
        <f t="shared" si="61"/>
        <v>VTES-VENTURES-UPLAND VAN</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G42300</v>
      </c>
      <c r="AU621" s="488" t="str">
        <f t="shared" si="58"/>
        <v>VTES-VENTURES-UPLAND VAN</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2288</v>
      </c>
      <c r="D622" s="706" t="s">
        <v>2289</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G42312</v>
      </c>
      <c r="AK622" s="905" t="str">
        <f t="shared" si="61"/>
        <v>VTES-KODIAK/TOPKICK 4/5</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G42312</v>
      </c>
      <c r="AU622" s="488" t="str">
        <f t="shared" si="58"/>
        <v>VTES-KODIAK/TOPKICK 4/5</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2290</v>
      </c>
      <c r="D623" s="706" t="s">
        <v>2291</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G42320</v>
      </c>
      <c r="AK623" s="905" t="str">
        <f t="shared" si="61"/>
        <v>VTES-VENTURE-UPLANDER-LOC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G42320</v>
      </c>
      <c r="AU623" s="488" t="str">
        <f t="shared" si="58"/>
        <v>VTES-VENTURE-UPLANDER-LOC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2292</v>
      </c>
      <c r="D624" s="706" t="s">
        <v>2293</v>
      </c>
      <c r="E624" s="706" t="s">
        <v>1149</v>
      </c>
      <c r="F624" s="706" t="s">
        <v>1149</v>
      </c>
      <c r="G624" s="706">
        <v>93796.43</v>
      </c>
      <c r="H624" s="706">
        <v>93796.43</v>
      </c>
      <c r="I624" s="706">
        <v>93796.43</v>
      </c>
      <c r="J624" s="706">
        <v>240565.64</v>
      </c>
      <c r="K624" s="706">
        <v>330422.31</v>
      </c>
      <c r="L624" s="706">
        <v>330422.31</v>
      </c>
      <c r="M624" s="706">
        <v>469151.31</v>
      </c>
      <c r="N624" s="706">
        <v>469151.31</v>
      </c>
      <c r="O624" s="706">
        <v>469151.31</v>
      </c>
      <c r="P624" s="706">
        <v>0</v>
      </c>
      <c r="Q624" s="706">
        <v>0</v>
      </c>
      <c r="R624" s="706">
        <v>0</v>
      </c>
      <c r="S624" s="706">
        <v>58643.91</v>
      </c>
      <c r="T624" s="706">
        <v>58643.91</v>
      </c>
      <c r="U624" s="706">
        <v>0</v>
      </c>
      <c r="V624" s="706">
        <v>2</v>
      </c>
      <c r="W624" s="706">
        <v>2</v>
      </c>
      <c r="X624" s="706">
        <v>2</v>
      </c>
      <c r="Y624" s="706">
        <v>5</v>
      </c>
      <c r="Z624" s="706">
        <v>7</v>
      </c>
      <c r="AA624" s="706">
        <v>7</v>
      </c>
      <c r="AB624" s="706">
        <v>10</v>
      </c>
      <c r="AC624" s="706">
        <v>10</v>
      </c>
      <c r="AD624" s="706">
        <v>10</v>
      </c>
      <c r="AE624" s="706">
        <v>0</v>
      </c>
      <c r="AF624" s="706">
        <v>0</v>
      </c>
      <c r="AG624" s="706">
        <v>0</v>
      </c>
      <c r="AH624" s="706">
        <v>1</v>
      </c>
      <c r="AI624" s="706">
        <v>1</v>
      </c>
      <c r="AJ624" s="905" t="str">
        <f t="shared" si="60"/>
        <v>G42400</v>
      </c>
      <c r="AK624" s="905" t="str">
        <f t="shared" si="61"/>
        <v>VTES-TERRAIN</v>
      </c>
      <c r="AL624" s="905">
        <f>IFERROR(INDEX(G624:R624,1,MATCH(Parametres!$B$3,G$1:R$1,0)-1)*IF(OR(F624="L",F624="S",F624="I"),-1,1),"")</f>
        <v>-469151.31</v>
      </c>
      <c r="AM624" s="905">
        <f t="shared" si="56"/>
        <v>0</v>
      </c>
      <c r="AN624" s="905">
        <f>INDEX(G624:R624,1,MATCH(Parametres!$B$3,G$1:R$1,0))*IF(OR(F624="L",F624="S",F624="I"),-1,1)</f>
        <v>-469151.31</v>
      </c>
      <c r="AO624" s="487" t="str">
        <f>+VLOOKUP($AJ624,Data_Validation!$A:$D,1,0)</f>
        <v>G42400</v>
      </c>
      <c r="AP624" s="487" t="str">
        <f>+VLOOKUP($AJ624,Data_Validation!$A:$D,3,0)</f>
        <v>Véhicules neufs</v>
      </c>
      <c r="AQ624" s="487" t="str">
        <f>+VLOOKUP($AJ624,Data_Validation!$A:$D,4,0)</f>
        <v>Camions détail</v>
      </c>
      <c r="AR624" s="487" t="s">
        <v>299</v>
      </c>
      <c r="AS624" s="487" t="str">
        <f>+VLOOKUP($AJ624,Data_Validation!$A:$E,5,0)</f>
        <v>Oui</v>
      </c>
      <c r="AT624" s="904" t="str">
        <f t="shared" si="57"/>
        <v>G42400</v>
      </c>
      <c r="AU624" s="488" t="str">
        <f t="shared" si="58"/>
        <v>VTES-TERRAIN</v>
      </c>
      <c r="AV624" s="899">
        <f>IFERROR(INDEX(V624:AG624,1,MATCH(Parametres!$B$3,V$1:AG$1,0)-1)*IF(OR(C624="L",C624="S",C624="I"),-1,1),"")</f>
        <v>10</v>
      </c>
      <c r="AW624" s="899">
        <f t="shared" si="59"/>
        <v>0</v>
      </c>
      <c r="AX624" s="899">
        <f>INDEX(V624:AG624,1,MATCH(Parametres!$B$3,V$1:AG$1,0))*IF(OR(C624="L",C624="S",C624="I"),-1,1)</f>
        <v>10</v>
      </c>
      <c r="AY624" s="487" t="s">
        <v>337</v>
      </c>
      <c r="AZ624" s="487" t="str">
        <f>+VLOOKUP($AJ624,Data_Validation!$A:$E,5,0)</f>
        <v>Oui</v>
      </c>
    </row>
    <row r="625" spans="1:52" ht="15" hidden="1" customHeight="1">
      <c r="A625" s="706" t="s">
        <v>1148</v>
      </c>
      <c r="B625" s="706">
        <v>2026</v>
      </c>
      <c r="C625" s="706" t="s">
        <v>2294</v>
      </c>
      <c r="D625" s="706" t="s">
        <v>2295</v>
      </c>
      <c r="E625" s="706" t="s">
        <v>1149</v>
      </c>
      <c r="F625" s="706" t="s">
        <v>1149</v>
      </c>
      <c r="G625" s="706">
        <v>0</v>
      </c>
      <c r="H625" s="706">
        <v>0</v>
      </c>
      <c r="I625" s="706">
        <v>0</v>
      </c>
      <c r="J625" s="706">
        <v>0</v>
      </c>
      <c r="K625" s="706">
        <v>409811.5</v>
      </c>
      <c r="L625" s="706">
        <v>668670.41</v>
      </c>
      <c r="M625" s="706">
        <v>1186449.53</v>
      </c>
      <c r="N625" s="706">
        <v>1709646.11</v>
      </c>
      <c r="O625" s="706">
        <v>1709646.11</v>
      </c>
      <c r="P625" s="706">
        <v>0</v>
      </c>
      <c r="Q625" s="706">
        <v>0</v>
      </c>
      <c r="R625" s="706">
        <v>0</v>
      </c>
      <c r="S625" s="706">
        <v>213705.76</v>
      </c>
      <c r="T625" s="706">
        <v>213705.76</v>
      </c>
      <c r="U625" s="706">
        <v>0</v>
      </c>
      <c r="V625" s="706">
        <v>0</v>
      </c>
      <c r="W625" s="706">
        <v>0</v>
      </c>
      <c r="X625" s="706">
        <v>0</v>
      </c>
      <c r="Y625" s="706">
        <v>0</v>
      </c>
      <c r="Z625" s="706">
        <v>9</v>
      </c>
      <c r="AA625" s="706">
        <v>15</v>
      </c>
      <c r="AB625" s="706">
        <v>27</v>
      </c>
      <c r="AC625" s="706">
        <v>39</v>
      </c>
      <c r="AD625" s="706">
        <v>39</v>
      </c>
      <c r="AE625" s="706">
        <v>0</v>
      </c>
      <c r="AF625" s="706">
        <v>0</v>
      </c>
      <c r="AG625" s="706">
        <v>0</v>
      </c>
      <c r="AH625" s="706">
        <v>5</v>
      </c>
      <c r="AI625" s="706">
        <v>5</v>
      </c>
      <c r="AJ625" s="905" t="str">
        <f t="shared" si="60"/>
        <v>G42401</v>
      </c>
      <c r="AK625" s="905" t="str">
        <f t="shared" si="61"/>
        <v>VENTES - BOLT EUV</v>
      </c>
      <c r="AL625" s="905">
        <f>IFERROR(INDEX(G625:R625,1,MATCH(Parametres!$B$3,G$1:R$1,0)-1)*IF(OR(F625="L",F625="S",F625="I"),-1,1),"")</f>
        <v>-1186449.53</v>
      </c>
      <c r="AM625" s="1047">
        <f t="shared" si="56"/>
        <v>-523196.58000000007</v>
      </c>
      <c r="AN625" s="905">
        <f>INDEX(G625:R625,1,MATCH(Parametres!$B$3,G$1:R$1,0))*IF(OR(F625="L",F625="S",F625="I"),-1,1)</f>
        <v>-1709646.11</v>
      </c>
      <c r="AO625" s="487" t="str">
        <f>+VLOOKUP($AJ625,Data_Validation!$A:$D,1,0)</f>
        <v>G42401</v>
      </c>
      <c r="AP625" s="487" t="str">
        <f>+VLOOKUP($AJ625,Data_Validation!$A:$D,3,0)</f>
        <v>Véhicules neufs</v>
      </c>
      <c r="AQ625" s="487" t="str">
        <f>+VLOOKUP($AJ625,Data_Validation!$A:$D,4,0)</f>
        <v>Camions electriques</v>
      </c>
      <c r="AR625" s="487" t="s">
        <v>299</v>
      </c>
      <c r="AS625" s="487" t="str">
        <f>+VLOOKUP($AJ625,Data_Validation!$A:$E,5,0)</f>
        <v>Oui</v>
      </c>
      <c r="AT625" s="904" t="str">
        <f t="shared" si="57"/>
        <v>G42401</v>
      </c>
      <c r="AU625" s="488" t="str">
        <f t="shared" si="58"/>
        <v>VENTES - BOLT EUV</v>
      </c>
      <c r="AV625" s="899">
        <f>IFERROR(INDEX(V625:AG625,1,MATCH(Parametres!$B$3,V$1:AG$1,0)-1)*IF(OR(C625="L",C625="S",C625="I"),-1,1),"")</f>
        <v>27</v>
      </c>
      <c r="AW625" s="899">
        <f t="shared" si="59"/>
        <v>12</v>
      </c>
      <c r="AX625" s="899">
        <f>INDEX(V625:AG625,1,MATCH(Parametres!$B$3,V$1:AG$1,0))*IF(OR(C625="L",C625="S",C625="I"),-1,1)</f>
        <v>39</v>
      </c>
      <c r="AY625" s="487" t="s">
        <v>337</v>
      </c>
      <c r="AZ625" s="487" t="str">
        <f>+VLOOKUP($AJ625,Data_Validation!$A:$E,5,0)</f>
        <v>Oui</v>
      </c>
    </row>
    <row r="626" spans="1:52" ht="15" hidden="1" customHeight="1">
      <c r="A626" s="706" t="s">
        <v>1148</v>
      </c>
      <c r="B626" s="706">
        <v>2026</v>
      </c>
      <c r="C626" s="706" t="s">
        <v>2296</v>
      </c>
      <c r="D626" s="706" t="s">
        <v>2297</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G42412</v>
      </c>
      <c r="AK626" s="905" t="str">
        <f t="shared" si="61"/>
        <v>VTES-TOPKICK 6/7/8 C</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G42412</v>
      </c>
      <c r="AU626" s="488" t="str">
        <f t="shared" si="58"/>
        <v>VTES-TOPKICK 6/7/8 C</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2298</v>
      </c>
      <c r="D627" s="706" t="s">
        <v>2299</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G42500</v>
      </c>
      <c r="AK627" s="905" t="str">
        <f t="shared" si="61"/>
        <v>VTES-G EXPRESS</v>
      </c>
      <c r="AL627" s="905">
        <f>IFERROR(INDEX(G627:R627,1,MATCH(Parametres!$B$3,G$1:R$1,0)-1)*IF(OR(F627="L",F627="S",F627="I"),-1,1),"")</f>
        <v>0</v>
      </c>
      <c r="AM627" s="1047">
        <f t="shared" si="56"/>
        <v>0</v>
      </c>
      <c r="AN627" s="905">
        <f>INDEX(G627:R627,1,MATCH(Parametres!$B$3,G$1:R$1,0))*IF(OR(F627="L",F627="S",F627="I"),-1,1)</f>
        <v>0</v>
      </c>
      <c r="AO627" s="487" t="str">
        <f>+VLOOKUP($AJ627,Data_Validation!$A:$D,1,0)</f>
        <v>G42500</v>
      </c>
      <c r="AP627" s="487" t="str">
        <f>+VLOOKUP($AJ627,Data_Validation!$A:$D,3,0)</f>
        <v>Véhicules neufs</v>
      </c>
      <c r="AQ627" s="487" t="str">
        <f>+VLOOKUP($AJ627,Data_Validation!$A:$D,4,0)</f>
        <v>Camions détail</v>
      </c>
      <c r="AR627" s="487" t="s">
        <v>299</v>
      </c>
      <c r="AS627" s="487" t="str">
        <f>+VLOOKUP($AJ627,Data_Validation!$A:$E,5,0)</f>
        <v>Oui</v>
      </c>
      <c r="AT627" s="904" t="str">
        <f t="shared" si="57"/>
        <v>G42500</v>
      </c>
      <c r="AU627" s="488" t="str">
        <f t="shared" si="58"/>
        <v>VTES-G EXPRESS</v>
      </c>
      <c r="AV627" s="899">
        <f>IFERROR(INDEX(V627:AG627,1,MATCH(Parametres!$B$3,V$1:AG$1,0)-1)*IF(OR(C627="L",C627="S",C627="I"),-1,1),"")</f>
        <v>0</v>
      </c>
      <c r="AW627" s="899">
        <f t="shared" si="59"/>
        <v>0</v>
      </c>
      <c r="AX627" s="899">
        <f>INDEX(V627:AG627,1,MATCH(Parametres!$B$3,V$1:AG$1,0))*IF(OR(C627="L",C627="S",C627="I"),-1,1)</f>
        <v>0</v>
      </c>
      <c r="AY627" s="487" t="s">
        <v>337</v>
      </c>
      <c r="AZ627" s="487" t="str">
        <f>+VLOOKUP($AJ627,Data_Validation!$A:$E,5,0)</f>
        <v>Oui</v>
      </c>
    </row>
    <row r="628" spans="1:52" ht="15" hidden="1" customHeight="1">
      <c r="A628" s="706" t="s">
        <v>1148</v>
      </c>
      <c r="B628" s="706">
        <v>2026</v>
      </c>
      <c r="C628" s="706" t="s">
        <v>2300</v>
      </c>
      <c r="D628" s="706" t="s">
        <v>2301</v>
      </c>
      <c r="E628" s="706" t="s">
        <v>1149</v>
      </c>
      <c r="F628" s="706" t="s">
        <v>1149</v>
      </c>
      <c r="G628" s="706">
        <v>0</v>
      </c>
      <c r="H628" s="706">
        <v>0</v>
      </c>
      <c r="I628" s="706">
        <v>0</v>
      </c>
      <c r="J628" s="706">
        <v>0</v>
      </c>
      <c r="K628" s="706">
        <v>50150</v>
      </c>
      <c r="L628" s="706">
        <v>50150</v>
      </c>
      <c r="M628" s="706">
        <v>50150</v>
      </c>
      <c r="N628" s="706">
        <v>50150</v>
      </c>
      <c r="O628" s="706">
        <v>50150</v>
      </c>
      <c r="P628" s="706">
        <v>0</v>
      </c>
      <c r="Q628" s="706">
        <v>0</v>
      </c>
      <c r="R628" s="706">
        <v>0</v>
      </c>
      <c r="S628" s="706">
        <v>6268.75</v>
      </c>
      <c r="T628" s="706">
        <v>6268.75</v>
      </c>
      <c r="U628" s="706">
        <v>0</v>
      </c>
      <c r="V628" s="706">
        <v>0</v>
      </c>
      <c r="W628" s="706">
        <v>0</v>
      </c>
      <c r="X628" s="706">
        <v>0</v>
      </c>
      <c r="Y628" s="706">
        <v>0</v>
      </c>
      <c r="Z628" s="706">
        <v>1</v>
      </c>
      <c r="AA628" s="706">
        <v>1</v>
      </c>
      <c r="AB628" s="706">
        <v>1</v>
      </c>
      <c r="AC628" s="706">
        <v>1</v>
      </c>
      <c r="AD628" s="706">
        <v>1</v>
      </c>
      <c r="AE628" s="706">
        <v>0</v>
      </c>
      <c r="AF628" s="706">
        <v>0</v>
      </c>
      <c r="AG628" s="706">
        <v>0</v>
      </c>
      <c r="AH628" s="706">
        <v>0</v>
      </c>
      <c r="AI628" s="706">
        <v>0</v>
      </c>
      <c r="AJ628" s="905" t="str">
        <f t="shared" si="60"/>
        <v>G42502</v>
      </c>
      <c r="AK628" s="905" t="str">
        <f t="shared" si="61"/>
        <v>VENTES SAVANA</v>
      </c>
      <c r="AL628" s="905">
        <f>IFERROR(INDEX(G628:R628,1,MATCH(Parametres!$B$3,G$1:R$1,0)-1)*IF(OR(F628="L",F628="S",F628="I"),-1,1),"")</f>
        <v>-50150</v>
      </c>
      <c r="AM628" s="1047">
        <f t="shared" si="56"/>
        <v>0</v>
      </c>
      <c r="AN628" s="905">
        <f>INDEX(G628:R628,1,MATCH(Parametres!$B$3,G$1:R$1,0))*IF(OR(F628="L",F628="S",F628="I"),-1,1)</f>
        <v>-50150</v>
      </c>
      <c r="AO628" s="487" t="str">
        <f>+VLOOKUP($AJ628,Data_Validation!$A:$D,1,0)</f>
        <v>G42502</v>
      </c>
      <c r="AP628" s="487" t="str">
        <f>+VLOOKUP($AJ628,Data_Validation!$A:$D,3,0)</f>
        <v>Véhicules neufs</v>
      </c>
      <c r="AQ628" s="487" t="str">
        <f>+VLOOKUP($AJ628,Data_Validation!$A:$D,4,0)</f>
        <v>Camions electriques</v>
      </c>
      <c r="AR628" s="487" t="s">
        <v>299</v>
      </c>
      <c r="AS628" s="487" t="str">
        <f>+VLOOKUP($AJ628,Data_Validation!$A:$E,5,0)</f>
        <v>Oui</v>
      </c>
      <c r="AT628" s="904" t="str">
        <f t="shared" si="57"/>
        <v>G42502</v>
      </c>
      <c r="AU628" s="488" t="str">
        <f t="shared" si="58"/>
        <v>VENTES SAVANA</v>
      </c>
      <c r="AV628" s="899">
        <f>IFERROR(INDEX(V628:AG628,1,MATCH(Parametres!$B$3,V$1:AG$1,0)-1)*IF(OR(C628="L",C628="S",C628="I"),-1,1),"")</f>
        <v>1</v>
      </c>
      <c r="AW628" s="899">
        <f t="shared" si="59"/>
        <v>0</v>
      </c>
      <c r="AX628" s="899">
        <f>INDEX(V628:AG628,1,MATCH(Parametres!$B$3,V$1:AG$1,0))*IF(OR(C628="L",C628="S",C628="I"),-1,1)</f>
        <v>1</v>
      </c>
      <c r="AY628" s="487" t="s">
        <v>337</v>
      </c>
      <c r="AZ628" s="487" t="str">
        <f>+VLOOKUP($AJ628,Data_Validation!$A:$E,5,0)</f>
        <v>Oui</v>
      </c>
    </row>
    <row r="629" spans="1:52" ht="15" hidden="1" customHeight="1">
      <c r="A629" s="706" t="s">
        <v>1148</v>
      </c>
      <c r="B629" s="706">
        <v>2026</v>
      </c>
      <c r="C629" s="706" t="s">
        <v>2302</v>
      </c>
      <c r="D629" s="706" t="s">
        <v>2303</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G42512</v>
      </c>
      <c r="AK629" s="905" t="str">
        <f t="shared" si="61"/>
        <v>VTES-TOPKICK 6/7/8 T</v>
      </c>
      <c r="AL629" s="905">
        <f>IFERROR(INDEX(G629:R629,1,MATCH(Parametres!$B$3,G$1:R$1,0)-1)*IF(OR(F629="L",F629="S",F629="I"),-1,1),"")</f>
        <v>0</v>
      </c>
      <c r="AM629" s="1047">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G42512</v>
      </c>
      <c r="AU629" s="488" t="str">
        <f t="shared" si="58"/>
        <v>VTES-TOPKICK 6/7/8 T</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2304</v>
      </c>
      <c r="D630" s="706" t="s">
        <v>2305</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G42520</v>
      </c>
      <c r="AK630" s="905" t="str">
        <f t="shared" si="61"/>
        <v>VTES-G EXPRESS       -LOC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G42520</v>
      </c>
      <c r="AU630" s="488" t="str">
        <f t="shared" si="58"/>
        <v>VTES-G EXPRESS       -LOC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2306</v>
      </c>
      <c r="D631" s="706" t="s">
        <v>2307</v>
      </c>
      <c r="E631" s="706" t="s">
        <v>1149</v>
      </c>
      <c r="F631" s="706" t="s">
        <v>1149</v>
      </c>
      <c r="G631" s="706">
        <v>0</v>
      </c>
      <c r="H631" s="706">
        <v>133245.68</v>
      </c>
      <c r="I631" s="706">
        <v>133245.68</v>
      </c>
      <c r="J631" s="706">
        <v>190253.68</v>
      </c>
      <c r="K631" s="706">
        <v>249977.68</v>
      </c>
      <c r="L631" s="706">
        <v>306489.21000000002</v>
      </c>
      <c r="M631" s="706">
        <v>419411.99</v>
      </c>
      <c r="N631" s="706">
        <v>537227.49</v>
      </c>
      <c r="O631" s="706">
        <v>537227.49</v>
      </c>
      <c r="P631" s="706">
        <v>0</v>
      </c>
      <c r="Q631" s="706">
        <v>0</v>
      </c>
      <c r="R631" s="706">
        <v>0</v>
      </c>
      <c r="S631" s="706">
        <v>67153.440000000002</v>
      </c>
      <c r="T631" s="706">
        <v>67153.440000000002</v>
      </c>
      <c r="U631" s="706">
        <v>0</v>
      </c>
      <c r="V631" s="706">
        <v>0</v>
      </c>
      <c r="W631" s="706">
        <v>2</v>
      </c>
      <c r="X631" s="706">
        <v>2</v>
      </c>
      <c r="Y631" s="706">
        <v>3</v>
      </c>
      <c r="Z631" s="706">
        <v>4</v>
      </c>
      <c r="AA631" s="706">
        <v>5</v>
      </c>
      <c r="AB631" s="706">
        <v>7</v>
      </c>
      <c r="AC631" s="706">
        <v>9</v>
      </c>
      <c r="AD631" s="706">
        <v>9</v>
      </c>
      <c r="AE631" s="706">
        <v>0</v>
      </c>
      <c r="AF631" s="706">
        <v>0</v>
      </c>
      <c r="AG631" s="706">
        <v>0</v>
      </c>
      <c r="AH631" s="706">
        <v>1</v>
      </c>
      <c r="AI631" s="706">
        <v>1</v>
      </c>
      <c r="AJ631" s="905" t="str">
        <f t="shared" si="60"/>
        <v>G42600</v>
      </c>
      <c r="AK631" s="905" t="str">
        <f t="shared" si="61"/>
        <v>VTES-S-PICKUP/COLORADO</v>
      </c>
      <c r="AL631" s="905">
        <f>IFERROR(INDEX(G631:R631,1,MATCH(Parametres!$B$3,G$1:R$1,0)-1)*IF(OR(F631="L",F631="S",F631="I"),-1,1),"")</f>
        <v>-419411.99</v>
      </c>
      <c r="AM631" s="1047">
        <f t="shared" si="56"/>
        <v>-117815.5</v>
      </c>
      <c r="AN631" s="905">
        <f>INDEX(G631:R631,1,MATCH(Parametres!$B$3,G$1:R$1,0))*IF(OR(F631="L",F631="S",F631="I"),-1,1)</f>
        <v>-537227.49</v>
      </c>
      <c r="AO631" s="487" t="str">
        <f>+VLOOKUP($AJ631,Data_Validation!$A:$D,1,0)</f>
        <v>G42600</v>
      </c>
      <c r="AP631" s="487" t="str">
        <f>+VLOOKUP($AJ631,Data_Validation!$A:$D,3,0)</f>
        <v>Véhicules neufs</v>
      </c>
      <c r="AQ631" s="487" t="str">
        <f>+VLOOKUP($AJ631,Data_Validation!$A:$D,4,0)</f>
        <v>Camions détail</v>
      </c>
      <c r="AR631" s="487" t="s">
        <v>299</v>
      </c>
      <c r="AS631" s="487" t="str">
        <f>+VLOOKUP($AJ631,Data_Validation!$A:$E,5,0)</f>
        <v>Oui</v>
      </c>
      <c r="AT631" s="904" t="str">
        <f t="shared" si="57"/>
        <v>G42600</v>
      </c>
      <c r="AU631" s="488" t="str">
        <f t="shared" si="58"/>
        <v>VTES-S-PICKUP/COLORADO</v>
      </c>
      <c r="AV631" s="899">
        <f>IFERROR(INDEX(V631:AG631,1,MATCH(Parametres!$B$3,V$1:AG$1,0)-1)*IF(OR(C631="L",C631="S",C631="I"),-1,1),"")</f>
        <v>7</v>
      </c>
      <c r="AW631" s="899">
        <f t="shared" si="59"/>
        <v>2</v>
      </c>
      <c r="AX631" s="899">
        <f>INDEX(V631:AG631,1,MATCH(Parametres!$B$3,V$1:AG$1,0))*IF(OR(C631="L",C631="S",C631="I"),-1,1)</f>
        <v>9</v>
      </c>
      <c r="AY631" s="487" t="s">
        <v>337</v>
      </c>
      <c r="AZ631" s="487" t="str">
        <f>+VLOOKUP($AJ631,Data_Validation!$A:$E,5,0)</f>
        <v>Oui</v>
      </c>
    </row>
    <row r="632" spans="1:52" ht="15" hidden="1" customHeight="1">
      <c r="A632" s="706" t="s">
        <v>1148</v>
      </c>
      <c r="B632" s="706">
        <v>2026</v>
      </c>
      <c r="C632" s="706" t="s">
        <v>2308</v>
      </c>
      <c r="D632" s="706" t="s">
        <v>2309</v>
      </c>
      <c r="E632" s="706" t="s">
        <v>1149</v>
      </c>
      <c r="F632" s="706" t="s">
        <v>1149</v>
      </c>
      <c r="G632" s="706">
        <v>66630.850000000006</v>
      </c>
      <c r="H632" s="706">
        <v>66630.850000000006</v>
      </c>
      <c r="I632" s="706">
        <v>66630.850000000006</v>
      </c>
      <c r="J632" s="706">
        <v>66630.850000000006</v>
      </c>
      <c r="K632" s="706">
        <v>66630.850000000006</v>
      </c>
      <c r="L632" s="706">
        <v>66630.850000000006</v>
      </c>
      <c r="M632" s="706">
        <v>133454.26999999999</v>
      </c>
      <c r="N632" s="706">
        <v>189477.27</v>
      </c>
      <c r="O632" s="706">
        <v>189477.27</v>
      </c>
      <c r="P632" s="706">
        <v>0</v>
      </c>
      <c r="Q632" s="706">
        <v>0</v>
      </c>
      <c r="R632" s="706">
        <v>0</v>
      </c>
      <c r="S632" s="706">
        <v>23684.66</v>
      </c>
      <c r="T632" s="706">
        <v>23684.66</v>
      </c>
      <c r="U632" s="706">
        <v>0</v>
      </c>
      <c r="V632" s="706">
        <v>1</v>
      </c>
      <c r="W632" s="706">
        <v>1</v>
      </c>
      <c r="X632" s="706">
        <v>1</v>
      </c>
      <c r="Y632" s="706">
        <v>1</v>
      </c>
      <c r="Z632" s="706">
        <v>1</v>
      </c>
      <c r="AA632" s="706">
        <v>1</v>
      </c>
      <c r="AB632" s="706">
        <v>2</v>
      </c>
      <c r="AC632" s="706">
        <v>3</v>
      </c>
      <c r="AD632" s="706">
        <v>3</v>
      </c>
      <c r="AE632" s="706">
        <v>0</v>
      </c>
      <c r="AF632" s="706">
        <v>0</v>
      </c>
      <c r="AG632" s="706">
        <v>0</v>
      </c>
      <c r="AH632" s="706">
        <v>0</v>
      </c>
      <c r="AI632" s="706">
        <v>0</v>
      </c>
      <c r="AJ632" s="905" t="str">
        <f t="shared" si="60"/>
        <v>G42602</v>
      </c>
      <c r="AK632" s="905" t="str">
        <f t="shared" si="61"/>
        <v>VENTES GMC CANYON</v>
      </c>
      <c r="AL632" s="905">
        <f>IFERROR(INDEX(G632:R632,1,MATCH(Parametres!$B$3,G$1:R$1,0)-1)*IF(OR(F632="L",F632="S",F632="I"),-1,1),"")</f>
        <v>-133454.26999999999</v>
      </c>
      <c r="AM632" s="905">
        <f t="shared" si="56"/>
        <v>-56023</v>
      </c>
      <c r="AN632" s="905">
        <f>INDEX(G632:R632,1,MATCH(Parametres!$B$3,G$1:R$1,0))*IF(OR(F632="L",F632="S",F632="I"),-1,1)</f>
        <v>-189477.27</v>
      </c>
      <c r="AO632" s="487" t="str">
        <f>+VLOOKUP($AJ632,Data_Validation!$A:$D,1,0)</f>
        <v>G42602</v>
      </c>
      <c r="AP632" s="487" t="str">
        <f>+VLOOKUP($AJ632,Data_Validation!$A:$D,3,0)</f>
        <v>Véhicules neufs</v>
      </c>
      <c r="AQ632" s="487" t="str">
        <f>+VLOOKUP($AJ632,Data_Validation!$A:$D,4,0)</f>
        <v>Camions détail</v>
      </c>
      <c r="AR632" s="487" t="s">
        <v>299</v>
      </c>
      <c r="AS632" s="487" t="str">
        <f>+VLOOKUP($AJ632,Data_Validation!$A:$E,5,0)</f>
        <v>Oui</v>
      </c>
      <c r="AT632" s="904" t="str">
        <f t="shared" si="57"/>
        <v>G42602</v>
      </c>
      <c r="AU632" s="488" t="str">
        <f t="shared" si="58"/>
        <v>VENTES GMC CANYON</v>
      </c>
      <c r="AV632" s="899">
        <f>IFERROR(INDEX(V632:AG632,1,MATCH(Parametres!$B$3,V$1:AG$1,0)-1)*IF(OR(C632="L",C632="S",C632="I"),-1,1),"")</f>
        <v>2</v>
      </c>
      <c r="AW632" s="899">
        <f t="shared" si="59"/>
        <v>1</v>
      </c>
      <c r="AX632" s="899">
        <f>INDEX(V632:AG632,1,MATCH(Parametres!$B$3,V$1:AG$1,0))*IF(OR(C632="L",C632="S",C632="I"),-1,1)</f>
        <v>3</v>
      </c>
      <c r="AY632" s="487" t="s">
        <v>337</v>
      </c>
      <c r="AZ632" s="487" t="str">
        <f>+VLOOKUP($AJ632,Data_Validation!$A:$E,5,0)</f>
        <v>Oui</v>
      </c>
    </row>
    <row r="633" spans="1:52" ht="15" hidden="1" customHeight="1">
      <c r="A633" s="706" t="s">
        <v>1148</v>
      </c>
      <c r="B633" s="706">
        <v>2026</v>
      </c>
      <c r="C633" s="706" t="s">
        <v>2310</v>
      </c>
      <c r="D633" s="706" t="s">
        <v>2311</v>
      </c>
      <c r="E633" s="706" t="s">
        <v>1149</v>
      </c>
      <c r="F633" s="706" t="s">
        <v>1149</v>
      </c>
      <c r="G633" s="706">
        <v>46340</v>
      </c>
      <c r="H633" s="706">
        <v>97633</v>
      </c>
      <c r="I633" s="706">
        <v>97633</v>
      </c>
      <c r="J633" s="706">
        <v>245035.39</v>
      </c>
      <c r="K633" s="706">
        <v>300989.39</v>
      </c>
      <c r="L633" s="706">
        <v>300989.39</v>
      </c>
      <c r="M633" s="706">
        <v>300989.39</v>
      </c>
      <c r="N633" s="706">
        <v>357986.39</v>
      </c>
      <c r="O633" s="706">
        <v>357986.39</v>
      </c>
      <c r="P633" s="706">
        <v>0</v>
      </c>
      <c r="Q633" s="706">
        <v>0</v>
      </c>
      <c r="R633" s="706">
        <v>0</v>
      </c>
      <c r="S633" s="706">
        <v>44748.3</v>
      </c>
      <c r="T633" s="706">
        <v>44748.3</v>
      </c>
      <c r="U633" s="706">
        <v>0</v>
      </c>
      <c r="V633" s="706">
        <v>1</v>
      </c>
      <c r="W633" s="706">
        <v>2</v>
      </c>
      <c r="X633" s="706">
        <v>2</v>
      </c>
      <c r="Y633" s="706">
        <v>5</v>
      </c>
      <c r="Z633" s="706">
        <v>6</v>
      </c>
      <c r="AA633" s="706">
        <v>6</v>
      </c>
      <c r="AB633" s="706">
        <v>6</v>
      </c>
      <c r="AC633" s="706">
        <v>7</v>
      </c>
      <c r="AD633" s="706">
        <v>7</v>
      </c>
      <c r="AE633" s="706">
        <v>0</v>
      </c>
      <c r="AF633" s="706">
        <v>0</v>
      </c>
      <c r="AG633" s="706">
        <v>0</v>
      </c>
      <c r="AH633" s="706">
        <v>1</v>
      </c>
      <c r="AI633" s="706">
        <v>1</v>
      </c>
      <c r="AJ633" s="905" t="str">
        <f t="shared" si="60"/>
        <v>G42612</v>
      </c>
      <c r="AK633" s="905" t="str">
        <f t="shared" si="61"/>
        <v>VTES-BUICK ENVISION</v>
      </c>
      <c r="AL633" s="905">
        <f>IFERROR(INDEX(G633:R633,1,MATCH(Parametres!$B$3,G$1:R$1,0)-1)*IF(OR(F633="L",F633="S",F633="I"),-1,1),"")</f>
        <v>-300989.39</v>
      </c>
      <c r="AM633" s="1047">
        <f t="shared" si="56"/>
        <v>-56997</v>
      </c>
      <c r="AN633" s="905">
        <f>INDEX(G633:R633,1,MATCH(Parametres!$B$3,G$1:R$1,0))*IF(OR(F633="L",F633="S",F633="I"),-1,1)</f>
        <v>-357986.39</v>
      </c>
      <c r="AO633" s="487" t="str">
        <f>+VLOOKUP($AJ633,Data_Validation!$A:$D,1,0)</f>
        <v>G42612</v>
      </c>
      <c r="AP633" s="487" t="str">
        <f>+VLOOKUP($AJ633,Data_Validation!$A:$D,3,0)</f>
        <v>Véhicules neufs</v>
      </c>
      <c r="AQ633" s="487" t="str">
        <f>+VLOOKUP($AJ633,Data_Validation!$A:$D,4,0)</f>
        <v>Camions détail</v>
      </c>
      <c r="AR633" s="487" t="s">
        <v>299</v>
      </c>
      <c r="AS633" s="487" t="str">
        <f>+VLOOKUP($AJ633,Data_Validation!$A:$E,5,0)</f>
        <v>Oui</v>
      </c>
      <c r="AT633" s="904" t="str">
        <f t="shared" si="57"/>
        <v>G42612</v>
      </c>
      <c r="AU633" s="488" t="str">
        <f t="shared" si="58"/>
        <v>VTES-BUICK ENVISION</v>
      </c>
      <c r="AV633" s="899">
        <f>IFERROR(INDEX(V633:AG633,1,MATCH(Parametres!$B$3,V$1:AG$1,0)-1)*IF(OR(C633="L",C633="S",C633="I"),-1,1),"")</f>
        <v>6</v>
      </c>
      <c r="AW633" s="899">
        <f t="shared" si="59"/>
        <v>1</v>
      </c>
      <c r="AX633" s="899">
        <f>INDEX(V633:AG633,1,MATCH(Parametres!$B$3,V$1:AG$1,0))*IF(OR(C633="L",C633="S",C633="I"),-1,1)</f>
        <v>7</v>
      </c>
      <c r="AY633" s="487" t="s">
        <v>337</v>
      </c>
      <c r="AZ633" s="487" t="str">
        <f>+VLOOKUP($AJ633,Data_Validation!$A:$E,5,0)</f>
        <v>Oui</v>
      </c>
    </row>
    <row r="634" spans="1:52" ht="15" hidden="1" customHeight="1">
      <c r="A634" s="706" t="s">
        <v>1148</v>
      </c>
      <c r="B634" s="706">
        <v>2026</v>
      </c>
      <c r="C634" s="706" t="s">
        <v>2312</v>
      </c>
      <c r="D634" s="706" t="s">
        <v>2313</v>
      </c>
      <c r="E634" s="706" t="s">
        <v>1149</v>
      </c>
      <c r="F634" s="706" t="s">
        <v>1149</v>
      </c>
      <c r="G634" s="706">
        <v>0</v>
      </c>
      <c r="H634" s="706">
        <v>0</v>
      </c>
      <c r="I634" s="706">
        <v>69622.98</v>
      </c>
      <c r="J634" s="706">
        <v>205199.02</v>
      </c>
      <c r="K634" s="706">
        <v>238124.56</v>
      </c>
      <c r="L634" s="706">
        <v>341374.39</v>
      </c>
      <c r="M634" s="706">
        <v>377507.42</v>
      </c>
      <c r="N634" s="706">
        <v>377507.42</v>
      </c>
      <c r="O634" s="706">
        <v>377507.42</v>
      </c>
      <c r="P634" s="706">
        <v>0</v>
      </c>
      <c r="Q634" s="706">
        <v>0</v>
      </c>
      <c r="R634" s="706">
        <v>0</v>
      </c>
      <c r="S634" s="706">
        <v>47188.43</v>
      </c>
      <c r="T634" s="706">
        <v>47188.43</v>
      </c>
      <c r="U634" s="706">
        <v>0</v>
      </c>
      <c r="V634" s="706">
        <v>0</v>
      </c>
      <c r="W634" s="706">
        <v>0</v>
      </c>
      <c r="X634" s="706">
        <v>2</v>
      </c>
      <c r="Y634" s="706">
        <v>6</v>
      </c>
      <c r="Z634" s="706">
        <v>7</v>
      </c>
      <c r="AA634" s="706">
        <v>10</v>
      </c>
      <c r="AB634" s="706">
        <v>11</v>
      </c>
      <c r="AC634" s="706">
        <v>11</v>
      </c>
      <c r="AD634" s="706">
        <v>11</v>
      </c>
      <c r="AE634" s="706">
        <v>0</v>
      </c>
      <c r="AF634" s="706">
        <v>0</v>
      </c>
      <c r="AG634" s="706">
        <v>0</v>
      </c>
      <c r="AH634" s="706">
        <v>1</v>
      </c>
      <c r="AI634" s="706">
        <v>1</v>
      </c>
      <c r="AJ634" s="905" t="str">
        <f t="shared" si="60"/>
        <v>G42613</v>
      </c>
      <c r="AK634" s="905" t="str">
        <f t="shared" si="61"/>
        <v>VTES-BUICK ENVISTA</v>
      </c>
      <c r="AL634" s="905">
        <f>IFERROR(INDEX(G634:R634,1,MATCH(Parametres!$B$3,G$1:R$1,0)-1)*IF(OR(F634="L",F634="S",F634="I"),-1,1),"")</f>
        <v>-377507.42</v>
      </c>
      <c r="AM634" s="905">
        <f t="shared" si="56"/>
        <v>0</v>
      </c>
      <c r="AN634" s="905">
        <f>INDEX(G634:R634,1,MATCH(Parametres!$B$3,G$1:R$1,0))*IF(OR(F634="L",F634="S",F634="I"),-1,1)</f>
        <v>-377507.42</v>
      </c>
      <c r="AO634" s="487" t="str">
        <f>+VLOOKUP($AJ634,Data_Validation!$A:$D,1,0)</f>
        <v>G42613</v>
      </c>
      <c r="AP634" s="487" t="str">
        <f>+VLOOKUP($AJ634,Data_Validation!$A:$D,3,0)</f>
        <v>Véhicules neufs</v>
      </c>
      <c r="AQ634" s="487" t="str">
        <f>+VLOOKUP($AJ634,Data_Validation!$A:$D,4,0)</f>
        <v>Camions détail</v>
      </c>
      <c r="AR634" s="487" t="s">
        <v>299</v>
      </c>
      <c r="AS634" s="487" t="str">
        <f>+VLOOKUP($AJ634,Data_Validation!$A:$E,5,0)</f>
        <v>Oui</v>
      </c>
      <c r="AT634" s="904" t="str">
        <f t="shared" si="57"/>
        <v>G42613</v>
      </c>
      <c r="AU634" s="488" t="str">
        <f t="shared" si="58"/>
        <v>VTES-BUICK ENVISTA</v>
      </c>
      <c r="AV634" s="899">
        <f>IFERROR(INDEX(V634:AG634,1,MATCH(Parametres!$B$3,V$1:AG$1,0)-1)*IF(OR(C634="L",C634="S",C634="I"),-1,1),"")</f>
        <v>11</v>
      </c>
      <c r="AW634" s="899">
        <f t="shared" si="59"/>
        <v>0</v>
      </c>
      <c r="AX634" s="899">
        <f>INDEX(V634:AG634,1,MATCH(Parametres!$B$3,V$1:AG$1,0))*IF(OR(C634="L",C634="S",C634="I"),-1,1)</f>
        <v>11</v>
      </c>
      <c r="AY634" s="487" t="s">
        <v>337</v>
      </c>
      <c r="AZ634" s="487" t="str">
        <f>+VLOOKUP($AJ634,Data_Validation!$A:$E,5,0)</f>
        <v>Oui</v>
      </c>
    </row>
    <row r="635" spans="1:52" ht="15" hidden="1" customHeight="1">
      <c r="A635" s="706" t="s">
        <v>1148</v>
      </c>
      <c r="B635" s="706">
        <v>2026</v>
      </c>
      <c r="C635" s="706" t="s">
        <v>2314</v>
      </c>
      <c r="D635" s="706" t="s">
        <v>2315</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G42620</v>
      </c>
      <c r="AK635" s="905" t="str">
        <f t="shared" si="61"/>
        <v>VTES-SPICK/COLORDO   -LOC</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G42620</v>
      </c>
      <c r="AU635" s="488" t="str">
        <f t="shared" si="58"/>
        <v>VTES-SPICK/COLORDO   -LOC</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hidden="1" customHeight="1">
      <c r="A636" s="706" t="s">
        <v>1148</v>
      </c>
      <c r="B636" s="706">
        <v>2026</v>
      </c>
      <c r="C636" s="706" t="s">
        <v>2316</v>
      </c>
      <c r="D636" s="706" t="s">
        <v>2317</v>
      </c>
      <c r="E636" s="706" t="s">
        <v>1149</v>
      </c>
      <c r="F636" s="706" t="s">
        <v>1149</v>
      </c>
      <c r="G636" s="706">
        <v>62388</v>
      </c>
      <c r="H636" s="706">
        <v>120522.54</v>
      </c>
      <c r="I636" s="706">
        <v>120522.54</v>
      </c>
      <c r="J636" s="706">
        <v>182683.54</v>
      </c>
      <c r="K636" s="706">
        <v>252626.54</v>
      </c>
      <c r="L636" s="706">
        <v>311964.53999999998</v>
      </c>
      <c r="M636" s="706">
        <v>516521.54</v>
      </c>
      <c r="N636" s="706">
        <v>516521.54</v>
      </c>
      <c r="O636" s="706">
        <v>516521.54</v>
      </c>
      <c r="P636" s="706">
        <v>0</v>
      </c>
      <c r="Q636" s="706">
        <v>0</v>
      </c>
      <c r="R636" s="706">
        <v>0</v>
      </c>
      <c r="S636" s="706">
        <v>64565.19</v>
      </c>
      <c r="T636" s="706">
        <v>64565.19</v>
      </c>
      <c r="U636" s="706">
        <v>0</v>
      </c>
      <c r="V636" s="706">
        <v>1</v>
      </c>
      <c r="W636" s="706">
        <v>2</v>
      </c>
      <c r="X636" s="706">
        <v>2</v>
      </c>
      <c r="Y636" s="706">
        <v>3</v>
      </c>
      <c r="Z636" s="706">
        <v>4</v>
      </c>
      <c r="AA636" s="706">
        <v>5</v>
      </c>
      <c r="AB636" s="706">
        <v>8</v>
      </c>
      <c r="AC636" s="706">
        <v>8</v>
      </c>
      <c r="AD636" s="706">
        <v>8</v>
      </c>
      <c r="AE636" s="706">
        <v>0</v>
      </c>
      <c r="AF636" s="706">
        <v>0</v>
      </c>
      <c r="AG636" s="706">
        <v>0</v>
      </c>
      <c r="AH636" s="706">
        <v>1</v>
      </c>
      <c r="AI636" s="706">
        <v>1</v>
      </c>
      <c r="AJ636" s="905" t="str">
        <f t="shared" si="60"/>
        <v>G42700</v>
      </c>
      <c r="AK636" s="905" t="str">
        <f t="shared" si="61"/>
        <v>VTES-TRAVERSE</v>
      </c>
      <c r="AL636" s="905">
        <f>IFERROR(INDEX(G636:R636,1,MATCH(Parametres!$B$3,G$1:R$1,0)-1)*IF(OR(F636="L",F636="S",F636="I"),-1,1),"")</f>
        <v>-516521.54</v>
      </c>
      <c r="AM636" s="905">
        <f t="shared" si="56"/>
        <v>0</v>
      </c>
      <c r="AN636" s="905">
        <f>INDEX(G636:R636,1,MATCH(Parametres!$B$3,G$1:R$1,0))*IF(OR(F636="L",F636="S",F636="I"),-1,1)</f>
        <v>-516521.54</v>
      </c>
      <c r="AO636" s="487" t="str">
        <f>+VLOOKUP($AJ636,Data_Validation!$A:$D,1,0)</f>
        <v>G42700</v>
      </c>
      <c r="AP636" s="487" t="str">
        <f>+VLOOKUP($AJ636,Data_Validation!$A:$D,3,0)</f>
        <v>Véhicules neufs</v>
      </c>
      <c r="AQ636" s="487" t="str">
        <f>+VLOOKUP($AJ636,Data_Validation!$A:$D,4,0)</f>
        <v>Camions détail</v>
      </c>
      <c r="AR636" s="487" t="s">
        <v>299</v>
      </c>
      <c r="AS636" s="487" t="str">
        <f>+VLOOKUP($AJ636,Data_Validation!$A:$E,5,0)</f>
        <v>Oui</v>
      </c>
      <c r="AT636" s="904" t="str">
        <f t="shared" si="57"/>
        <v>G42700</v>
      </c>
      <c r="AU636" s="488" t="str">
        <f t="shared" si="58"/>
        <v>VTES-TRAVERSE</v>
      </c>
      <c r="AV636" s="899">
        <f>IFERROR(INDEX(V636:AG636,1,MATCH(Parametres!$B$3,V$1:AG$1,0)-1)*IF(OR(C636="L",C636="S",C636="I"),-1,1),"")</f>
        <v>8</v>
      </c>
      <c r="AW636" s="899">
        <f t="shared" si="59"/>
        <v>0</v>
      </c>
      <c r="AX636" s="899">
        <f>INDEX(V636:AG636,1,MATCH(Parametres!$B$3,V$1:AG$1,0))*IF(OR(C636="L",C636="S",C636="I"),-1,1)</f>
        <v>8</v>
      </c>
      <c r="AY636" s="487" t="s">
        <v>337</v>
      </c>
      <c r="AZ636" s="487" t="str">
        <f>+VLOOKUP($AJ636,Data_Validation!$A:$E,5,0)</f>
        <v>Oui</v>
      </c>
    </row>
    <row r="637" spans="1:52" ht="15" hidden="1" customHeight="1">
      <c r="A637" s="706" t="s">
        <v>1148</v>
      </c>
      <c r="B637" s="706">
        <v>2026</v>
      </c>
      <c r="C637" s="706" t="s">
        <v>2318</v>
      </c>
      <c r="D637" s="706" t="s">
        <v>2319</v>
      </c>
      <c r="E637" s="706" t="s">
        <v>1149</v>
      </c>
      <c r="F637" s="706" t="s">
        <v>1149</v>
      </c>
      <c r="G637" s="706">
        <v>0</v>
      </c>
      <c r="H637" s="706">
        <v>0</v>
      </c>
      <c r="I637" s="706">
        <v>0</v>
      </c>
      <c r="J637" s="706">
        <v>78598.5</v>
      </c>
      <c r="K637" s="706">
        <v>144076.42000000001</v>
      </c>
      <c r="L637" s="706">
        <v>144076.42000000001</v>
      </c>
      <c r="M637" s="706">
        <v>144076.42000000001</v>
      </c>
      <c r="N637" s="706">
        <v>144076.42000000001</v>
      </c>
      <c r="O637" s="706">
        <v>144076.42000000001</v>
      </c>
      <c r="P637" s="706">
        <v>0</v>
      </c>
      <c r="Q637" s="706">
        <v>0</v>
      </c>
      <c r="R637" s="706">
        <v>0</v>
      </c>
      <c r="S637" s="706">
        <v>18009.55</v>
      </c>
      <c r="T637" s="706">
        <v>18009.55</v>
      </c>
      <c r="U637" s="706">
        <v>0</v>
      </c>
      <c r="V637" s="706">
        <v>0</v>
      </c>
      <c r="W637" s="706">
        <v>0</v>
      </c>
      <c r="X637" s="706">
        <v>0</v>
      </c>
      <c r="Y637" s="706">
        <v>1</v>
      </c>
      <c r="Z637" s="706">
        <v>2</v>
      </c>
      <c r="AA637" s="706">
        <v>2</v>
      </c>
      <c r="AB637" s="706">
        <v>2</v>
      </c>
      <c r="AC637" s="706">
        <v>2</v>
      </c>
      <c r="AD637" s="706">
        <v>2</v>
      </c>
      <c r="AE637" s="706">
        <v>0</v>
      </c>
      <c r="AF637" s="706">
        <v>0</v>
      </c>
      <c r="AG637" s="706">
        <v>0</v>
      </c>
      <c r="AH637" s="706">
        <v>0</v>
      </c>
      <c r="AI637" s="706">
        <v>0</v>
      </c>
      <c r="AJ637" s="905" t="str">
        <f t="shared" si="60"/>
        <v>G42800</v>
      </c>
      <c r="AK637" s="905" t="str">
        <f t="shared" si="61"/>
        <v>VENTES BUICK ENCLAVE</v>
      </c>
      <c r="AL637" s="905">
        <f>IFERROR(INDEX(G637:R637,1,MATCH(Parametres!$B$3,G$1:R$1,0)-1)*IF(OR(F637="L",F637="S",F637="I"),-1,1),"")</f>
        <v>-144076.42000000001</v>
      </c>
      <c r="AM637" s="1047">
        <f t="shared" si="56"/>
        <v>0</v>
      </c>
      <c r="AN637" s="905">
        <f>INDEX(G637:R637,1,MATCH(Parametres!$B$3,G$1:R$1,0))*IF(OR(F637="L",F637="S",F637="I"),-1,1)</f>
        <v>-144076.42000000001</v>
      </c>
      <c r="AO637" s="487" t="str">
        <f>+VLOOKUP($AJ637,Data_Validation!$A:$D,1,0)</f>
        <v>G42800</v>
      </c>
      <c r="AP637" s="487" t="str">
        <f>+VLOOKUP($AJ637,Data_Validation!$A:$D,3,0)</f>
        <v>Véhicules neufs</v>
      </c>
      <c r="AQ637" s="487" t="str">
        <f>+VLOOKUP($AJ637,Data_Validation!$A:$D,4,0)</f>
        <v>Camions détail</v>
      </c>
      <c r="AR637" s="487" t="s">
        <v>299</v>
      </c>
      <c r="AS637" s="487" t="str">
        <f>+VLOOKUP($AJ637,Data_Validation!$A:$E,5,0)</f>
        <v>Oui</v>
      </c>
      <c r="AT637" s="904" t="str">
        <f t="shared" si="57"/>
        <v>G42800</v>
      </c>
      <c r="AU637" s="488" t="str">
        <f t="shared" si="58"/>
        <v>VENTES BUICK ENCLAVE</v>
      </c>
      <c r="AV637" s="899">
        <f>IFERROR(INDEX(V637:AG637,1,MATCH(Parametres!$B$3,V$1:AG$1,0)-1)*IF(OR(C637="L",C637="S",C637="I"),-1,1),"")</f>
        <v>2</v>
      </c>
      <c r="AW637" s="899">
        <f t="shared" si="59"/>
        <v>0</v>
      </c>
      <c r="AX637" s="899">
        <f>INDEX(V637:AG637,1,MATCH(Parametres!$B$3,V$1:AG$1,0))*IF(OR(C637="L",C637="S",C637="I"),-1,1)</f>
        <v>2</v>
      </c>
      <c r="AY637" s="487" t="s">
        <v>337</v>
      </c>
      <c r="AZ637" s="487" t="str">
        <f>+VLOOKUP($AJ637,Data_Validation!$A:$E,5,0)</f>
        <v>Oui</v>
      </c>
    </row>
    <row r="638" spans="1:52" ht="15" hidden="1" customHeight="1">
      <c r="A638" s="706" t="s">
        <v>1148</v>
      </c>
      <c r="B638" s="706">
        <v>2026</v>
      </c>
      <c r="C638" s="706" t="s">
        <v>2320</v>
      </c>
      <c r="D638" s="706" t="s">
        <v>2321</v>
      </c>
      <c r="E638" s="706" t="s">
        <v>1149</v>
      </c>
      <c r="F638" s="706" t="s">
        <v>1149</v>
      </c>
      <c r="G638" s="706">
        <v>39888.67</v>
      </c>
      <c r="H638" s="706">
        <v>73703.41</v>
      </c>
      <c r="I638" s="706">
        <v>73703.41</v>
      </c>
      <c r="J638" s="706">
        <v>112838.66</v>
      </c>
      <c r="K638" s="706">
        <v>112838.66</v>
      </c>
      <c r="L638" s="706">
        <v>186623.41</v>
      </c>
      <c r="M638" s="706">
        <v>186623.41</v>
      </c>
      <c r="N638" s="706">
        <v>224877.41</v>
      </c>
      <c r="O638" s="706">
        <v>224877.41</v>
      </c>
      <c r="P638" s="706">
        <v>0</v>
      </c>
      <c r="Q638" s="706">
        <v>0</v>
      </c>
      <c r="R638" s="706">
        <v>0</v>
      </c>
      <c r="S638" s="706">
        <v>28109.68</v>
      </c>
      <c r="T638" s="706">
        <v>28109.68</v>
      </c>
      <c r="U638" s="706">
        <v>0</v>
      </c>
      <c r="V638" s="706">
        <v>1</v>
      </c>
      <c r="W638" s="706">
        <v>2</v>
      </c>
      <c r="X638" s="706">
        <v>2</v>
      </c>
      <c r="Y638" s="706">
        <v>3</v>
      </c>
      <c r="Z638" s="706">
        <v>3</v>
      </c>
      <c r="AA638" s="706">
        <v>5</v>
      </c>
      <c r="AB638" s="706">
        <v>5</v>
      </c>
      <c r="AC638" s="706">
        <v>6</v>
      </c>
      <c r="AD638" s="706">
        <v>6</v>
      </c>
      <c r="AE638" s="706">
        <v>0</v>
      </c>
      <c r="AF638" s="706">
        <v>0</v>
      </c>
      <c r="AG638" s="706">
        <v>0</v>
      </c>
      <c r="AH638" s="706">
        <v>1</v>
      </c>
      <c r="AI638" s="706">
        <v>1</v>
      </c>
      <c r="AJ638" s="905" t="str">
        <f t="shared" si="60"/>
        <v>G42804</v>
      </c>
      <c r="AK638" s="905" t="str">
        <f t="shared" si="61"/>
        <v>VENTE BUICK ENCORE</v>
      </c>
      <c r="AL638" s="905">
        <f>IFERROR(INDEX(G638:R638,1,MATCH(Parametres!$B$3,G$1:R$1,0)-1)*IF(OR(F638="L",F638="S",F638="I"),-1,1),"")</f>
        <v>-186623.41</v>
      </c>
      <c r="AM638" s="905">
        <f t="shared" si="56"/>
        <v>-38254</v>
      </c>
      <c r="AN638" s="905">
        <f>INDEX(G638:R638,1,MATCH(Parametres!$B$3,G$1:R$1,0))*IF(OR(F638="L",F638="S",F638="I"),-1,1)</f>
        <v>-224877.41</v>
      </c>
      <c r="AO638" s="487" t="str">
        <f>+VLOOKUP($AJ638,Data_Validation!$A:$D,1,0)</f>
        <v>G42804</v>
      </c>
      <c r="AP638" s="487" t="str">
        <f>+VLOOKUP($AJ638,Data_Validation!$A:$D,3,0)</f>
        <v>Véhicules neufs</v>
      </c>
      <c r="AQ638" s="487" t="str">
        <f>+VLOOKUP($AJ638,Data_Validation!$A:$D,4,0)</f>
        <v>Camions détail</v>
      </c>
      <c r="AR638" s="487" t="s">
        <v>299</v>
      </c>
      <c r="AS638" s="487" t="str">
        <f>+VLOOKUP($AJ638,Data_Validation!$A:$E,5,0)</f>
        <v>Oui</v>
      </c>
      <c r="AT638" s="904" t="str">
        <f t="shared" si="57"/>
        <v>G42804</v>
      </c>
      <c r="AU638" s="488" t="str">
        <f t="shared" si="58"/>
        <v>VENTE BUICK ENCORE</v>
      </c>
      <c r="AV638" s="899">
        <f>IFERROR(INDEX(V638:AG638,1,MATCH(Parametres!$B$3,V$1:AG$1,0)-1)*IF(OR(C638="L",C638="S",C638="I"),-1,1),"")</f>
        <v>5</v>
      </c>
      <c r="AW638" s="899">
        <f t="shared" si="59"/>
        <v>1</v>
      </c>
      <c r="AX638" s="899">
        <f>INDEX(V638:AG638,1,MATCH(Parametres!$B$3,V$1:AG$1,0))*IF(OR(C638="L",C638="S",C638="I"),-1,1)</f>
        <v>6</v>
      </c>
      <c r="AY638" s="487" t="s">
        <v>337</v>
      </c>
      <c r="AZ638" s="487" t="str">
        <f>+VLOOKUP($AJ638,Data_Validation!$A:$E,5,0)</f>
        <v>Oui</v>
      </c>
    </row>
    <row r="639" spans="1:52" ht="15" hidden="1" customHeight="1">
      <c r="A639" s="706" t="s">
        <v>1148</v>
      </c>
      <c r="B639" s="706">
        <v>2026</v>
      </c>
      <c r="C639" s="706" t="s">
        <v>2322</v>
      </c>
      <c r="D639" s="706" t="s">
        <v>2323</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G42820</v>
      </c>
      <c r="AK639" s="905" t="str">
        <f t="shared" si="61"/>
        <v>VTES-TRAIL BALSER/EXT-LOC</v>
      </c>
      <c r="AL639" s="905">
        <f>IFERROR(INDEX(G639:R639,1,MATCH(Parametres!$B$3,G$1:R$1,0)-1)*IF(OR(F639="L",F639="S",F639="I"),-1,1),"")</f>
        <v>0</v>
      </c>
      <c r="AM639" s="1047">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G42820</v>
      </c>
      <c r="AU639" s="488" t="str">
        <f t="shared" si="58"/>
        <v>VTES-TRAIL BALSER/EXT-LOC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hidden="1" customHeight="1">
      <c r="A640" s="706" t="s">
        <v>1148</v>
      </c>
      <c r="B640" s="706">
        <v>2026</v>
      </c>
      <c r="C640" s="706" t="s">
        <v>2324</v>
      </c>
      <c r="D640" s="706" t="s">
        <v>2325</v>
      </c>
      <c r="E640" s="706" t="s">
        <v>1149</v>
      </c>
      <c r="F640" s="706" t="s">
        <v>1149</v>
      </c>
      <c r="G640" s="706">
        <v>168379.09</v>
      </c>
      <c r="H640" s="706">
        <v>262448.33</v>
      </c>
      <c r="I640" s="706">
        <v>360576.65</v>
      </c>
      <c r="J640" s="706">
        <v>483517.66</v>
      </c>
      <c r="K640" s="706">
        <v>549168.63</v>
      </c>
      <c r="L640" s="706">
        <v>579311.63</v>
      </c>
      <c r="M640" s="706">
        <v>739326.38</v>
      </c>
      <c r="N640" s="706">
        <v>828032.88</v>
      </c>
      <c r="O640" s="706">
        <v>828032.88</v>
      </c>
      <c r="P640" s="706">
        <v>0</v>
      </c>
      <c r="Q640" s="706">
        <v>0</v>
      </c>
      <c r="R640" s="706">
        <v>0</v>
      </c>
      <c r="S640" s="706">
        <v>103504.11</v>
      </c>
      <c r="T640" s="706">
        <v>103504.11</v>
      </c>
      <c r="U640" s="706">
        <v>0</v>
      </c>
      <c r="V640" s="706">
        <v>5</v>
      </c>
      <c r="W640" s="706">
        <v>8</v>
      </c>
      <c r="X640" s="706">
        <v>11</v>
      </c>
      <c r="Y640" s="706">
        <v>15</v>
      </c>
      <c r="Z640" s="706">
        <v>17</v>
      </c>
      <c r="AA640" s="706">
        <v>18</v>
      </c>
      <c r="AB640" s="706">
        <v>23</v>
      </c>
      <c r="AC640" s="706">
        <v>26</v>
      </c>
      <c r="AD640" s="706">
        <v>26</v>
      </c>
      <c r="AE640" s="706">
        <v>0</v>
      </c>
      <c r="AF640" s="706">
        <v>0</v>
      </c>
      <c r="AG640" s="706">
        <v>0</v>
      </c>
      <c r="AH640" s="706">
        <v>3</v>
      </c>
      <c r="AI640" s="706">
        <v>3</v>
      </c>
      <c r="AJ640" s="905" t="str">
        <f t="shared" si="60"/>
        <v>G42850</v>
      </c>
      <c r="AK640" s="905" t="str">
        <f t="shared" si="61"/>
        <v>VENTES CHEVROLET TRAX</v>
      </c>
      <c r="AL640" s="905">
        <f>IFERROR(INDEX(G640:R640,1,MATCH(Parametres!$B$3,G$1:R$1,0)-1)*IF(OR(F640="L",F640="S",F640="I"),-1,1),"")</f>
        <v>-739326.38</v>
      </c>
      <c r="AM640" s="1047">
        <f t="shared" si="56"/>
        <v>-88706.5</v>
      </c>
      <c r="AN640" s="905">
        <f>INDEX(G640:R640,1,MATCH(Parametres!$B$3,G$1:R$1,0))*IF(OR(F640="L",F640="S",F640="I"),-1,1)</f>
        <v>-828032.88</v>
      </c>
      <c r="AO640" s="487" t="str">
        <f>+VLOOKUP($AJ640,Data_Validation!$A:$D,1,0)</f>
        <v>G42850</v>
      </c>
      <c r="AP640" s="487" t="str">
        <f>+VLOOKUP($AJ640,Data_Validation!$A:$D,3,0)</f>
        <v>Véhicules neufs</v>
      </c>
      <c r="AQ640" s="487" t="str">
        <f>+VLOOKUP($AJ640,Data_Validation!$A:$D,4,0)</f>
        <v>Camions détail</v>
      </c>
      <c r="AR640" s="487" t="s">
        <v>299</v>
      </c>
      <c r="AS640" s="487" t="str">
        <f>+VLOOKUP($AJ640,Data_Validation!$A:$E,5,0)</f>
        <v>Oui</v>
      </c>
      <c r="AT640" s="904" t="str">
        <f t="shared" si="57"/>
        <v>G42850</v>
      </c>
      <c r="AU640" s="488" t="str">
        <f t="shared" si="58"/>
        <v>VENTES CHEVROLET TRAX</v>
      </c>
      <c r="AV640" s="899">
        <f>IFERROR(INDEX(V640:AG640,1,MATCH(Parametres!$B$3,V$1:AG$1,0)-1)*IF(OR(C640="L",C640="S",C640="I"),-1,1),"")</f>
        <v>23</v>
      </c>
      <c r="AW640" s="899">
        <f t="shared" si="59"/>
        <v>3</v>
      </c>
      <c r="AX640" s="899">
        <f>INDEX(V640:AG640,1,MATCH(Parametres!$B$3,V$1:AG$1,0))*IF(OR(C640="L",C640="S",C640="I"),-1,1)</f>
        <v>26</v>
      </c>
      <c r="AY640" s="487" t="s">
        <v>337</v>
      </c>
      <c r="AZ640" s="487" t="str">
        <f>+VLOOKUP($AJ640,Data_Validation!$A:$E,5,0)</f>
        <v>Oui</v>
      </c>
    </row>
    <row r="641" spans="1:52" ht="15" hidden="1" customHeight="1">
      <c r="A641" s="706" t="s">
        <v>1148</v>
      </c>
      <c r="B641" s="706">
        <v>2026</v>
      </c>
      <c r="C641" s="706" t="s">
        <v>2326</v>
      </c>
      <c r="D641" s="706" t="s">
        <v>2327</v>
      </c>
      <c r="E641" s="706" t="s">
        <v>1149</v>
      </c>
      <c r="F641" s="706" t="s">
        <v>1149</v>
      </c>
      <c r="G641" s="706">
        <v>287291.71999999997</v>
      </c>
      <c r="H641" s="706">
        <v>383345.72</v>
      </c>
      <c r="I641" s="706">
        <v>648665.23</v>
      </c>
      <c r="J641" s="706">
        <v>648665.23</v>
      </c>
      <c r="K641" s="706">
        <v>719273.23</v>
      </c>
      <c r="L641" s="706">
        <v>908769.62</v>
      </c>
      <c r="M641" s="706">
        <v>908769.62</v>
      </c>
      <c r="N641" s="706">
        <v>908769.62</v>
      </c>
      <c r="O641" s="706">
        <v>908769.62</v>
      </c>
      <c r="P641" s="706">
        <v>0</v>
      </c>
      <c r="Q641" s="706">
        <v>0</v>
      </c>
      <c r="R641" s="706">
        <v>0</v>
      </c>
      <c r="S641" s="706">
        <v>113596.2</v>
      </c>
      <c r="T641" s="706">
        <v>113596.2</v>
      </c>
      <c r="U641" s="706">
        <v>0</v>
      </c>
      <c r="V641" s="706">
        <v>3</v>
      </c>
      <c r="W641" s="706">
        <v>4</v>
      </c>
      <c r="X641" s="706">
        <v>7</v>
      </c>
      <c r="Y641" s="706">
        <v>7</v>
      </c>
      <c r="Z641" s="706">
        <v>8</v>
      </c>
      <c r="AA641" s="706">
        <v>10</v>
      </c>
      <c r="AB641" s="706">
        <v>10</v>
      </c>
      <c r="AC641" s="706">
        <v>10</v>
      </c>
      <c r="AD641" s="706">
        <v>10</v>
      </c>
      <c r="AE641" s="706">
        <v>0</v>
      </c>
      <c r="AF641" s="706">
        <v>0</v>
      </c>
      <c r="AG641" s="706">
        <v>0</v>
      </c>
      <c r="AH641" s="706">
        <v>1</v>
      </c>
      <c r="AI641" s="706">
        <v>1</v>
      </c>
      <c r="AJ641" s="905" t="str">
        <f t="shared" si="60"/>
        <v>G42900</v>
      </c>
      <c r="AK641" s="905" t="str">
        <f t="shared" si="61"/>
        <v>VTES-TAHOE/SUBURBAN</v>
      </c>
      <c r="AL641" s="905">
        <f>IFERROR(INDEX(G641:R641,1,MATCH(Parametres!$B$3,G$1:R$1,0)-1)*IF(OR(F641="L",F641="S",F641="I"),-1,1),"")</f>
        <v>-908769.62</v>
      </c>
      <c r="AM641" s="1047">
        <f t="shared" si="56"/>
        <v>0</v>
      </c>
      <c r="AN641" s="905">
        <f>INDEX(G641:R641,1,MATCH(Parametres!$B$3,G$1:R$1,0))*IF(OR(F641="L",F641="S",F641="I"),-1,1)</f>
        <v>-908769.62</v>
      </c>
      <c r="AO641" s="487" t="str">
        <f>+VLOOKUP($AJ641,Data_Validation!$A:$D,1,0)</f>
        <v>G42900</v>
      </c>
      <c r="AP641" s="487" t="str">
        <f>+VLOOKUP($AJ641,Data_Validation!$A:$D,3,0)</f>
        <v>Véhicules neufs</v>
      </c>
      <c r="AQ641" s="487" t="str">
        <f>+VLOOKUP($AJ641,Data_Validation!$A:$D,4,0)</f>
        <v>Camions détail</v>
      </c>
      <c r="AR641" s="487" t="s">
        <v>299</v>
      </c>
      <c r="AS641" s="487" t="str">
        <f>+VLOOKUP($AJ641,Data_Validation!$A:$E,5,0)</f>
        <v>Oui</v>
      </c>
      <c r="AT641" s="904" t="str">
        <f t="shared" si="57"/>
        <v>G42900</v>
      </c>
      <c r="AU641" s="488" t="str">
        <f t="shared" si="58"/>
        <v>VTES-TAHOE/SUBURBAN</v>
      </c>
      <c r="AV641" s="899">
        <f>IFERROR(INDEX(V641:AG641,1,MATCH(Parametres!$B$3,V$1:AG$1,0)-1)*IF(OR(C641="L",C641="S",C641="I"),-1,1),"")</f>
        <v>10</v>
      </c>
      <c r="AW641" s="899">
        <f t="shared" si="59"/>
        <v>0</v>
      </c>
      <c r="AX641" s="899">
        <f>INDEX(V641:AG641,1,MATCH(Parametres!$B$3,V$1:AG$1,0))*IF(OR(C641="L",C641="S",C641="I"),-1,1)</f>
        <v>10</v>
      </c>
      <c r="AY641" s="487" t="s">
        <v>337</v>
      </c>
      <c r="AZ641" s="487" t="str">
        <f>+VLOOKUP($AJ641,Data_Validation!$A:$E,5,0)</f>
        <v>Oui</v>
      </c>
    </row>
    <row r="642" spans="1:52" ht="15" hidden="1" customHeight="1">
      <c r="A642" s="706" t="s">
        <v>1148</v>
      </c>
      <c r="B642" s="706">
        <v>2026</v>
      </c>
      <c r="C642" s="706" t="s">
        <v>2328</v>
      </c>
      <c r="D642" s="706" t="s">
        <v>2329</v>
      </c>
      <c r="E642" s="706" t="s">
        <v>1149</v>
      </c>
      <c r="F642" s="706" t="s">
        <v>1149</v>
      </c>
      <c r="G642" s="706">
        <v>289436.21999999997</v>
      </c>
      <c r="H642" s="706">
        <v>585097.43999999994</v>
      </c>
      <c r="I642" s="706">
        <v>1072442.8400000001</v>
      </c>
      <c r="J642" s="706">
        <v>1373843.79</v>
      </c>
      <c r="K642" s="706">
        <v>1836796.65</v>
      </c>
      <c r="L642" s="706">
        <v>2376096.3199999998</v>
      </c>
      <c r="M642" s="706">
        <v>2681788.81</v>
      </c>
      <c r="N642" s="706">
        <v>2823888.81</v>
      </c>
      <c r="O642" s="706">
        <v>2823888.81</v>
      </c>
      <c r="P642" s="706">
        <v>0</v>
      </c>
      <c r="Q642" s="706">
        <v>0</v>
      </c>
      <c r="R642" s="706">
        <v>0</v>
      </c>
      <c r="S642" s="706">
        <v>352986.1</v>
      </c>
      <c r="T642" s="706">
        <v>352986.1</v>
      </c>
      <c r="U642" s="706">
        <v>0</v>
      </c>
      <c r="V642" s="706">
        <v>4</v>
      </c>
      <c r="W642" s="706">
        <v>8</v>
      </c>
      <c r="X642" s="706">
        <v>14</v>
      </c>
      <c r="Y642" s="706">
        <v>18</v>
      </c>
      <c r="Z642" s="706">
        <v>24</v>
      </c>
      <c r="AA642" s="706">
        <v>31</v>
      </c>
      <c r="AB642" s="706">
        <v>35</v>
      </c>
      <c r="AC642" s="706">
        <v>37</v>
      </c>
      <c r="AD642" s="706">
        <v>37</v>
      </c>
      <c r="AE642" s="706">
        <v>0</v>
      </c>
      <c r="AF642" s="706">
        <v>0</v>
      </c>
      <c r="AG642" s="706">
        <v>0</v>
      </c>
      <c r="AH642" s="706">
        <v>5</v>
      </c>
      <c r="AI642" s="706">
        <v>5</v>
      </c>
      <c r="AJ642" s="905" t="str">
        <f t="shared" si="60"/>
        <v>G43000</v>
      </c>
      <c r="AK642" s="905" t="str">
        <f t="shared" si="61"/>
        <v>VTES-CL 1500 SILVERADO</v>
      </c>
      <c r="AL642" s="905">
        <f>IFERROR(INDEX(G642:R642,1,MATCH(Parametres!$B$3,G$1:R$1,0)-1)*IF(OR(F642="L",F642="S",F642="I"),-1,1),"")</f>
        <v>-2681788.81</v>
      </c>
      <c r="AM642" s="905">
        <f t="shared" si="56"/>
        <v>-142100</v>
      </c>
      <c r="AN642" s="905">
        <f>INDEX(G642:R642,1,MATCH(Parametres!$B$3,G$1:R$1,0))*IF(OR(F642="L",F642="S",F642="I"),-1,1)</f>
        <v>-2823888.81</v>
      </c>
      <c r="AO642" s="487" t="str">
        <f>+VLOOKUP($AJ642,Data_Validation!$A:$D,1,0)</f>
        <v>G43000</v>
      </c>
      <c r="AP642" s="487" t="str">
        <f>+VLOOKUP($AJ642,Data_Validation!$A:$D,3,0)</f>
        <v>Véhicules neufs</v>
      </c>
      <c r="AQ642" s="487" t="str">
        <f>+VLOOKUP($AJ642,Data_Validation!$A:$D,4,0)</f>
        <v>Camions détail</v>
      </c>
      <c r="AR642" s="487" t="s">
        <v>299</v>
      </c>
      <c r="AS642" s="487" t="str">
        <f>+VLOOKUP($AJ642,Data_Validation!$A:$E,5,0)</f>
        <v>Oui</v>
      </c>
      <c r="AT642" s="904" t="str">
        <f t="shared" si="57"/>
        <v>G43000</v>
      </c>
      <c r="AU642" s="488" t="str">
        <f t="shared" si="58"/>
        <v>VTES-CL 1500 SILVERADO</v>
      </c>
      <c r="AV642" s="899">
        <f>IFERROR(INDEX(V642:AG642,1,MATCH(Parametres!$B$3,V$1:AG$1,0)-1)*IF(OR(C642="L",C642="S",C642="I"),-1,1),"")</f>
        <v>35</v>
      </c>
      <c r="AW642" s="899">
        <f t="shared" si="59"/>
        <v>2</v>
      </c>
      <c r="AX642" s="899">
        <f>INDEX(V642:AG642,1,MATCH(Parametres!$B$3,V$1:AG$1,0))*IF(OR(C642="L",C642="S",C642="I"),-1,1)</f>
        <v>37</v>
      </c>
      <c r="AY642" s="487" t="s">
        <v>337</v>
      </c>
      <c r="AZ642" s="487" t="str">
        <f>+VLOOKUP($AJ642,Data_Validation!$A:$E,5,0)</f>
        <v>Oui</v>
      </c>
    </row>
    <row r="643" spans="1:52" ht="15" hidden="1" customHeight="1">
      <c r="A643" s="706" t="s">
        <v>1148</v>
      </c>
      <c r="B643" s="706">
        <v>2026</v>
      </c>
      <c r="C643" s="706" t="s">
        <v>2330</v>
      </c>
      <c r="D643" s="706" t="s">
        <v>2331</v>
      </c>
      <c r="E643" s="706" t="s">
        <v>1149</v>
      </c>
      <c r="F643" s="706" t="s">
        <v>1149</v>
      </c>
      <c r="G643" s="706">
        <v>0</v>
      </c>
      <c r="H643" s="706">
        <v>0</v>
      </c>
      <c r="I643" s="706">
        <v>0</v>
      </c>
      <c r="J643" s="706">
        <v>223630.12</v>
      </c>
      <c r="K643" s="706">
        <v>223630.12</v>
      </c>
      <c r="L643" s="706">
        <v>223630.12</v>
      </c>
      <c r="M643" s="706">
        <v>337598.12</v>
      </c>
      <c r="N643" s="706">
        <v>337598.12</v>
      </c>
      <c r="O643" s="706">
        <v>337598.12</v>
      </c>
      <c r="P643" s="706">
        <v>0</v>
      </c>
      <c r="Q643" s="706">
        <v>0</v>
      </c>
      <c r="R643" s="706">
        <v>0</v>
      </c>
      <c r="S643" s="706">
        <v>42199.77</v>
      </c>
      <c r="T643" s="706">
        <v>42199.77</v>
      </c>
      <c r="U643" s="706">
        <v>0</v>
      </c>
      <c r="V643" s="706">
        <v>0</v>
      </c>
      <c r="W643" s="706">
        <v>0</v>
      </c>
      <c r="X643" s="706">
        <v>0</v>
      </c>
      <c r="Y643" s="706">
        <v>2</v>
      </c>
      <c r="Z643" s="706">
        <v>2</v>
      </c>
      <c r="AA643" s="706">
        <v>2</v>
      </c>
      <c r="AB643" s="706">
        <v>3</v>
      </c>
      <c r="AC643" s="706">
        <v>3</v>
      </c>
      <c r="AD643" s="706">
        <v>3</v>
      </c>
      <c r="AE643" s="706">
        <v>0</v>
      </c>
      <c r="AF643" s="706">
        <v>0</v>
      </c>
      <c r="AG643" s="706">
        <v>0</v>
      </c>
      <c r="AH643" s="706">
        <v>0</v>
      </c>
      <c r="AI643" s="706">
        <v>0</v>
      </c>
      <c r="AJ643" s="905" t="str">
        <f t="shared" si="60"/>
        <v>G43001</v>
      </c>
      <c r="AK643" s="905" t="str">
        <f t="shared" si="61"/>
        <v>VTES - SILVERADO EV</v>
      </c>
      <c r="AL643" s="905">
        <f>IFERROR(INDEX(G643:R643,1,MATCH(Parametres!$B$3,G$1:R$1,0)-1)*IF(OR(F643="L",F643="S",F643="I"),-1,1),"")</f>
        <v>-337598.12</v>
      </c>
      <c r="AM643" s="1047">
        <f t="shared" si="56"/>
        <v>0</v>
      </c>
      <c r="AN643" s="905">
        <f>INDEX(G643:R643,1,MATCH(Parametres!$B$3,G$1:R$1,0))*IF(OR(F643="L",F643="S",F643="I"),-1,1)</f>
        <v>-337598.12</v>
      </c>
      <c r="AO643" s="487" t="str">
        <f>+VLOOKUP($AJ643,Data_Validation!$A:$D,1,0)</f>
        <v>G43001</v>
      </c>
      <c r="AP643" s="487" t="str">
        <f>+VLOOKUP($AJ643,Data_Validation!$A:$D,3,0)</f>
        <v>Véhicules neufs</v>
      </c>
      <c r="AQ643" s="487" t="str">
        <f>+VLOOKUP($AJ643,Data_Validation!$A:$D,4,0)</f>
        <v>Camions electriques</v>
      </c>
      <c r="AR643" s="487" t="s">
        <v>299</v>
      </c>
      <c r="AS643" s="487" t="str">
        <f>+VLOOKUP($AJ643,Data_Validation!$A:$E,5,0)</f>
        <v>Oui</v>
      </c>
      <c r="AT643" s="904" t="str">
        <f t="shared" si="57"/>
        <v>G43001</v>
      </c>
      <c r="AU643" s="488" t="str">
        <f t="shared" si="58"/>
        <v>VTES - SILVERADO EV</v>
      </c>
      <c r="AV643" s="899">
        <f>IFERROR(INDEX(V643:AG643,1,MATCH(Parametres!$B$3,V$1:AG$1,0)-1)*IF(OR(C643="L",C643="S",C643="I"),-1,1),"")</f>
        <v>3</v>
      </c>
      <c r="AW643" s="899">
        <f t="shared" si="59"/>
        <v>0</v>
      </c>
      <c r="AX643" s="899">
        <f>INDEX(V643:AG643,1,MATCH(Parametres!$B$3,V$1:AG$1,0))*IF(OR(C643="L",C643="S",C643="I"),-1,1)</f>
        <v>3</v>
      </c>
      <c r="AY643" s="487" t="s">
        <v>337</v>
      </c>
      <c r="AZ643" s="487" t="str">
        <f>+VLOOKUP($AJ643,Data_Validation!$A:$E,5,0)</f>
        <v>Oui</v>
      </c>
    </row>
    <row r="644" spans="1:52" ht="15" hidden="1" customHeight="1">
      <c r="A644" s="706" t="s">
        <v>1148</v>
      </c>
      <c r="B644" s="706">
        <v>2026</v>
      </c>
      <c r="C644" s="706" t="s">
        <v>2332</v>
      </c>
      <c r="D644" s="706" t="s">
        <v>2333</v>
      </c>
      <c r="E644" s="706" t="s">
        <v>1149</v>
      </c>
      <c r="F644" s="706" t="s">
        <v>1149</v>
      </c>
      <c r="G644" s="706">
        <v>98800</v>
      </c>
      <c r="H644" s="706">
        <v>416993.4</v>
      </c>
      <c r="I644" s="706">
        <v>761414.4</v>
      </c>
      <c r="J644" s="706">
        <v>761414.4</v>
      </c>
      <c r="K644" s="706">
        <v>1002240.95</v>
      </c>
      <c r="L644" s="706">
        <v>1426646.45</v>
      </c>
      <c r="M644" s="706">
        <v>1687018.95</v>
      </c>
      <c r="N644" s="706">
        <v>1778089.07</v>
      </c>
      <c r="O644" s="706">
        <v>1778089.07</v>
      </c>
      <c r="P644" s="706">
        <v>0</v>
      </c>
      <c r="Q644" s="706">
        <v>0</v>
      </c>
      <c r="R644" s="706">
        <v>0</v>
      </c>
      <c r="S644" s="706">
        <v>222261.13</v>
      </c>
      <c r="T644" s="706">
        <v>222261.13</v>
      </c>
      <c r="U644" s="706">
        <v>0</v>
      </c>
      <c r="V644" s="706">
        <v>1</v>
      </c>
      <c r="W644" s="706">
        <v>4</v>
      </c>
      <c r="X644" s="706">
        <v>7</v>
      </c>
      <c r="Y644" s="706">
        <v>7</v>
      </c>
      <c r="Z644" s="706">
        <v>9</v>
      </c>
      <c r="AA644" s="706">
        <v>13</v>
      </c>
      <c r="AB644" s="706">
        <v>15</v>
      </c>
      <c r="AC644" s="706">
        <v>16</v>
      </c>
      <c r="AD644" s="706">
        <v>16</v>
      </c>
      <c r="AE644" s="706">
        <v>0</v>
      </c>
      <c r="AF644" s="706">
        <v>0</v>
      </c>
      <c r="AG644" s="706">
        <v>0</v>
      </c>
      <c r="AH644" s="706">
        <v>2</v>
      </c>
      <c r="AI644" s="706">
        <v>2</v>
      </c>
      <c r="AJ644" s="905" t="str">
        <f t="shared" si="60"/>
        <v>G43002</v>
      </c>
      <c r="AK644" s="905" t="str">
        <f t="shared" si="61"/>
        <v>VENTES - YUKON</v>
      </c>
      <c r="AL644" s="905">
        <f>IFERROR(INDEX(G644:R644,1,MATCH(Parametres!$B$3,G$1:R$1,0)-1)*IF(OR(F644="L",F644="S",F644="I"),-1,1),"")</f>
        <v>-1687018.95</v>
      </c>
      <c r="AM644" s="905">
        <f t="shared" ref="AM644:AM663" si="62">AN644-AL644</f>
        <v>-91070.120000000112</v>
      </c>
      <c r="AN644" s="905">
        <f>INDEX(G644:R644,1,MATCH(Parametres!$B$3,G$1:R$1,0))*IF(OR(F644="L",F644="S",F644="I"),-1,1)</f>
        <v>-1778089.07</v>
      </c>
      <c r="AO644" s="487" t="str">
        <f>+VLOOKUP($AJ644,Data_Validation!$A:$D,1,0)</f>
        <v>G43002</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G43002</v>
      </c>
      <c r="AU644" s="488" t="str">
        <f t="shared" ref="AU644:AU663" si="64">D644</f>
        <v>VENTES - YUKON</v>
      </c>
      <c r="AV644" s="899">
        <f>IFERROR(INDEX(V644:AG644,1,MATCH(Parametres!$B$3,V$1:AG$1,0)-1)*IF(OR(C644="L",C644="S",C644="I"),-1,1),"")</f>
        <v>15</v>
      </c>
      <c r="AW644" s="899">
        <f t="shared" ref="AW644:AW663" si="65">AX644-AV644</f>
        <v>1</v>
      </c>
      <c r="AX644" s="899">
        <f>INDEX(V644:AG644,1,MATCH(Parametres!$B$3,V$1:AG$1,0))*IF(OR(C644="L",C644="S",C644="I"),-1,1)</f>
        <v>16</v>
      </c>
      <c r="AY644" s="487" t="s">
        <v>337</v>
      </c>
      <c r="AZ644" s="487" t="str">
        <f>+VLOOKUP($AJ644,Data_Validation!$A:$E,5,0)</f>
        <v>Oui</v>
      </c>
    </row>
    <row r="645" spans="1:52" ht="15" hidden="1" customHeight="1">
      <c r="A645" s="706" t="s">
        <v>1148</v>
      </c>
      <c r="B645" s="706">
        <v>2026</v>
      </c>
      <c r="C645" s="706" t="s">
        <v>2334</v>
      </c>
      <c r="D645" s="706" t="s">
        <v>2335</v>
      </c>
      <c r="E645" s="706" t="s">
        <v>1149</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905" t="str">
        <f t="shared" si="60"/>
        <v>G43020</v>
      </c>
      <c r="AK645" s="905" t="str">
        <f t="shared" si="61"/>
        <v>CL 1500 SILVERADO    -LOC</v>
      </c>
      <c r="AL645" s="905">
        <f>IFERROR(INDEX(G645:R645,1,MATCH(Parametres!$B$3,G$1:R$1,0)-1)*IF(OR(F645="L",F645="S",F645="I"),-1,1),"")</f>
        <v>0</v>
      </c>
      <c r="AM645" s="905">
        <f t="shared" si="62"/>
        <v>0</v>
      </c>
      <c r="AN645" s="905">
        <f>INDEX(G645:R645,1,MATCH(Parametres!$B$3,G$1:R$1,0))*IF(OR(F645="L",F645="S",F645="I"),-1,1)</f>
        <v>0</v>
      </c>
      <c r="AO645" s="487" t="e">
        <f>+VLOOKUP($AJ645,Data_Validation!$A:$D,1,0)</f>
        <v>#N/A</v>
      </c>
      <c r="AP645" s="487" t="e">
        <f>+VLOOKUP($AJ645,Data_Validation!$A:$D,3,0)</f>
        <v>#N/A</v>
      </c>
      <c r="AQ645" s="487" t="e">
        <f>+VLOOKUP($AJ645,Data_Validation!$A:$D,4,0)</f>
        <v>#N/A</v>
      </c>
      <c r="AR645" s="487" t="s">
        <v>299</v>
      </c>
      <c r="AS645" s="487" t="e">
        <f>+VLOOKUP($AJ645,Data_Validation!$A:$E,5,0)</f>
        <v>#N/A</v>
      </c>
      <c r="AT645" s="904" t="str">
        <f t="shared" si="63"/>
        <v>G43020</v>
      </c>
      <c r="AU645" s="488" t="str">
        <f t="shared" si="64"/>
        <v>CL 1500 SILVERADO    -LOC</v>
      </c>
      <c r="AV645" s="899">
        <f>IFERROR(INDEX(V645:AG645,1,MATCH(Parametres!$B$3,V$1:AG$1,0)-1)*IF(OR(C645="L",C645="S",C645="I"),-1,1),"")</f>
        <v>0</v>
      </c>
      <c r="AW645" s="899">
        <f t="shared" si="65"/>
        <v>0</v>
      </c>
      <c r="AX645" s="899">
        <f>INDEX(V645:AG645,1,MATCH(Parametres!$B$3,V$1:AG$1,0))*IF(OR(C645="L",C645="S",C645="I"),-1,1)</f>
        <v>0</v>
      </c>
      <c r="AY645" s="487" t="s">
        <v>337</v>
      </c>
      <c r="AZ645" s="487" t="e">
        <f>+VLOOKUP($AJ645,Data_Validation!$A:$E,5,0)</f>
        <v>#N/A</v>
      </c>
    </row>
    <row r="646" spans="1:52" ht="15" hidden="1" customHeight="1">
      <c r="A646" s="706" t="s">
        <v>1148</v>
      </c>
      <c r="B646" s="706">
        <v>2026</v>
      </c>
      <c r="C646" s="706" t="s">
        <v>2336</v>
      </c>
      <c r="D646" s="706" t="s">
        <v>2337</v>
      </c>
      <c r="E646" s="706" t="s">
        <v>1149</v>
      </c>
      <c r="F646" s="706" t="s">
        <v>1149</v>
      </c>
      <c r="G646" s="706">
        <v>99462.5</v>
      </c>
      <c r="H646" s="706">
        <v>300736.38</v>
      </c>
      <c r="I646" s="706">
        <v>699613.48</v>
      </c>
      <c r="J646" s="706">
        <v>699613.48</v>
      </c>
      <c r="K646" s="706">
        <v>797713.35</v>
      </c>
      <c r="L646" s="706">
        <v>900846.35</v>
      </c>
      <c r="M646" s="706">
        <v>982505.35</v>
      </c>
      <c r="N646" s="706">
        <v>1183426.69</v>
      </c>
      <c r="O646" s="706">
        <v>1183426.69</v>
      </c>
      <c r="P646" s="706">
        <v>0</v>
      </c>
      <c r="Q646" s="706">
        <v>0</v>
      </c>
      <c r="R646" s="706">
        <v>0</v>
      </c>
      <c r="S646" s="706">
        <v>147928.34</v>
      </c>
      <c r="T646" s="706">
        <v>147928.34</v>
      </c>
      <c r="U646" s="706">
        <v>0</v>
      </c>
      <c r="V646" s="706">
        <v>1</v>
      </c>
      <c r="W646" s="706">
        <v>3</v>
      </c>
      <c r="X646" s="706">
        <v>7</v>
      </c>
      <c r="Y646" s="706">
        <v>7</v>
      </c>
      <c r="Z646" s="706">
        <v>8</v>
      </c>
      <c r="AA646" s="706">
        <v>9</v>
      </c>
      <c r="AB646" s="706">
        <v>10</v>
      </c>
      <c r="AC646" s="706">
        <v>12</v>
      </c>
      <c r="AD646" s="706">
        <v>12</v>
      </c>
      <c r="AE646" s="706">
        <v>0</v>
      </c>
      <c r="AF646" s="706">
        <v>0</v>
      </c>
      <c r="AG646" s="706">
        <v>0</v>
      </c>
      <c r="AH646" s="706">
        <v>2</v>
      </c>
      <c r="AI646" s="706">
        <v>2</v>
      </c>
      <c r="AJ646" s="905" t="str">
        <f t="shared" si="60"/>
        <v>G43100</v>
      </c>
      <c r="AK646" s="905" t="str">
        <f t="shared" si="61"/>
        <v>VTES-CL 2500 SILVERADO</v>
      </c>
      <c r="AL646" s="905">
        <f>IFERROR(INDEX(G646:R646,1,MATCH(Parametres!$B$3,G$1:R$1,0)-1)*IF(OR(F646="L",F646="S",F646="I"),-1,1),"")</f>
        <v>-982505.35</v>
      </c>
      <c r="AM646" s="905">
        <f t="shared" si="62"/>
        <v>-200921.33999999997</v>
      </c>
      <c r="AN646" s="905">
        <f>INDEX(G646:R646,1,MATCH(Parametres!$B$3,G$1:R$1,0))*IF(OR(F646="L",F646="S",F646="I"),-1,1)</f>
        <v>-1183426.69</v>
      </c>
      <c r="AO646" s="487" t="str">
        <f>+VLOOKUP($AJ646,Data_Validation!$A:$D,1,0)</f>
        <v>G43100</v>
      </c>
      <c r="AP646" s="487" t="str">
        <f>+VLOOKUP($AJ646,Data_Validation!$A:$D,3,0)</f>
        <v>Véhicules neufs</v>
      </c>
      <c r="AQ646" s="487" t="str">
        <f>+VLOOKUP($AJ646,Data_Validation!$A:$D,4,0)</f>
        <v>Camions détail</v>
      </c>
      <c r="AR646" s="487" t="s">
        <v>299</v>
      </c>
      <c r="AS646" s="487" t="str">
        <f>+VLOOKUP($AJ646,Data_Validation!$A:$E,5,0)</f>
        <v>Oui</v>
      </c>
      <c r="AT646" s="904" t="str">
        <f t="shared" si="63"/>
        <v>G43100</v>
      </c>
      <c r="AU646" s="488" t="str">
        <f t="shared" si="64"/>
        <v>VTES-CL 2500 SILVERADO</v>
      </c>
      <c r="AV646" s="899">
        <f>IFERROR(INDEX(V646:AG646,1,MATCH(Parametres!$B$3,V$1:AG$1,0)-1)*IF(OR(C646="L",C646="S",C646="I"),-1,1),"")</f>
        <v>10</v>
      </c>
      <c r="AW646" s="899">
        <f t="shared" si="65"/>
        <v>2</v>
      </c>
      <c r="AX646" s="899">
        <f>INDEX(V646:AG646,1,MATCH(Parametres!$B$3,V$1:AG$1,0))*IF(OR(C646="L",C646="S",C646="I"),-1,1)</f>
        <v>12</v>
      </c>
      <c r="AY646" s="487" t="s">
        <v>337</v>
      </c>
      <c r="AZ646" s="487" t="str">
        <f>+VLOOKUP($AJ646,Data_Validation!$A:$E,5,0)</f>
        <v>Oui</v>
      </c>
    </row>
    <row r="647" spans="1:52" ht="15" hidden="1" customHeight="1">
      <c r="A647" s="706" t="s">
        <v>1148</v>
      </c>
      <c r="B647" s="706">
        <v>2026</v>
      </c>
      <c r="C647" s="706" t="s">
        <v>2338</v>
      </c>
      <c r="D647" s="706" t="s">
        <v>2339</v>
      </c>
      <c r="E647" s="706" t="s">
        <v>1149</v>
      </c>
      <c r="F647" s="706" t="s">
        <v>1149</v>
      </c>
      <c r="G647" s="706">
        <v>151109.81</v>
      </c>
      <c r="H647" s="706">
        <v>552459.31000000006</v>
      </c>
      <c r="I647" s="706">
        <v>877349.59</v>
      </c>
      <c r="J647" s="706">
        <v>1661761.38</v>
      </c>
      <c r="K647" s="706">
        <v>2046401.16</v>
      </c>
      <c r="L647" s="706">
        <v>2212712.61</v>
      </c>
      <c r="M647" s="706">
        <v>2761064.06</v>
      </c>
      <c r="N647" s="706">
        <v>3303172.45</v>
      </c>
      <c r="O647" s="706">
        <v>3303172.45</v>
      </c>
      <c r="P647" s="706">
        <v>0</v>
      </c>
      <c r="Q647" s="706">
        <v>0</v>
      </c>
      <c r="R647" s="706">
        <v>0</v>
      </c>
      <c r="S647" s="706">
        <v>412896.56</v>
      </c>
      <c r="T647" s="706">
        <v>412896.56</v>
      </c>
      <c r="U647" s="706">
        <v>0</v>
      </c>
      <c r="V647" s="706">
        <v>2</v>
      </c>
      <c r="W647" s="706">
        <v>7</v>
      </c>
      <c r="X647" s="706">
        <v>11</v>
      </c>
      <c r="Y647" s="706">
        <v>21</v>
      </c>
      <c r="Z647" s="706">
        <v>26</v>
      </c>
      <c r="AA647" s="706">
        <v>28</v>
      </c>
      <c r="AB647" s="706">
        <v>35</v>
      </c>
      <c r="AC647" s="706">
        <v>42</v>
      </c>
      <c r="AD647" s="706">
        <v>42</v>
      </c>
      <c r="AE647" s="706">
        <v>0</v>
      </c>
      <c r="AF647" s="706">
        <v>0</v>
      </c>
      <c r="AG647" s="706">
        <v>0</v>
      </c>
      <c r="AH647" s="706">
        <v>5</v>
      </c>
      <c r="AI647" s="706">
        <v>5</v>
      </c>
      <c r="AJ647" s="905" t="str">
        <f t="shared" si="60"/>
        <v>G43102</v>
      </c>
      <c r="AK647" s="905" t="str">
        <f t="shared" si="61"/>
        <v>VENTE CL 1500 SIERRA</v>
      </c>
      <c r="AL647" s="905">
        <f>IFERROR(INDEX(G647:R647,1,MATCH(Parametres!$B$3,G$1:R$1,0)-1)*IF(OR(F647="L",F647="S",F647="I"),-1,1),"")</f>
        <v>-2761064.06</v>
      </c>
      <c r="AM647" s="905">
        <f t="shared" si="62"/>
        <v>-542108.39000000013</v>
      </c>
      <c r="AN647" s="905">
        <f>INDEX(G647:R647,1,MATCH(Parametres!$B$3,G$1:R$1,0))*IF(OR(F647="L",F647="S",F647="I"),-1,1)</f>
        <v>-3303172.45</v>
      </c>
      <c r="AO647" s="487" t="str">
        <f>+VLOOKUP($AJ647,Data_Validation!$A:$D,1,0)</f>
        <v>G43102</v>
      </c>
      <c r="AP647" s="487" t="str">
        <f>+VLOOKUP($AJ647,Data_Validation!$A:$D,3,0)</f>
        <v>Véhicules neufs</v>
      </c>
      <c r="AQ647" s="487" t="str">
        <f>+VLOOKUP($AJ647,Data_Validation!$A:$D,4,0)</f>
        <v>Camions détail</v>
      </c>
      <c r="AR647" s="487" t="s">
        <v>299</v>
      </c>
      <c r="AS647" s="487" t="str">
        <f>+VLOOKUP($AJ647,Data_Validation!$A:$E,5,0)</f>
        <v>Oui</v>
      </c>
      <c r="AT647" s="904" t="str">
        <f t="shared" si="63"/>
        <v>G43102</v>
      </c>
      <c r="AU647" s="488" t="str">
        <f t="shared" si="64"/>
        <v>VENTE CL 1500 SIERRA</v>
      </c>
      <c r="AV647" s="899">
        <f>IFERROR(INDEX(V647:AG647,1,MATCH(Parametres!$B$3,V$1:AG$1,0)-1)*IF(OR(C647="L",C647="S",C647="I"),-1,1),"")</f>
        <v>35</v>
      </c>
      <c r="AW647" s="899">
        <f t="shared" si="65"/>
        <v>7</v>
      </c>
      <c r="AX647" s="899">
        <f>INDEX(V647:AG647,1,MATCH(Parametres!$B$3,V$1:AG$1,0))*IF(OR(C647="L",C647="S",C647="I"),-1,1)</f>
        <v>42</v>
      </c>
      <c r="AY647" s="487" t="s">
        <v>337</v>
      </c>
      <c r="AZ647" s="487" t="str">
        <f>+VLOOKUP($AJ647,Data_Validation!$A:$E,5,0)</f>
        <v>Oui</v>
      </c>
    </row>
    <row r="648" spans="1:52" ht="15" hidden="1" customHeight="1">
      <c r="A648" s="706" t="s">
        <v>1148</v>
      </c>
      <c r="B648" s="706">
        <v>2026</v>
      </c>
      <c r="C648" s="706" t="s">
        <v>2340</v>
      </c>
      <c r="D648" s="706" t="s">
        <v>2341</v>
      </c>
      <c r="E648" s="706" t="s">
        <v>1149</v>
      </c>
      <c r="F648" s="706" t="s">
        <v>1149</v>
      </c>
      <c r="G648" s="706">
        <v>112099</v>
      </c>
      <c r="H648" s="706">
        <v>220097</v>
      </c>
      <c r="I648" s="706">
        <v>220097</v>
      </c>
      <c r="J648" s="706">
        <v>332280.53999999998</v>
      </c>
      <c r="K648" s="706">
        <v>332280.53999999998</v>
      </c>
      <c r="L648" s="706">
        <v>427949.66</v>
      </c>
      <c r="M648" s="706">
        <v>427949.66</v>
      </c>
      <c r="N648" s="706">
        <v>427949.66</v>
      </c>
      <c r="O648" s="706">
        <v>427949.66</v>
      </c>
      <c r="P648" s="706">
        <v>0</v>
      </c>
      <c r="Q648" s="706">
        <v>0</v>
      </c>
      <c r="R648" s="706">
        <v>0</v>
      </c>
      <c r="S648" s="706">
        <v>53493.71</v>
      </c>
      <c r="T648" s="706">
        <v>53493.71</v>
      </c>
      <c r="U648" s="706">
        <v>0</v>
      </c>
      <c r="V648" s="706">
        <v>1</v>
      </c>
      <c r="W648" s="706">
        <v>2</v>
      </c>
      <c r="X648" s="706">
        <v>2</v>
      </c>
      <c r="Y648" s="706">
        <v>3</v>
      </c>
      <c r="Z648" s="706">
        <v>3</v>
      </c>
      <c r="AA648" s="706">
        <v>4</v>
      </c>
      <c r="AB648" s="706">
        <v>4</v>
      </c>
      <c r="AC648" s="706">
        <v>4</v>
      </c>
      <c r="AD648" s="706">
        <v>4</v>
      </c>
      <c r="AE648" s="706">
        <v>0</v>
      </c>
      <c r="AF648" s="706">
        <v>0</v>
      </c>
      <c r="AG648" s="706">
        <v>0</v>
      </c>
      <c r="AH648" s="706">
        <v>1</v>
      </c>
      <c r="AI648" s="706">
        <v>1</v>
      </c>
      <c r="AJ648" s="905" t="str">
        <f t="shared" si="60"/>
        <v>G43103</v>
      </c>
      <c r="AK648" s="905" t="str">
        <f t="shared" si="61"/>
        <v>VENTE - SIERRA EV</v>
      </c>
      <c r="AL648" s="905">
        <f>IFERROR(INDEX(G648:R648,1,MATCH(Parametres!$B$3,G$1:R$1,0)-1)*IF(OR(F648="L",F648="S",F648="I"),-1,1),"")</f>
        <v>-427949.66</v>
      </c>
      <c r="AM648" s="1047">
        <f t="shared" si="62"/>
        <v>0</v>
      </c>
      <c r="AN648" s="905">
        <f>INDEX(G648:R648,1,MATCH(Parametres!$B$3,G$1:R$1,0))*IF(OR(F648="L",F648="S",F648="I"),-1,1)</f>
        <v>-427949.66</v>
      </c>
      <c r="AO648" s="487" t="str">
        <f>+VLOOKUP($AJ648,Data_Validation!$A:$D,1,0)</f>
        <v>G43103</v>
      </c>
      <c r="AP648" s="487" t="str">
        <f>+VLOOKUP($AJ648,Data_Validation!$A:$D,3,0)</f>
        <v>Véhicules neufs</v>
      </c>
      <c r="AQ648" s="487" t="str">
        <f>+VLOOKUP($AJ648,Data_Validation!$A:$D,4,0)</f>
        <v>Camions electriques</v>
      </c>
      <c r="AR648" s="487" t="s">
        <v>299</v>
      </c>
      <c r="AS648" s="487" t="str">
        <f>+VLOOKUP($AJ648,Data_Validation!$A:$E,5,0)</f>
        <v>Oui</v>
      </c>
      <c r="AT648" s="904" t="str">
        <f t="shared" si="63"/>
        <v>G43103</v>
      </c>
      <c r="AU648" s="488" t="str">
        <f t="shared" si="64"/>
        <v>VENTE - SIERRA EV</v>
      </c>
      <c r="AV648" s="899">
        <f>IFERROR(INDEX(V648:AG648,1,MATCH(Parametres!$B$3,V$1:AG$1,0)-1)*IF(OR(C648="L",C648="S",C648="I"),-1,1),"")</f>
        <v>4</v>
      </c>
      <c r="AW648" s="899">
        <f t="shared" si="65"/>
        <v>0</v>
      </c>
      <c r="AX648" s="899">
        <f>INDEX(V648:AG648,1,MATCH(Parametres!$B$3,V$1:AG$1,0))*IF(OR(C648="L",C648="S",C648="I"),-1,1)</f>
        <v>4</v>
      </c>
      <c r="AY648" s="487" t="s">
        <v>337</v>
      </c>
      <c r="AZ648" s="487" t="str">
        <f>+VLOOKUP($AJ648,Data_Validation!$A:$E,5,0)</f>
        <v>Oui</v>
      </c>
    </row>
    <row r="649" spans="1:52" ht="15" hidden="1" customHeight="1">
      <c r="A649" s="706" t="s">
        <v>1148</v>
      </c>
      <c r="B649" s="706">
        <v>2026</v>
      </c>
      <c r="C649" s="706" t="s">
        <v>2342</v>
      </c>
      <c r="D649" s="706" t="s">
        <v>2343</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G43120</v>
      </c>
      <c r="AK649" s="905" t="str">
        <f t="shared" si="61"/>
        <v>VTES-CL 2500 SILVERAD-LOC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G43120</v>
      </c>
      <c r="AU649" s="488" t="str">
        <f t="shared" si="64"/>
        <v>VTES-CL 2500 SILVERAD-LOC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hidden="1" customHeight="1">
      <c r="A650" s="706" t="s">
        <v>1148</v>
      </c>
      <c r="B650" s="706">
        <v>2026</v>
      </c>
      <c r="C650" s="706" t="s">
        <v>2344</v>
      </c>
      <c r="D650" s="706" t="s">
        <v>2345</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G43200</v>
      </c>
      <c r="AK650" s="905" t="str">
        <f t="shared" si="61"/>
        <v>VTES-CL 3500 SILVERADO</v>
      </c>
      <c r="AL650" s="905">
        <f>IFERROR(INDEX(G650:R650,1,MATCH(Parametres!$B$3,G$1:R$1,0)-1)*IF(OR(F650="L",F650="S",F650="I"),-1,1),"")</f>
        <v>0</v>
      </c>
      <c r="AM650" s="905">
        <f t="shared" si="62"/>
        <v>0</v>
      </c>
      <c r="AN650" s="905">
        <f>INDEX(G650:R650,1,MATCH(Parametres!$B$3,G$1:R$1,0))*IF(OR(F650="L",F650="S",F650="I"),-1,1)</f>
        <v>0</v>
      </c>
      <c r="AO650" s="487" t="str">
        <f>+VLOOKUP($AJ650,Data_Validation!$A:$D,1,0)</f>
        <v>G43200</v>
      </c>
      <c r="AP650" s="487" t="str">
        <f>+VLOOKUP($AJ650,Data_Validation!$A:$D,3,0)</f>
        <v>Véhicules neufs</v>
      </c>
      <c r="AQ650" s="487" t="str">
        <f>+VLOOKUP($AJ650,Data_Validation!$A:$D,4,0)</f>
        <v>Camions détail</v>
      </c>
      <c r="AR650" s="487" t="s">
        <v>299</v>
      </c>
      <c r="AS650" s="487" t="str">
        <f>+VLOOKUP($AJ650,Data_Validation!$A:$E,5,0)</f>
        <v>Oui</v>
      </c>
      <c r="AT650" s="904" t="str">
        <f t="shared" si="63"/>
        <v>G43200</v>
      </c>
      <c r="AU650" s="488" t="str">
        <f t="shared" si="64"/>
        <v>VTES-CL 3500 SILVERADO</v>
      </c>
      <c r="AV650" s="899">
        <f>IFERROR(INDEX(V650:AG650,1,MATCH(Parametres!$B$3,V$1:AG$1,0)-1)*IF(OR(C650="L",C650="S",C650="I"),-1,1),"")</f>
        <v>0</v>
      </c>
      <c r="AW650" s="899">
        <f t="shared" si="65"/>
        <v>0</v>
      </c>
      <c r="AX650" s="899">
        <f>INDEX(V650:AG650,1,MATCH(Parametres!$B$3,V$1:AG$1,0))*IF(OR(C650="L",C650="S",C650="I"),-1,1)</f>
        <v>0</v>
      </c>
      <c r="AY650" s="487" t="s">
        <v>337</v>
      </c>
      <c r="AZ650" s="487" t="str">
        <f>+VLOOKUP($AJ650,Data_Validation!$A:$E,5,0)</f>
        <v>Oui</v>
      </c>
    </row>
    <row r="651" spans="1:52" ht="15" hidden="1" customHeight="1">
      <c r="A651" s="706" t="s">
        <v>1148</v>
      </c>
      <c r="B651" s="706">
        <v>2026</v>
      </c>
      <c r="C651" s="706" t="s">
        <v>2346</v>
      </c>
      <c r="D651" s="706" t="s">
        <v>2347</v>
      </c>
      <c r="E651" s="706" t="s">
        <v>1149</v>
      </c>
      <c r="F651" s="706" t="s">
        <v>1149</v>
      </c>
      <c r="G651" s="706">
        <v>335187.62</v>
      </c>
      <c r="H651" s="706">
        <v>335187.62</v>
      </c>
      <c r="I651" s="706">
        <v>550751.96</v>
      </c>
      <c r="J651" s="706">
        <v>988047.33</v>
      </c>
      <c r="K651" s="706">
        <v>1385656.33</v>
      </c>
      <c r="L651" s="706">
        <v>1507893.33</v>
      </c>
      <c r="M651" s="706">
        <v>1736558.83</v>
      </c>
      <c r="N651" s="706">
        <v>1844697.83</v>
      </c>
      <c r="O651" s="706">
        <v>1844697.83</v>
      </c>
      <c r="P651" s="706">
        <v>0</v>
      </c>
      <c r="Q651" s="706">
        <v>0</v>
      </c>
      <c r="R651" s="706">
        <v>0</v>
      </c>
      <c r="S651" s="706">
        <v>230587.23</v>
      </c>
      <c r="T651" s="706">
        <v>230587.23</v>
      </c>
      <c r="U651" s="706">
        <v>0</v>
      </c>
      <c r="V651" s="706">
        <v>3</v>
      </c>
      <c r="W651" s="706">
        <v>3</v>
      </c>
      <c r="X651" s="706">
        <v>5</v>
      </c>
      <c r="Y651" s="706">
        <v>9</v>
      </c>
      <c r="Z651" s="706">
        <v>13</v>
      </c>
      <c r="AA651" s="706">
        <v>14</v>
      </c>
      <c r="AB651" s="706">
        <v>16</v>
      </c>
      <c r="AC651" s="706">
        <v>17</v>
      </c>
      <c r="AD651" s="706">
        <v>17</v>
      </c>
      <c r="AE651" s="706">
        <v>0</v>
      </c>
      <c r="AF651" s="706">
        <v>0</v>
      </c>
      <c r="AG651" s="706">
        <v>0</v>
      </c>
      <c r="AH651" s="706">
        <v>2</v>
      </c>
      <c r="AI651" s="706">
        <v>2</v>
      </c>
      <c r="AJ651" s="905" t="str">
        <f t="shared" si="60"/>
        <v>G43202</v>
      </c>
      <c r="AK651" s="905" t="str">
        <f t="shared" si="61"/>
        <v>VENTES - CL2500 SIERRA</v>
      </c>
      <c r="AL651" s="905">
        <f>IFERROR(INDEX(G651:R651,1,MATCH(Parametres!$B$3,G$1:R$1,0)-1)*IF(OR(F651="L",F651="S",F651="I"),-1,1),"")</f>
        <v>-1736558.83</v>
      </c>
      <c r="AM651" s="905">
        <f t="shared" si="62"/>
        <v>-108139</v>
      </c>
      <c r="AN651" s="905">
        <f>INDEX(G651:R651,1,MATCH(Parametres!$B$3,G$1:R$1,0))*IF(OR(F651="L",F651="S",F651="I"),-1,1)</f>
        <v>-1844697.83</v>
      </c>
      <c r="AO651" s="487" t="str">
        <f>+VLOOKUP($AJ651,Data_Validation!$A:$D,1,0)</f>
        <v>G43202</v>
      </c>
      <c r="AP651" s="487" t="str">
        <f>+VLOOKUP($AJ651,Data_Validation!$A:$D,3,0)</f>
        <v>Véhicules neufs</v>
      </c>
      <c r="AQ651" s="487" t="str">
        <f>+VLOOKUP($AJ651,Data_Validation!$A:$D,4,0)</f>
        <v>Camions détail</v>
      </c>
      <c r="AR651" s="487" t="s">
        <v>299</v>
      </c>
      <c r="AS651" s="487" t="str">
        <f>+VLOOKUP($AJ651,Data_Validation!$A:$E,5,0)</f>
        <v>Oui</v>
      </c>
      <c r="AT651" s="904" t="str">
        <f t="shared" si="63"/>
        <v>G43202</v>
      </c>
      <c r="AU651" s="488" t="str">
        <f t="shared" si="64"/>
        <v>VENTES - CL2500 SIERRA</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2348</v>
      </c>
      <c r="D652" s="706" t="s">
        <v>2349</v>
      </c>
      <c r="E652" s="706" t="s">
        <v>1149</v>
      </c>
      <c r="F652" s="706" t="s">
        <v>1149</v>
      </c>
      <c r="G652" s="706">
        <v>234777.15</v>
      </c>
      <c r="H652" s="706">
        <v>234777.15</v>
      </c>
      <c r="I652" s="706">
        <v>351065.15</v>
      </c>
      <c r="J652" s="706">
        <v>351065.15</v>
      </c>
      <c r="K652" s="706">
        <v>351065.15</v>
      </c>
      <c r="L652" s="706">
        <v>351065.15</v>
      </c>
      <c r="M652" s="706">
        <v>351065.15</v>
      </c>
      <c r="N652" s="706">
        <v>351065.15</v>
      </c>
      <c r="O652" s="706">
        <v>351065.15</v>
      </c>
      <c r="P652" s="706">
        <v>0</v>
      </c>
      <c r="Q652" s="706">
        <v>0</v>
      </c>
      <c r="R652" s="706">
        <v>0</v>
      </c>
      <c r="S652" s="706">
        <v>43883.14</v>
      </c>
      <c r="T652" s="706">
        <v>43883.14</v>
      </c>
      <c r="U652" s="706">
        <v>0</v>
      </c>
      <c r="V652" s="706">
        <v>2</v>
      </c>
      <c r="W652" s="706">
        <v>2</v>
      </c>
      <c r="X652" s="706">
        <v>3</v>
      </c>
      <c r="Y652" s="706">
        <v>3</v>
      </c>
      <c r="Z652" s="706">
        <v>3</v>
      </c>
      <c r="AA652" s="706">
        <v>3</v>
      </c>
      <c r="AB652" s="706">
        <v>3</v>
      </c>
      <c r="AC652" s="706">
        <v>3</v>
      </c>
      <c r="AD652" s="706">
        <v>3</v>
      </c>
      <c r="AE652" s="706">
        <v>0</v>
      </c>
      <c r="AF652" s="706">
        <v>0</v>
      </c>
      <c r="AG652" s="706">
        <v>0</v>
      </c>
      <c r="AH652" s="706">
        <v>0</v>
      </c>
      <c r="AI652" s="706">
        <v>0</v>
      </c>
      <c r="AJ652" s="905" t="str">
        <f t="shared" si="60"/>
        <v>G43203</v>
      </c>
      <c r="AK652" s="905" t="str">
        <f t="shared" si="61"/>
        <v>VENTES - SIERRA 3500</v>
      </c>
      <c r="AL652" s="905">
        <f>IFERROR(INDEX(G652:R652,1,MATCH(Parametres!$B$3,G$1:R$1,0)-1)*IF(OR(F652="L",F652="S",F652="I"),-1,1),"")</f>
        <v>-351065.15</v>
      </c>
      <c r="AM652" s="905">
        <f t="shared" si="62"/>
        <v>0</v>
      </c>
      <c r="AN652" s="905">
        <f>INDEX(G652:R652,1,MATCH(Parametres!$B$3,G$1:R$1,0))*IF(OR(F652="L",F652="S",F652="I"),-1,1)</f>
        <v>-351065.15</v>
      </c>
      <c r="AO652" s="487" t="str">
        <f>+VLOOKUP($AJ652,Data_Validation!$A:$D,1,0)</f>
        <v>G43203</v>
      </c>
      <c r="AP652" s="487" t="str">
        <f>+VLOOKUP($AJ652,Data_Validation!$A:$D,3,0)</f>
        <v>Véhicules neufs</v>
      </c>
      <c r="AQ652" s="487" t="str">
        <f>+VLOOKUP($AJ652,Data_Validation!$A:$D,4,0)</f>
        <v>Camions détail</v>
      </c>
      <c r="AR652" s="487" t="s">
        <v>299</v>
      </c>
      <c r="AS652" s="487" t="str">
        <f>+VLOOKUP($AJ652,Data_Validation!$A:$E,5,0)</f>
        <v>Oui</v>
      </c>
      <c r="AT652" s="904" t="str">
        <f t="shared" si="63"/>
        <v>G43203</v>
      </c>
      <c r="AU652" s="488" t="str">
        <f t="shared" si="64"/>
        <v>VENTES - SIERRA 3500</v>
      </c>
      <c r="AV652" s="899">
        <f>IFERROR(INDEX(V652:AG652,1,MATCH(Parametres!$B$3,V$1:AG$1,0)-1)*IF(OR(C652="L",C652="S",C652="I"),-1,1),"")</f>
        <v>3</v>
      </c>
      <c r="AW652" s="899">
        <f t="shared" si="65"/>
        <v>0</v>
      </c>
      <c r="AX652" s="899">
        <f>INDEX(V652:AG652,1,MATCH(Parametres!$B$3,V$1:AG$1,0))*IF(OR(C652="L",C652="S",C652="I"),-1,1)</f>
        <v>3</v>
      </c>
      <c r="AY652" s="487" t="s">
        <v>337</v>
      </c>
      <c r="AZ652" s="487" t="str">
        <f>+VLOOKUP($AJ652,Data_Validation!$A:$E,5,0)</f>
        <v>Oui</v>
      </c>
    </row>
    <row r="653" spans="1:52" ht="15" hidden="1" customHeight="1">
      <c r="A653" s="706" t="s">
        <v>1148</v>
      </c>
      <c r="B653" s="706">
        <v>2026</v>
      </c>
      <c r="C653" s="706" t="s">
        <v>2350</v>
      </c>
      <c r="D653" s="706" t="s">
        <v>2351</v>
      </c>
      <c r="E653" s="706" t="s">
        <v>1149</v>
      </c>
      <c r="F653" s="706" t="s">
        <v>1149</v>
      </c>
      <c r="G653" s="706">
        <v>0</v>
      </c>
      <c r="H653" s="706">
        <v>0</v>
      </c>
      <c r="I653" s="706">
        <v>0</v>
      </c>
      <c r="J653" s="706">
        <v>0</v>
      </c>
      <c r="K653" s="706">
        <v>0</v>
      </c>
      <c r="L653" s="706">
        <v>38693</v>
      </c>
      <c r="M653" s="706">
        <v>38693</v>
      </c>
      <c r="N653" s="706">
        <v>38693</v>
      </c>
      <c r="O653" s="706">
        <v>38693</v>
      </c>
      <c r="P653" s="706">
        <v>0</v>
      </c>
      <c r="Q653" s="706">
        <v>0</v>
      </c>
      <c r="R653" s="706">
        <v>0</v>
      </c>
      <c r="S653" s="706">
        <v>4836.63</v>
      </c>
      <c r="T653" s="706">
        <v>4836.63</v>
      </c>
      <c r="U653" s="706">
        <v>0</v>
      </c>
      <c r="V653" s="706">
        <v>0</v>
      </c>
      <c r="W653" s="706">
        <v>0</v>
      </c>
      <c r="X653" s="706">
        <v>0</v>
      </c>
      <c r="Y653" s="706">
        <v>0</v>
      </c>
      <c r="Z653" s="706">
        <v>0</v>
      </c>
      <c r="AA653" s="706">
        <v>1</v>
      </c>
      <c r="AB653" s="706">
        <v>1</v>
      </c>
      <c r="AC653" s="706">
        <v>1</v>
      </c>
      <c r="AD653" s="706">
        <v>1</v>
      </c>
      <c r="AE653" s="706">
        <v>0</v>
      </c>
      <c r="AF653" s="706">
        <v>0</v>
      </c>
      <c r="AG653" s="706">
        <v>0</v>
      </c>
      <c r="AH653" s="706">
        <v>0</v>
      </c>
      <c r="AI653" s="706">
        <v>0</v>
      </c>
      <c r="AJ653" s="905" t="str">
        <f t="shared" si="60"/>
        <v>G43300</v>
      </c>
      <c r="AK653" s="905" t="str">
        <f t="shared" si="61"/>
        <v>VENTES BLAZER</v>
      </c>
      <c r="AL653" s="905">
        <f>IFERROR(INDEX(G653:R653,1,MATCH(Parametres!$B$3,G$1:R$1,0)-1)*IF(OR(F653="L",F653="S",F653="I"),-1,1),"")</f>
        <v>-38693</v>
      </c>
      <c r="AM653" s="905">
        <f t="shared" si="62"/>
        <v>0</v>
      </c>
      <c r="AN653" s="905">
        <f>INDEX(G653:R653,1,MATCH(Parametres!$B$3,G$1:R$1,0))*IF(OR(F653="L",F653="S",F653="I"),-1,1)</f>
        <v>-38693</v>
      </c>
      <c r="AO653" s="487" t="str">
        <f>+VLOOKUP($AJ653,Data_Validation!$A:$D,1,0)</f>
        <v>G43300</v>
      </c>
      <c r="AP653" s="487" t="str">
        <f>+VLOOKUP($AJ653,Data_Validation!$A:$D,3,0)</f>
        <v>Véhicules neufs</v>
      </c>
      <c r="AQ653" s="487" t="str">
        <f>+VLOOKUP($AJ653,Data_Validation!$A:$D,4,0)</f>
        <v>Camions détail</v>
      </c>
      <c r="AR653" s="487" t="s">
        <v>299</v>
      </c>
      <c r="AS653" s="487" t="str">
        <f>+VLOOKUP($AJ653,Data_Validation!$A:$E,5,0)</f>
        <v>Oui</v>
      </c>
      <c r="AT653" s="904" t="str">
        <f t="shared" si="63"/>
        <v>G43300</v>
      </c>
      <c r="AU653" s="488" t="str">
        <f t="shared" si="64"/>
        <v>VENTES BLAZER</v>
      </c>
      <c r="AV653" s="899">
        <f>IFERROR(INDEX(V653:AG653,1,MATCH(Parametres!$B$3,V$1:AG$1,0)-1)*IF(OR(C653="L",C653="S",C653="I"),-1,1),"")</f>
        <v>1</v>
      </c>
      <c r="AW653" s="899">
        <f t="shared" si="65"/>
        <v>0</v>
      </c>
      <c r="AX653" s="899">
        <f>INDEX(V653:AG653,1,MATCH(Parametres!$B$3,V$1:AG$1,0))*IF(OR(C653="L",C653="S",C653="I"),-1,1)</f>
        <v>1</v>
      </c>
      <c r="AY653" s="487" t="s">
        <v>337</v>
      </c>
      <c r="AZ653" s="487" t="str">
        <f>+VLOOKUP($AJ653,Data_Validation!$A:$E,5,0)</f>
        <v>Oui</v>
      </c>
    </row>
    <row r="654" spans="1:52" ht="15" hidden="1" customHeight="1">
      <c r="A654" s="706" t="s">
        <v>1148</v>
      </c>
      <c r="B654" s="706">
        <v>2026</v>
      </c>
      <c r="C654" s="706" t="s">
        <v>2352</v>
      </c>
      <c r="D654" s="706" t="s">
        <v>2353</v>
      </c>
      <c r="E654" s="706" t="s">
        <v>1149</v>
      </c>
      <c r="F654" s="706" t="s">
        <v>1149</v>
      </c>
      <c r="G654" s="706">
        <v>0</v>
      </c>
      <c r="H654" s="706">
        <v>0</v>
      </c>
      <c r="I654" s="706">
        <v>178425.14</v>
      </c>
      <c r="J654" s="706">
        <v>340072.14</v>
      </c>
      <c r="K654" s="706">
        <v>458380.64</v>
      </c>
      <c r="L654" s="706">
        <v>458380.64</v>
      </c>
      <c r="M654" s="706">
        <v>458380.64</v>
      </c>
      <c r="N654" s="706">
        <v>458380.64</v>
      </c>
      <c r="O654" s="706">
        <v>458380.64</v>
      </c>
      <c r="P654" s="706">
        <v>0</v>
      </c>
      <c r="Q654" s="706">
        <v>0</v>
      </c>
      <c r="R654" s="706">
        <v>0</v>
      </c>
      <c r="S654" s="706">
        <v>57297.58</v>
      </c>
      <c r="T654" s="706">
        <v>57297.58</v>
      </c>
      <c r="U654" s="706">
        <v>0</v>
      </c>
      <c r="V654" s="706">
        <v>0</v>
      </c>
      <c r="W654" s="706">
        <v>0</v>
      </c>
      <c r="X654" s="706">
        <v>3</v>
      </c>
      <c r="Y654" s="706">
        <v>6</v>
      </c>
      <c r="Z654" s="706">
        <v>8</v>
      </c>
      <c r="AA654" s="706">
        <v>8</v>
      </c>
      <c r="AB654" s="706">
        <v>8</v>
      </c>
      <c r="AC654" s="706">
        <v>8</v>
      </c>
      <c r="AD654" s="706">
        <v>8</v>
      </c>
      <c r="AE654" s="706">
        <v>0</v>
      </c>
      <c r="AF654" s="706">
        <v>0</v>
      </c>
      <c r="AG654" s="706">
        <v>0</v>
      </c>
      <c r="AH654" s="706">
        <v>1</v>
      </c>
      <c r="AI654" s="706">
        <v>1</v>
      </c>
      <c r="AJ654" s="905" t="str">
        <f t="shared" si="60"/>
        <v>G43301</v>
      </c>
      <c r="AK654" s="905" t="str">
        <f t="shared" si="61"/>
        <v>VENTES BLAZER EV</v>
      </c>
      <c r="AL654" s="905">
        <f>IFERROR(INDEX(G654:R654,1,MATCH(Parametres!$B$3,G$1:R$1,0)-1)*IF(OR(F654="L",F654="S",F654="I"),-1,1),"")</f>
        <v>-458380.64</v>
      </c>
      <c r="AM654" s="905">
        <f t="shared" si="62"/>
        <v>0</v>
      </c>
      <c r="AN654" s="905">
        <f>INDEX(G654:R654,1,MATCH(Parametres!$B$3,G$1:R$1,0))*IF(OR(F654="L",F654="S",F654="I"),-1,1)</f>
        <v>-458380.64</v>
      </c>
      <c r="AO654" s="487" t="str">
        <f>+VLOOKUP($AJ654,Data_Validation!$A:$D,1,0)</f>
        <v>G43301</v>
      </c>
      <c r="AP654" s="487" t="str">
        <f>+VLOOKUP($AJ654,Data_Validation!$A:$D,3,0)</f>
        <v>Véhicules neufs</v>
      </c>
      <c r="AQ654" s="487" t="str">
        <f>+VLOOKUP($AJ654,Data_Validation!$A:$D,4,0)</f>
        <v>Camions electriques</v>
      </c>
      <c r="AR654" s="487" t="s">
        <v>299</v>
      </c>
      <c r="AS654" s="487" t="str">
        <f>+VLOOKUP($AJ654,Data_Validation!$A:$E,5,0)</f>
        <v>Oui</v>
      </c>
      <c r="AT654" s="904" t="str">
        <f t="shared" si="63"/>
        <v>G43301</v>
      </c>
      <c r="AU654" s="488" t="str">
        <f t="shared" si="64"/>
        <v>VENTES BLAZER EV</v>
      </c>
      <c r="AV654" s="899">
        <f>IFERROR(INDEX(V654:AG654,1,MATCH(Parametres!$B$3,V$1:AG$1,0)-1)*IF(OR(C654="L",C654="S",C654="I"),-1,1),"")</f>
        <v>8</v>
      </c>
      <c r="AW654" s="899">
        <f t="shared" si="65"/>
        <v>0</v>
      </c>
      <c r="AX654" s="899">
        <f>INDEX(V654:AG654,1,MATCH(Parametres!$B$3,V$1:AG$1,0))*IF(OR(C654="L",C654="S",C654="I"),-1,1)</f>
        <v>8</v>
      </c>
      <c r="AY654" s="487" t="s">
        <v>337</v>
      </c>
      <c r="AZ654" s="487" t="str">
        <f>+VLOOKUP($AJ654,Data_Validation!$A:$E,5,0)</f>
        <v>Oui</v>
      </c>
    </row>
    <row r="655" spans="1:52" ht="15" hidden="1" customHeight="1">
      <c r="A655" s="706" t="s">
        <v>1148</v>
      </c>
      <c r="B655" s="706">
        <v>2026</v>
      </c>
      <c r="C655" s="706" t="s">
        <v>2354</v>
      </c>
      <c r="D655" s="706" t="s">
        <v>2355</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G43320</v>
      </c>
      <c r="AK655" s="905" t="str">
        <f t="shared" si="61"/>
        <v>VTES-AVALANCHE       -LOC</v>
      </c>
      <c r="AL655" s="905">
        <f>IFERROR(INDEX(G655:R655,1,MATCH(Parametres!$B$3,G$1:R$1,0)-1)*IF(OR(F655="L",F655="S",F655="I"),-1,1),"")</f>
        <v>0</v>
      </c>
      <c r="AM655" s="905">
        <f t="shared" si="62"/>
        <v>0</v>
      </c>
      <c r="AN655" s="905">
        <f>INDEX(G655:R655,1,MATCH(Parametres!$B$3,G$1:R$1,0))*IF(OR(F655="L",F655="S",F655="I"),-1,1)</f>
        <v>0</v>
      </c>
      <c r="AO655" s="487" t="e">
        <f>+VLOOKUP($AJ655,Data_Validation!$A:$D,1,0)</f>
        <v>#N/A</v>
      </c>
      <c r="AP655" s="487" t="e">
        <f>+VLOOKUP($AJ655,Data_Validation!$A:$D,3,0)</f>
        <v>#N/A</v>
      </c>
      <c r="AQ655" s="487" t="e">
        <f>+VLOOKUP($AJ655,Data_Validation!$A:$D,4,0)</f>
        <v>#N/A</v>
      </c>
      <c r="AR655" s="487" t="s">
        <v>299</v>
      </c>
      <c r="AS655" s="487" t="e">
        <f>+VLOOKUP($AJ655,Data_Validation!$A:$E,5,0)</f>
        <v>#N/A</v>
      </c>
      <c r="AT655" s="904" t="str">
        <f t="shared" si="63"/>
        <v>G43320</v>
      </c>
      <c r="AU655" s="488" t="str">
        <f t="shared" si="64"/>
        <v>VTES-AVALANCHE       -LOC</v>
      </c>
      <c r="AV655" s="899">
        <f>IFERROR(INDEX(V655:AG655,1,MATCH(Parametres!$B$3,V$1:AG$1,0)-1)*IF(OR(C655="L",C655="S",C655="I"),-1,1),"")</f>
        <v>0</v>
      </c>
      <c r="AW655" s="899">
        <f t="shared" si="65"/>
        <v>0</v>
      </c>
      <c r="AX655" s="899">
        <f>INDEX(V655:AG655,1,MATCH(Parametres!$B$3,V$1:AG$1,0))*IF(OR(C655="L",C655="S",C655="I"),-1,1)</f>
        <v>0</v>
      </c>
      <c r="AY655" s="487" t="s">
        <v>337</v>
      </c>
      <c r="AZ655" s="487" t="e">
        <f>+VLOOKUP($AJ655,Data_Validation!$A:$E,5,0)</f>
        <v>#N/A</v>
      </c>
    </row>
    <row r="656" spans="1:52" ht="15" hidden="1" customHeight="1">
      <c r="A656" s="706" t="s">
        <v>1148</v>
      </c>
      <c r="B656" s="706">
        <v>2026</v>
      </c>
      <c r="C656" s="706" t="s">
        <v>2356</v>
      </c>
      <c r="D656" s="706" t="s">
        <v>2357</v>
      </c>
      <c r="E656" s="706" t="s">
        <v>1149</v>
      </c>
      <c r="F656" s="706" t="s">
        <v>1149</v>
      </c>
      <c r="G656" s="706">
        <v>84235</v>
      </c>
      <c r="H656" s="706">
        <v>173987.78</v>
      </c>
      <c r="I656" s="706">
        <v>221362.43</v>
      </c>
      <c r="J656" s="706">
        <v>262011.43</v>
      </c>
      <c r="K656" s="706">
        <v>309659.93</v>
      </c>
      <c r="L656" s="706">
        <v>353920.93</v>
      </c>
      <c r="M656" s="706">
        <v>391398.43</v>
      </c>
      <c r="N656" s="706">
        <v>391398.43</v>
      </c>
      <c r="O656" s="706">
        <v>391398.43</v>
      </c>
      <c r="P656" s="706">
        <v>0</v>
      </c>
      <c r="Q656" s="706">
        <v>0</v>
      </c>
      <c r="R656" s="706">
        <v>0</v>
      </c>
      <c r="S656" s="706">
        <v>48924.800000000003</v>
      </c>
      <c r="T656" s="706">
        <v>48924.800000000003</v>
      </c>
      <c r="U656" s="706">
        <v>0</v>
      </c>
      <c r="V656" s="706">
        <v>2</v>
      </c>
      <c r="W656" s="706">
        <v>4</v>
      </c>
      <c r="X656" s="706">
        <v>5</v>
      </c>
      <c r="Y656" s="706">
        <v>6</v>
      </c>
      <c r="Z656" s="706">
        <v>7</v>
      </c>
      <c r="AA656" s="706">
        <v>8</v>
      </c>
      <c r="AB656" s="706">
        <v>9</v>
      </c>
      <c r="AC656" s="706">
        <v>9</v>
      </c>
      <c r="AD656" s="706">
        <v>9</v>
      </c>
      <c r="AE656" s="706">
        <v>0</v>
      </c>
      <c r="AF656" s="706">
        <v>0</v>
      </c>
      <c r="AG656" s="706">
        <v>0</v>
      </c>
      <c r="AH656" s="706">
        <v>1</v>
      </c>
      <c r="AI656" s="706">
        <v>1</v>
      </c>
      <c r="AJ656" s="905" t="str">
        <f t="shared" si="60"/>
        <v>G43400</v>
      </c>
      <c r="AK656" s="905" t="str">
        <f t="shared" si="61"/>
        <v>VENTES EQUINOX</v>
      </c>
      <c r="AL656" s="905">
        <f>IFERROR(INDEX(G656:R656,1,MATCH(Parametres!$B$3,G$1:R$1,0)-1)*IF(OR(F656="L",F656="S",F656="I"),-1,1),"")</f>
        <v>-391398.43</v>
      </c>
      <c r="AM656" s="905">
        <f t="shared" si="62"/>
        <v>0</v>
      </c>
      <c r="AN656" s="905">
        <f>INDEX(G656:R656,1,MATCH(Parametres!$B$3,G$1:R$1,0))*IF(OR(F656="L",F656="S",F656="I"),-1,1)</f>
        <v>-391398.43</v>
      </c>
      <c r="AO656" s="487" t="str">
        <f>+VLOOKUP($AJ656,Data_Validation!$A:$D,1,0)</f>
        <v>G43400</v>
      </c>
      <c r="AP656" s="487" t="str">
        <f>+VLOOKUP($AJ656,Data_Validation!$A:$D,3,0)</f>
        <v>Véhicules neufs</v>
      </c>
      <c r="AQ656" s="487" t="str">
        <f>+VLOOKUP($AJ656,Data_Validation!$A:$D,4,0)</f>
        <v>Camions détail</v>
      </c>
      <c r="AR656" s="487" t="s">
        <v>299</v>
      </c>
      <c r="AS656" s="487" t="str">
        <f>+VLOOKUP($AJ656,Data_Validation!$A:$E,5,0)</f>
        <v>Oui</v>
      </c>
      <c r="AT656" s="904" t="str">
        <f t="shared" si="63"/>
        <v>G43400</v>
      </c>
      <c r="AU656" s="488" t="str">
        <f t="shared" si="64"/>
        <v>VENTES EQUINOX</v>
      </c>
      <c r="AV656" s="899">
        <f>IFERROR(INDEX(V656:AG656,1,MATCH(Parametres!$B$3,V$1:AG$1,0)-1)*IF(OR(C656="L",C656="S",C656="I"),-1,1),"")</f>
        <v>9</v>
      </c>
      <c r="AW656" s="899">
        <f t="shared" si="65"/>
        <v>0</v>
      </c>
      <c r="AX656" s="899">
        <f>INDEX(V656:AG656,1,MATCH(Parametres!$B$3,V$1:AG$1,0))*IF(OR(C656="L",C656="S",C656="I"),-1,1)</f>
        <v>9</v>
      </c>
      <c r="AY656" s="487" t="s">
        <v>337</v>
      </c>
      <c r="AZ656" s="487" t="str">
        <f>+VLOOKUP($AJ656,Data_Validation!$A:$E,5,0)</f>
        <v>Oui</v>
      </c>
    </row>
    <row r="657" spans="1:52" ht="15" hidden="1" customHeight="1">
      <c r="A657" s="706" t="s">
        <v>1148</v>
      </c>
      <c r="B657" s="706">
        <v>2026</v>
      </c>
      <c r="C657" s="706" t="s">
        <v>2358</v>
      </c>
      <c r="D657" s="706" t="s">
        <v>2359</v>
      </c>
      <c r="E657" s="706" t="s">
        <v>1149</v>
      </c>
      <c r="F657" s="706" t="s">
        <v>1149</v>
      </c>
      <c r="G657" s="706">
        <v>0</v>
      </c>
      <c r="H657" s="706">
        <v>110438.28</v>
      </c>
      <c r="I657" s="706">
        <v>348535.12</v>
      </c>
      <c r="J657" s="706">
        <v>1423503.96</v>
      </c>
      <c r="K657" s="706">
        <v>1573976.96</v>
      </c>
      <c r="L657" s="706">
        <v>1622869.96</v>
      </c>
      <c r="M657" s="706">
        <v>1949739.22</v>
      </c>
      <c r="N657" s="706">
        <v>2381095.34</v>
      </c>
      <c r="O657" s="706">
        <v>2381095.34</v>
      </c>
      <c r="P657" s="706">
        <v>0</v>
      </c>
      <c r="Q657" s="706">
        <v>0</v>
      </c>
      <c r="R657" s="706">
        <v>0</v>
      </c>
      <c r="S657" s="706">
        <v>297636.92</v>
      </c>
      <c r="T657" s="706">
        <v>297636.92</v>
      </c>
      <c r="U657" s="706">
        <v>0</v>
      </c>
      <c r="V657" s="706">
        <v>0</v>
      </c>
      <c r="W657" s="706">
        <v>2</v>
      </c>
      <c r="X657" s="706">
        <v>7</v>
      </c>
      <c r="Y657" s="706">
        <v>29</v>
      </c>
      <c r="Z657" s="706">
        <v>32</v>
      </c>
      <c r="AA657" s="706">
        <v>33</v>
      </c>
      <c r="AB657" s="706">
        <v>40</v>
      </c>
      <c r="AC657" s="706">
        <v>49</v>
      </c>
      <c r="AD657" s="706">
        <v>49</v>
      </c>
      <c r="AE657" s="706">
        <v>0</v>
      </c>
      <c r="AF657" s="706">
        <v>0</v>
      </c>
      <c r="AG657" s="706">
        <v>0</v>
      </c>
      <c r="AH657" s="706">
        <v>6</v>
      </c>
      <c r="AI657" s="706">
        <v>6</v>
      </c>
      <c r="AJ657" s="905" t="str">
        <f t="shared" si="60"/>
        <v>G43401</v>
      </c>
      <c r="AK657" s="905" t="str">
        <f t="shared" si="61"/>
        <v>VTES - EQUINOX EV</v>
      </c>
      <c r="AL657" s="905">
        <f>IFERROR(INDEX(G657:R657,1,MATCH(Parametres!$B$3,G$1:R$1,0)-1)*IF(OR(F657="L",F657="S",F657="I"),-1,1),"")</f>
        <v>-1949739.22</v>
      </c>
      <c r="AM657" s="905">
        <f t="shared" si="62"/>
        <v>-431356.11999999988</v>
      </c>
      <c r="AN657" s="905">
        <f>INDEX(G657:R657,1,MATCH(Parametres!$B$3,G$1:R$1,0))*IF(OR(F657="L",F657="S",F657="I"),-1,1)</f>
        <v>-2381095.34</v>
      </c>
      <c r="AO657" s="487" t="str">
        <f>+VLOOKUP($AJ657,Data_Validation!$A:$D,1,0)</f>
        <v>G43401</v>
      </c>
      <c r="AP657" s="487" t="str">
        <f>+VLOOKUP($AJ657,Data_Validation!$A:$D,3,0)</f>
        <v>Véhicules neufs</v>
      </c>
      <c r="AQ657" s="487" t="str">
        <f>+VLOOKUP($AJ657,Data_Validation!$A:$D,4,0)</f>
        <v>Camions electriques</v>
      </c>
      <c r="AR657" s="487" t="s">
        <v>299</v>
      </c>
      <c r="AS657" s="487" t="str">
        <f>+VLOOKUP($AJ657,Data_Validation!$A:$E,5,0)</f>
        <v>Oui</v>
      </c>
      <c r="AT657" s="904" t="str">
        <f t="shared" si="63"/>
        <v>G43401</v>
      </c>
      <c r="AU657" s="488" t="str">
        <f t="shared" si="64"/>
        <v>VTES - EQUINOX EV</v>
      </c>
      <c r="AV657" s="899">
        <f>IFERROR(INDEX(V657:AG657,1,MATCH(Parametres!$B$3,V$1:AG$1,0)-1)*IF(OR(C657="L",C657="S",C657="I"),-1,1),"")</f>
        <v>40</v>
      </c>
      <c r="AW657" s="899">
        <f t="shared" si="65"/>
        <v>9</v>
      </c>
      <c r="AX657" s="899">
        <f>INDEX(V657:AG657,1,MATCH(Parametres!$B$3,V$1:AG$1,0))*IF(OR(C657="L",C657="S",C657="I"),-1,1)</f>
        <v>49</v>
      </c>
      <c r="AY657" s="487" t="s">
        <v>337</v>
      </c>
      <c r="AZ657" s="487" t="str">
        <f>+VLOOKUP($AJ657,Data_Validation!$A:$E,5,0)</f>
        <v>Oui</v>
      </c>
    </row>
    <row r="658" spans="1:52" ht="15" hidden="1" customHeight="1">
      <c r="A658" s="706" t="s">
        <v>1148</v>
      </c>
      <c r="B658" s="706">
        <v>2026</v>
      </c>
      <c r="C658" s="706" t="s">
        <v>2360</v>
      </c>
      <c r="D658" s="706" t="s">
        <v>2361</v>
      </c>
      <c r="E658" s="706" t="s">
        <v>1149</v>
      </c>
      <c r="F658" s="706" t="s">
        <v>1149</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905" t="str">
        <f t="shared" si="60"/>
        <v>G43420</v>
      </c>
      <c r="AK658" s="905" t="str">
        <f t="shared" si="61"/>
        <v>VTES-TRACKER         -LOC</v>
      </c>
      <c r="AL658" s="905">
        <f>IFERROR(INDEX(G658:R658,1,MATCH(Parametres!$B$3,G$1:R$1,0)-1)*IF(OR(F658="L",F658="S",F658="I"),-1,1),"")</f>
        <v>0</v>
      </c>
      <c r="AM658" s="905">
        <f t="shared" si="62"/>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63"/>
        <v>G43420</v>
      </c>
      <c r="AU658" s="488" t="str">
        <f t="shared" si="64"/>
        <v>VTES-TRACKER         -LOC</v>
      </c>
      <c r="AV658" s="899">
        <f>IFERROR(INDEX(V658:AG658,1,MATCH(Parametres!$B$3,V$1:AG$1,0)-1)*IF(OR(C658="L",C658="S",C658="I"),-1,1),"")</f>
        <v>0</v>
      </c>
      <c r="AW658" s="899">
        <f t="shared" si="65"/>
        <v>0</v>
      </c>
      <c r="AX658" s="899">
        <f>INDEX(V658:AG658,1,MATCH(Parametres!$B$3,V$1:AG$1,0))*IF(OR(C658="L",C658="S",C658="I"),-1,1)</f>
        <v>0</v>
      </c>
      <c r="AY658" s="487" t="s">
        <v>337</v>
      </c>
      <c r="AZ658" s="487" t="e">
        <f>+VLOOKUP($AJ658,Data_Validation!$A:$E,5,0)</f>
        <v>#N/A</v>
      </c>
    </row>
    <row r="659" spans="1:52" ht="15" hidden="1" customHeight="1">
      <c r="A659" s="706" t="s">
        <v>1148</v>
      </c>
      <c r="B659" s="706">
        <v>2026</v>
      </c>
      <c r="C659" s="706" t="s">
        <v>2362</v>
      </c>
      <c r="D659" s="706" t="s">
        <v>2363</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G43500</v>
      </c>
      <c r="AK659" s="905" t="str">
        <f t="shared" ref="AK659:AK663" si="67">D659</f>
        <v>VENTES CHEV CITY</v>
      </c>
      <c r="AL659" s="905">
        <f>IFERROR(INDEX(G659:R659,1,MATCH(Parametres!$B$3,G$1:R$1,0)-1)*IF(OR(F659="L",F659="S",F659="I"),-1,1),"")</f>
        <v>0</v>
      </c>
      <c r="AM659" s="905">
        <f t="shared" si="62"/>
        <v>0</v>
      </c>
      <c r="AN659" s="905">
        <f>INDEX(G659:R659,1,MATCH(Parametres!$B$3,G$1:R$1,0))*IF(OR(F659="L",F659="S",F659="I"),-1,1)</f>
        <v>0</v>
      </c>
      <c r="AO659" s="487" t="str">
        <f>+VLOOKUP($AJ659,Data_Validation!$A:$D,1,0)</f>
        <v>G43500</v>
      </c>
      <c r="AP659" s="487" t="str">
        <f>+VLOOKUP($AJ659,Data_Validation!$A:$D,3,0)</f>
        <v>Véhicules neufs</v>
      </c>
      <c r="AQ659" s="487" t="str">
        <f>+VLOOKUP($AJ659,Data_Validation!$A:$D,4,0)</f>
        <v>Camions détail</v>
      </c>
      <c r="AR659" s="487" t="s">
        <v>299</v>
      </c>
      <c r="AS659" s="487" t="str">
        <f>+VLOOKUP($AJ659,Data_Validation!$A:$E,5,0)</f>
        <v>Oui</v>
      </c>
      <c r="AT659" s="904" t="str">
        <f t="shared" si="63"/>
        <v>G43500</v>
      </c>
      <c r="AU659" s="488" t="str">
        <f t="shared" si="64"/>
        <v>VENTES CHEV CITY</v>
      </c>
      <c r="AV659" s="899">
        <f>IFERROR(INDEX(V659:AG659,1,MATCH(Parametres!$B$3,V$1:AG$1,0)-1)*IF(OR(C659="L",C659="S",C659="I"),-1,1),"")</f>
        <v>0</v>
      </c>
      <c r="AW659" s="899">
        <f t="shared" si="65"/>
        <v>0</v>
      </c>
      <c r="AX659" s="899">
        <f>INDEX(V659:AG659,1,MATCH(Parametres!$B$3,V$1:AG$1,0))*IF(OR(C659="L",C659="S",C659="I"),-1,1)</f>
        <v>0</v>
      </c>
      <c r="AY659" s="487" t="s">
        <v>337</v>
      </c>
      <c r="AZ659" s="487" t="str">
        <f>+VLOOKUP($AJ659,Data_Validation!$A:$E,5,0)</f>
        <v>Oui</v>
      </c>
    </row>
    <row r="660" spans="1:52" ht="15" hidden="1" customHeight="1">
      <c r="A660" s="706" t="s">
        <v>1148</v>
      </c>
      <c r="B660" s="706">
        <v>2026</v>
      </c>
      <c r="C660" s="706" t="s">
        <v>2364</v>
      </c>
      <c r="D660" s="706" t="s">
        <v>2365</v>
      </c>
      <c r="E660" s="706" t="s">
        <v>1149</v>
      </c>
      <c r="F660" s="706" t="s">
        <v>1149</v>
      </c>
      <c r="G660" s="706">
        <v>0</v>
      </c>
      <c r="H660" s="706">
        <v>0</v>
      </c>
      <c r="I660" s="706">
        <v>0</v>
      </c>
      <c r="J660" s="706">
        <v>0</v>
      </c>
      <c r="K660" s="706">
        <v>0</v>
      </c>
      <c r="L660" s="706">
        <v>0</v>
      </c>
      <c r="M660" s="706">
        <v>127470.08</v>
      </c>
      <c r="N660" s="706">
        <v>127470.08</v>
      </c>
      <c r="O660" s="706">
        <v>127470.08</v>
      </c>
      <c r="P660" s="706">
        <v>0</v>
      </c>
      <c r="Q660" s="706">
        <v>0</v>
      </c>
      <c r="R660" s="706">
        <v>0</v>
      </c>
      <c r="S660" s="706">
        <v>15933.76</v>
      </c>
      <c r="T660" s="706">
        <v>15933.76</v>
      </c>
      <c r="U660" s="706">
        <v>0</v>
      </c>
      <c r="V660" s="706">
        <v>0</v>
      </c>
      <c r="W660" s="706">
        <v>0</v>
      </c>
      <c r="X660" s="706">
        <v>0</v>
      </c>
      <c r="Y660" s="706">
        <v>0</v>
      </c>
      <c r="Z660" s="706">
        <v>0</v>
      </c>
      <c r="AA660" s="706">
        <v>0</v>
      </c>
      <c r="AB660" s="706">
        <v>1</v>
      </c>
      <c r="AC660" s="706">
        <v>1</v>
      </c>
      <c r="AD660" s="706">
        <v>1</v>
      </c>
      <c r="AE660" s="706">
        <v>0</v>
      </c>
      <c r="AF660" s="706">
        <v>0</v>
      </c>
      <c r="AG660" s="706">
        <v>0</v>
      </c>
      <c r="AH660" s="706">
        <v>0</v>
      </c>
      <c r="AI660" s="706">
        <v>0</v>
      </c>
      <c r="AJ660" s="905" t="str">
        <f t="shared" si="66"/>
        <v>G43501</v>
      </c>
      <c r="AK660" s="905" t="str">
        <f t="shared" si="67"/>
        <v>VTES - HUMMER EV SUV</v>
      </c>
      <c r="AL660" s="905">
        <f>IFERROR(INDEX(G660:R660,1,MATCH(Parametres!$B$3,G$1:R$1,0)-1)*IF(OR(F660="L",F660="S",F660="I"),-1,1),"")</f>
        <v>-127470.08</v>
      </c>
      <c r="AM660" s="905">
        <f t="shared" si="62"/>
        <v>0</v>
      </c>
      <c r="AN660" s="905">
        <f>INDEX(G660:R660,1,MATCH(Parametres!$B$3,G$1:R$1,0))*IF(OR(F660="L",F660="S",F660="I"),-1,1)</f>
        <v>-127470.08</v>
      </c>
      <c r="AO660" s="487" t="str">
        <f>+VLOOKUP($AJ660,Data_Validation!$A:$D,1,0)</f>
        <v>G43501</v>
      </c>
      <c r="AP660" s="487" t="str">
        <f>+VLOOKUP($AJ660,Data_Validation!$A:$D,3,0)</f>
        <v>Véhicules neufs</v>
      </c>
      <c r="AQ660" s="487" t="str">
        <f>+VLOOKUP($AJ660,Data_Validation!$A:$D,4,0)</f>
        <v>Camions electriques</v>
      </c>
      <c r="AR660" s="487" t="s">
        <v>299</v>
      </c>
      <c r="AS660" s="487" t="str">
        <f>+VLOOKUP($AJ660,Data_Validation!$A:$E,5,0)</f>
        <v>Oui</v>
      </c>
      <c r="AT660" s="904" t="str">
        <f t="shared" si="63"/>
        <v>G43501</v>
      </c>
      <c r="AU660" s="488" t="str">
        <f t="shared" si="64"/>
        <v>VTES - HUMMER EV SUV</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2366</v>
      </c>
      <c r="D661" s="706" t="s">
        <v>2367</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G43520</v>
      </c>
      <c r="AK661" s="905" t="str">
        <f t="shared" si="67"/>
        <v>VTES-SSR             -LOC</v>
      </c>
      <c r="AL661" s="905">
        <f>IFERROR(INDEX(G661:R661,1,MATCH(Parametres!$B$3,G$1:R$1,0)-1)*IF(OR(F661="L",F661="S",F661="I"),-1,1),"")</f>
        <v>0</v>
      </c>
      <c r="AM661" s="905">
        <f t="shared" si="62"/>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63"/>
        <v>G43520</v>
      </c>
      <c r="AU661" s="488" t="str">
        <f t="shared" si="64"/>
        <v>VTES-SSR             -LOC</v>
      </c>
      <c r="AV661" s="899">
        <f>IFERROR(INDEX(V661:AG661,1,MATCH(Parametres!$B$3,V$1:AG$1,0)-1)*IF(OR(C661="L",C661="S",C661="I"),-1,1),"")</f>
        <v>0</v>
      </c>
      <c r="AW661" s="899">
        <f t="shared" si="65"/>
        <v>0</v>
      </c>
      <c r="AX661" s="899">
        <f>INDEX(V661:AG661,1,MATCH(Parametres!$B$3,V$1:AG$1,0))*IF(OR(C661="L",C661="S",C661="I"),-1,1)</f>
        <v>0</v>
      </c>
      <c r="AY661" s="487" t="s">
        <v>337</v>
      </c>
      <c r="AZ661" s="487" t="e">
        <f>+VLOOKUP($AJ661,Data_Validation!$A:$E,5,0)</f>
        <v>#N/A</v>
      </c>
    </row>
    <row r="662" spans="1:52" ht="15" hidden="1" customHeight="1">
      <c r="A662" s="706" t="s">
        <v>1148</v>
      </c>
      <c r="B662" s="706">
        <v>2026</v>
      </c>
      <c r="C662" s="706" t="s">
        <v>2368</v>
      </c>
      <c r="D662" s="706" t="s">
        <v>2369</v>
      </c>
      <c r="E662" s="706" t="s">
        <v>1149</v>
      </c>
      <c r="F662" s="706" t="s">
        <v>1149</v>
      </c>
      <c r="G662" s="706">
        <v>40000</v>
      </c>
      <c r="H662" s="706">
        <v>72235</v>
      </c>
      <c r="I662" s="706">
        <v>72235</v>
      </c>
      <c r="J662" s="706">
        <v>72235</v>
      </c>
      <c r="K662" s="706">
        <v>109605.5</v>
      </c>
      <c r="L662" s="706">
        <v>109605.5</v>
      </c>
      <c r="M662" s="706">
        <v>109605.5</v>
      </c>
      <c r="N662" s="706">
        <v>186139.9</v>
      </c>
      <c r="O662" s="706">
        <v>186139.9</v>
      </c>
      <c r="P662" s="706">
        <v>0</v>
      </c>
      <c r="Q662" s="706">
        <v>0</v>
      </c>
      <c r="R662" s="706">
        <v>0</v>
      </c>
      <c r="S662" s="706">
        <v>23267.49</v>
      </c>
      <c r="T662" s="706">
        <v>23267.49</v>
      </c>
      <c r="U662" s="706">
        <v>0</v>
      </c>
      <c r="V662" s="706">
        <v>1</v>
      </c>
      <c r="W662" s="706">
        <v>2</v>
      </c>
      <c r="X662" s="706">
        <v>2</v>
      </c>
      <c r="Y662" s="706">
        <v>2</v>
      </c>
      <c r="Z662" s="706">
        <v>3</v>
      </c>
      <c r="AA662" s="706">
        <v>3</v>
      </c>
      <c r="AB662" s="706">
        <v>3</v>
      </c>
      <c r="AC662" s="706">
        <v>5</v>
      </c>
      <c r="AD662" s="706">
        <v>5</v>
      </c>
      <c r="AE662" s="706">
        <v>0</v>
      </c>
      <c r="AF662" s="706">
        <v>0</v>
      </c>
      <c r="AG662" s="706">
        <v>0</v>
      </c>
      <c r="AH662" s="706">
        <v>1</v>
      </c>
      <c r="AI662" s="706">
        <v>1</v>
      </c>
      <c r="AJ662" s="905" t="str">
        <f t="shared" si="66"/>
        <v>G43600</v>
      </c>
      <c r="AK662" s="905" t="str">
        <f t="shared" si="67"/>
        <v>VTES-TRAIL BLAZER</v>
      </c>
      <c r="AL662" s="905">
        <f>IFERROR(INDEX(G662:R662,1,MATCH(Parametres!$B$3,G$1:R$1,0)-1)*IF(OR(F662="L",F662="S",F662="I"),-1,1),"")</f>
        <v>-109605.5</v>
      </c>
      <c r="AM662" s="1047">
        <f t="shared" si="62"/>
        <v>-76534.399999999994</v>
      </c>
      <c r="AN662" s="905">
        <f>INDEX(G662:R662,1,MATCH(Parametres!$B$3,G$1:R$1,0))*IF(OR(F662="L",F662="S",F662="I"),-1,1)</f>
        <v>-186139.9</v>
      </c>
      <c r="AO662" s="487" t="str">
        <f>+VLOOKUP($AJ662,Data_Validation!$A:$D,1,0)</f>
        <v>G43600</v>
      </c>
      <c r="AP662" s="487" t="str">
        <f>+VLOOKUP($AJ662,Data_Validation!$A:$D,3,0)</f>
        <v>Véhicules neufs</v>
      </c>
      <c r="AQ662" s="487" t="str">
        <f>+VLOOKUP($AJ662,Data_Validation!$A:$D,4,0)</f>
        <v>Camions détail</v>
      </c>
      <c r="AR662" s="487" t="s">
        <v>299</v>
      </c>
      <c r="AS662" s="487" t="str">
        <f>+VLOOKUP($AJ662,Data_Validation!$A:$E,5,0)</f>
        <v>Oui</v>
      </c>
      <c r="AT662" s="904" t="str">
        <f t="shared" si="63"/>
        <v>G43600</v>
      </c>
      <c r="AU662" s="488" t="str">
        <f t="shared" si="64"/>
        <v>VTES-TRAIL BLAZER</v>
      </c>
      <c r="AV662" s="899">
        <f>IFERROR(INDEX(V662:AG662,1,MATCH(Parametres!$B$3,V$1:AG$1,0)-1)*IF(OR(C662="L",C662="S",C662="I"),-1,1),"")</f>
        <v>3</v>
      </c>
      <c r="AW662" s="899">
        <f t="shared" si="65"/>
        <v>2</v>
      </c>
      <c r="AX662" s="899">
        <f>INDEX(V662:AG662,1,MATCH(Parametres!$B$3,V$1:AG$1,0))*IF(OR(C662="L",C662="S",C662="I"),-1,1)</f>
        <v>5</v>
      </c>
      <c r="AY662" s="487" t="s">
        <v>337</v>
      </c>
      <c r="AZ662" s="487" t="str">
        <f>+VLOOKUP($AJ662,Data_Validation!$A:$E,5,0)</f>
        <v>Oui</v>
      </c>
    </row>
    <row r="663" spans="1:52" ht="15" hidden="1" customHeight="1">
      <c r="A663" s="706" t="s">
        <v>1148</v>
      </c>
      <c r="B663" s="706">
        <v>2026</v>
      </c>
      <c r="C663" s="706" t="s">
        <v>2370</v>
      </c>
      <c r="D663" s="706" t="s">
        <v>2371</v>
      </c>
      <c r="E663" s="706" t="s">
        <v>1149</v>
      </c>
      <c r="F663" s="706" t="s">
        <v>1149</v>
      </c>
      <c r="G663" s="706">
        <v>0</v>
      </c>
      <c r="H663" s="706">
        <v>0</v>
      </c>
      <c r="I663" s="706">
        <v>67438</v>
      </c>
      <c r="J663" s="706">
        <v>133438</v>
      </c>
      <c r="K663" s="706">
        <v>199872</v>
      </c>
      <c r="L663" s="706">
        <v>199872</v>
      </c>
      <c r="M663" s="706">
        <v>199872</v>
      </c>
      <c r="N663" s="706">
        <v>199872</v>
      </c>
      <c r="O663" s="706">
        <v>199872</v>
      </c>
      <c r="P663" s="706">
        <v>0</v>
      </c>
      <c r="Q663" s="706">
        <v>0</v>
      </c>
      <c r="R663" s="706">
        <v>0</v>
      </c>
      <c r="S663" s="706">
        <v>24984</v>
      </c>
      <c r="T663" s="706">
        <v>24984</v>
      </c>
      <c r="U663" s="706">
        <v>0</v>
      </c>
      <c r="V663" s="706">
        <v>0</v>
      </c>
      <c r="W663" s="706">
        <v>0</v>
      </c>
      <c r="X663" s="706">
        <v>1</v>
      </c>
      <c r="Y663" s="706">
        <v>2</v>
      </c>
      <c r="Z663" s="706">
        <v>3</v>
      </c>
      <c r="AA663" s="706">
        <v>3</v>
      </c>
      <c r="AB663" s="706">
        <v>3</v>
      </c>
      <c r="AC663" s="706">
        <v>3</v>
      </c>
      <c r="AD663" s="706">
        <v>3</v>
      </c>
      <c r="AE663" s="706">
        <v>0</v>
      </c>
      <c r="AF663" s="706">
        <v>0</v>
      </c>
      <c r="AG663" s="706">
        <v>0</v>
      </c>
      <c r="AH663" s="706">
        <v>0</v>
      </c>
      <c r="AI663" s="706">
        <v>0</v>
      </c>
      <c r="AJ663" s="905" t="str">
        <f t="shared" si="66"/>
        <v>G43602</v>
      </c>
      <c r="AK663" s="905" t="str">
        <f t="shared" si="67"/>
        <v>VENTES GMC ACADIA</v>
      </c>
      <c r="AL663" s="905">
        <f>IFERROR(INDEX(G663:R663,1,MATCH(Parametres!$B$3,G$1:R$1,0)-1)*IF(OR(F663="L",F663="S",F663="I"),-1,1),"")</f>
        <v>-199872</v>
      </c>
      <c r="AM663" s="905">
        <f t="shared" si="62"/>
        <v>0</v>
      </c>
      <c r="AN663" s="905">
        <f>INDEX(G663:R663,1,MATCH(Parametres!$B$3,G$1:R$1,0))*IF(OR(F663="L",F663="S",F663="I"),-1,1)</f>
        <v>-199872</v>
      </c>
      <c r="AO663" s="487" t="str">
        <f>+VLOOKUP($AJ663,Data_Validation!$A:$D,1,0)</f>
        <v>G43602</v>
      </c>
      <c r="AP663" s="487" t="str">
        <f>+VLOOKUP($AJ663,Data_Validation!$A:$D,3,0)</f>
        <v>Véhicules neufs</v>
      </c>
      <c r="AQ663" s="487" t="str">
        <f>+VLOOKUP($AJ663,Data_Validation!$A:$D,4,0)</f>
        <v>Camions détail</v>
      </c>
      <c r="AR663" s="487" t="s">
        <v>299</v>
      </c>
      <c r="AS663" s="487" t="str">
        <f>+VLOOKUP($AJ663,Data_Validation!$A:$E,5,0)</f>
        <v>Oui</v>
      </c>
      <c r="AT663" s="904" t="str">
        <f t="shared" si="63"/>
        <v>G43602</v>
      </c>
      <c r="AU663" s="488" t="str">
        <f t="shared" si="64"/>
        <v>VENTES GMC ACADIA</v>
      </c>
      <c r="AV663" s="899">
        <f>IFERROR(INDEX(V663:AG663,1,MATCH(Parametres!$B$3,V$1:AG$1,0)-1)*IF(OR(C663="L",C663="S",C663="I"),-1,1),"")</f>
        <v>3</v>
      </c>
      <c r="AW663" s="899">
        <f t="shared" si="65"/>
        <v>0</v>
      </c>
      <c r="AX663" s="899">
        <f>INDEX(V663:AG663,1,MATCH(Parametres!$B$3,V$1:AG$1,0))*IF(OR(C663="L",C663="S",C663="I"),-1,1)</f>
        <v>3</v>
      </c>
      <c r="AY663" s="487" t="s">
        <v>337</v>
      </c>
      <c r="AZ663" s="487" t="str">
        <f>+VLOOKUP($AJ663,Data_Validation!$A:$E,5,0)</f>
        <v>Oui</v>
      </c>
    </row>
    <row r="664" spans="1:52" ht="15" hidden="1" customHeight="1">
      <c r="A664" s="706" t="s">
        <v>1148</v>
      </c>
      <c r="B664" s="706">
        <v>2026</v>
      </c>
      <c r="C664" s="706" t="s">
        <v>2372</v>
      </c>
      <c r="D664" s="706" t="s">
        <v>2373</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G43800</v>
      </c>
      <c r="AK664" s="905" t="str">
        <f t="shared" ref="AK664:AK727" si="69">D664</f>
        <v>VTES-CHEV CAMION AUTRES</v>
      </c>
      <c r="AL664" s="905">
        <f>IFERROR(INDEX(G664:R664,1,MATCH(Parametres!$B$3,G$1:R$1,0)-1)*IF(OR(F664="L",F664="S",F664="I"),-1,1),"")</f>
        <v>0</v>
      </c>
      <c r="AM664" s="905">
        <f t="shared" ref="AM664:AM727" si="70">AN664-AL664</f>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ref="AT664:AT727" si="71">C664</f>
        <v>G43800</v>
      </c>
      <c r="AU664" s="488" t="str">
        <f t="shared" ref="AU664:AU727" si="72">D664</f>
        <v>VTES-CHEV CAMION AUTRES</v>
      </c>
      <c r="AV664" s="899">
        <f>IFERROR(INDEX(V664:AG664,1,MATCH(Parametres!$B$3,V$1:AG$1,0)-1)*IF(OR(C664="L",C664="S",C664="I"),-1,1),"")</f>
        <v>0</v>
      </c>
      <c r="AW664" s="899">
        <f t="shared" ref="AW664:AW727" si="73">AX664-AV664</f>
        <v>0</v>
      </c>
      <c r="AX664" s="899">
        <f>INDEX(V664:AG664,1,MATCH(Parametres!$B$3,V$1:AG$1,0))*IF(OR(C664="L",C664="S",C664="I"),-1,1)</f>
        <v>0</v>
      </c>
      <c r="AY664" s="487" t="s">
        <v>337</v>
      </c>
      <c r="AZ664" s="487" t="e">
        <f>+VLOOKUP($AJ664,Data_Validation!$A:$E,5,0)</f>
        <v>#N/A</v>
      </c>
    </row>
    <row r="665" spans="1:52" ht="15" hidden="1" customHeight="1">
      <c r="A665" s="706" t="s">
        <v>1148</v>
      </c>
      <c r="B665" s="706">
        <v>2026</v>
      </c>
      <c r="C665" s="706" t="s">
        <v>2374</v>
      </c>
      <c r="D665" s="706" t="s">
        <v>2375</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G43820</v>
      </c>
      <c r="AK665" s="905" t="str">
        <f t="shared" si="69"/>
        <v>VTES-CHEV CAM AUTRE  -LOC</v>
      </c>
      <c r="AL665" s="905">
        <f>IFERROR(INDEX(G665:R665,1,MATCH(Parametres!$B$3,G$1:R$1,0)-1)*IF(OR(F665="L",F665="S",F665="I"),-1,1),"")</f>
        <v>0</v>
      </c>
      <c r="AM665" s="1047">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G43820</v>
      </c>
      <c r="AU665" s="488" t="str">
        <f t="shared" si="72"/>
        <v>VTES-CHEV CAM AUTRE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2376</v>
      </c>
      <c r="D666" s="706" t="s">
        <v>2377</v>
      </c>
      <c r="E666" s="706" t="s">
        <v>1149</v>
      </c>
      <c r="F666" s="706" t="s">
        <v>1149</v>
      </c>
      <c r="G666" s="706">
        <v>7341393.8700000001</v>
      </c>
      <c r="H666" s="706">
        <v>16188705.73</v>
      </c>
      <c r="I666" s="706">
        <v>24057643.949999999</v>
      </c>
      <c r="J666" s="706">
        <v>35215377.390000001</v>
      </c>
      <c r="K666" s="706">
        <v>46698197.899999999</v>
      </c>
      <c r="L666" s="706">
        <v>55470148.740000002</v>
      </c>
      <c r="M666" s="706">
        <v>59560774.780000001</v>
      </c>
      <c r="N666" s="706">
        <v>62166579.229999997</v>
      </c>
      <c r="O666" s="706">
        <v>62166579.229999997</v>
      </c>
      <c r="P666" s="706">
        <v>0</v>
      </c>
      <c r="Q666" s="706">
        <v>0</v>
      </c>
      <c r="R666" s="706">
        <v>0</v>
      </c>
      <c r="S666" s="706">
        <v>7770822.4000000004</v>
      </c>
      <c r="T666" s="706">
        <v>7770822.4000000004</v>
      </c>
      <c r="U666" s="706">
        <v>0</v>
      </c>
      <c r="V666" s="706">
        <v>113</v>
      </c>
      <c r="W666" s="706">
        <v>259</v>
      </c>
      <c r="X666" s="706">
        <v>393</v>
      </c>
      <c r="Y666" s="706">
        <v>551</v>
      </c>
      <c r="Z666" s="706">
        <v>725</v>
      </c>
      <c r="AA666" s="706">
        <v>846</v>
      </c>
      <c r="AB666" s="706">
        <v>904</v>
      </c>
      <c r="AC666" s="706">
        <v>940</v>
      </c>
      <c r="AD666" s="706">
        <v>940</v>
      </c>
      <c r="AE666" s="706">
        <v>0</v>
      </c>
      <c r="AF666" s="706">
        <v>0</v>
      </c>
      <c r="AG666" s="706">
        <v>0</v>
      </c>
      <c r="AH666" s="706">
        <v>118</v>
      </c>
      <c r="AI666" s="706">
        <v>118</v>
      </c>
      <c r="AJ666" s="905" t="str">
        <f t="shared" si="68"/>
        <v>G44000</v>
      </c>
      <c r="AK666" s="905" t="str">
        <f t="shared" si="69"/>
        <v>VENTES PARCS CAMIONS</v>
      </c>
      <c r="AL666" s="905">
        <f>IFERROR(INDEX(G666:R666,1,MATCH(Parametres!$B$3,G$1:R$1,0)-1)*IF(OR(F666="L",F666="S",F666="I"),-1,1),"")</f>
        <v>-59560774.780000001</v>
      </c>
      <c r="AM666" s="905">
        <f t="shared" si="70"/>
        <v>-2605804.4499999955</v>
      </c>
      <c r="AN666" s="905">
        <f>INDEX(G666:R666,1,MATCH(Parametres!$B$3,G$1:R$1,0))*IF(OR(F666="L",F666="S",F666="I"),-1,1)</f>
        <v>-62166579.229999997</v>
      </c>
      <c r="AO666" s="487" t="str">
        <f>+VLOOKUP($AJ666,Data_Validation!$A:$D,1,0)</f>
        <v>G44000</v>
      </c>
      <c r="AP666" s="487" t="str">
        <f>+VLOOKUP($AJ666,Data_Validation!$A:$D,3,0)</f>
        <v>Véhicules neufs</v>
      </c>
      <c r="AQ666" s="487" t="str">
        <f>+VLOOKUP($AJ666,Data_Validation!$A:$D,4,0)</f>
        <v>Flottes</v>
      </c>
      <c r="AR666" s="487" t="s">
        <v>299</v>
      </c>
      <c r="AS666" s="487" t="str">
        <f>+VLOOKUP($AJ666,Data_Validation!$A:$E,5,0)</f>
        <v>Oui</v>
      </c>
      <c r="AT666" s="904" t="str">
        <f t="shared" si="71"/>
        <v>G44000</v>
      </c>
      <c r="AU666" s="488" t="str">
        <f t="shared" si="72"/>
        <v>VENTES PARCS CAMIONS</v>
      </c>
      <c r="AV666" s="899">
        <f>IFERROR(INDEX(V666:AG666,1,MATCH(Parametres!$B$3,V$1:AG$1,0)-1)*IF(OR(C666="L",C666="S",C666="I"),-1,1),"")</f>
        <v>904</v>
      </c>
      <c r="AW666" s="899">
        <f t="shared" si="73"/>
        <v>36</v>
      </c>
      <c r="AX666" s="899">
        <f>INDEX(V666:AG666,1,MATCH(Parametres!$B$3,V$1:AG$1,0))*IF(OR(C666="L",C666="S",C666="I"),-1,1)</f>
        <v>940</v>
      </c>
      <c r="AY666" s="487" t="s">
        <v>337</v>
      </c>
      <c r="AZ666" s="487" t="str">
        <f>+VLOOKUP($AJ666,Data_Validation!$A:$E,5,0)</f>
        <v>Oui</v>
      </c>
    </row>
    <row r="667" spans="1:52" ht="15" hidden="1" customHeight="1">
      <c r="A667" s="706" t="s">
        <v>1148</v>
      </c>
      <c r="B667" s="706">
        <v>2026</v>
      </c>
      <c r="C667" s="706" t="s">
        <v>2378</v>
      </c>
      <c r="D667" s="706" t="s">
        <v>2379</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G44100</v>
      </c>
      <c r="AK667" s="905" t="str">
        <f t="shared" si="69"/>
        <v>VTES-INTERNE CAMIONS</v>
      </c>
      <c r="AL667" s="905">
        <f>IFERROR(INDEX(G667:R667,1,MATCH(Parametres!$B$3,G$1:R$1,0)-1)*IF(OR(F667="L",F667="S",F667="I"),-1,1),"")</f>
        <v>0</v>
      </c>
      <c r="AM667" s="1047">
        <f t="shared" si="70"/>
        <v>0</v>
      </c>
      <c r="AN667" s="905">
        <f>INDEX(G667:R667,1,MATCH(Parametres!$B$3,G$1:R$1,0))*IF(OR(F667="L",F667="S",F667="I"),-1,1)</f>
        <v>0</v>
      </c>
      <c r="AO667" s="487" t="str">
        <f>+VLOOKUP($AJ667,Data_Validation!$A:$D,1,0)</f>
        <v>G44100</v>
      </c>
      <c r="AP667" s="487" t="str">
        <f>+VLOOKUP($AJ667,Data_Validation!$A:$D,3,0)</f>
        <v>Véhicules neufs</v>
      </c>
      <c r="AQ667" s="487" t="str">
        <f>+VLOOKUP($AJ667,Data_Validation!$A:$D,4,0)</f>
        <v>Flottes</v>
      </c>
      <c r="AR667" s="487" t="s">
        <v>299</v>
      </c>
      <c r="AS667" s="487" t="str">
        <f>+VLOOKUP($AJ667,Data_Validation!$A:$E,5,0)</f>
        <v>Oui</v>
      </c>
      <c r="AT667" s="904" t="str">
        <f t="shared" si="71"/>
        <v>G44100</v>
      </c>
      <c r="AU667" s="488" t="str">
        <f t="shared" si="72"/>
        <v>VTES-INTERNE CAMIONS</v>
      </c>
      <c r="AV667" s="899">
        <f>IFERROR(INDEX(V667:AG667,1,MATCH(Parametres!$B$3,V$1:AG$1,0)-1)*IF(OR(C667="L",C667="S",C667="I"),-1,1),"")</f>
        <v>0</v>
      </c>
      <c r="AW667" s="899">
        <f t="shared" si="73"/>
        <v>0</v>
      </c>
      <c r="AX667" s="899">
        <f>INDEX(V667:AG667,1,MATCH(Parametres!$B$3,V$1:AG$1,0))*IF(OR(C667="L",C667="S",C667="I"),-1,1)</f>
        <v>0</v>
      </c>
      <c r="AY667" s="487" t="s">
        <v>337</v>
      </c>
      <c r="AZ667" s="487" t="str">
        <f>+VLOOKUP($AJ667,Data_Validation!$A:$E,5,0)</f>
        <v>Oui</v>
      </c>
    </row>
    <row r="668" spans="1:52" ht="15" hidden="1" customHeight="1">
      <c r="A668" s="706" t="s">
        <v>1148</v>
      </c>
      <c r="B668" s="706">
        <v>2026</v>
      </c>
      <c r="C668" s="706" t="s">
        <v>2380</v>
      </c>
      <c r="D668" s="706" t="s">
        <v>3334</v>
      </c>
      <c r="E668" s="706" t="s">
        <v>333</v>
      </c>
      <c r="F668" s="706" t="s">
        <v>1149</v>
      </c>
      <c r="G668" s="706">
        <v>61922.46</v>
      </c>
      <c r="H668" s="706">
        <v>99457.46</v>
      </c>
      <c r="I668" s="706">
        <v>156410.91</v>
      </c>
      <c r="J668" s="706">
        <v>273816.55</v>
      </c>
      <c r="K668" s="706">
        <v>330493.25</v>
      </c>
      <c r="L668" s="706">
        <v>384528.25</v>
      </c>
      <c r="M668" s="706">
        <v>449564.25</v>
      </c>
      <c r="N668" s="706">
        <v>495572.05</v>
      </c>
      <c r="O668" s="706">
        <v>495572.05</v>
      </c>
      <c r="P668" s="706">
        <v>0</v>
      </c>
      <c r="Q668" s="706">
        <v>0</v>
      </c>
      <c r="R668" s="706">
        <v>0</v>
      </c>
      <c r="S668" s="706">
        <v>61946.51</v>
      </c>
      <c r="T668" s="706">
        <v>61946.51</v>
      </c>
      <c r="U668" s="706">
        <v>0</v>
      </c>
      <c r="V668" s="706">
        <v>13</v>
      </c>
      <c r="W668" s="706">
        <v>24</v>
      </c>
      <c r="X668" s="706">
        <v>42</v>
      </c>
      <c r="Y668" s="706">
        <v>75</v>
      </c>
      <c r="Z668" s="706">
        <v>90</v>
      </c>
      <c r="AA668" s="706">
        <v>104</v>
      </c>
      <c r="AB668" s="706">
        <v>119</v>
      </c>
      <c r="AC668" s="706">
        <v>135</v>
      </c>
      <c r="AD668" s="706">
        <v>135</v>
      </c>
      <c r="AE668" s="706">
        <v>0</v>
      </c>
      <c r="AF668" s="706">
        <v>0</v>
      </c>
      <c r="AG668" s="706">
        <v>0</v>
      </c>
      <c r="AH668" s="706">
        <v>17</v>
      </c>
      <c r="AI668" s="706">
        <v>17</v>
      </c>
      <c r="AJ668" s="905" t="str">
        <f t="shared" si="68"/>
        <v>G44300</v>
      </c>
      <c r="AK668" s="905" t="str">
        <f t="shared" si="69"/>
        <v>VTES-PLAN PROTECTION -NF</v>
      </c>
      <c r="AL668" s="905">
        <f>IFERROR(INDEX(G668:R668,1,MATCH(Parametres!$B$3,G$1:R$1,0)-1)*IF(OR(F668="L",F668="S",F668="I"),-1,1),"")</f>
        <v>-449564.25</v>
      </c>
      <c r="AM668" s="1047">
        <f t="shared" si="70"/>
        <v>-46007.799999999988</v>
      </c>
      <c r="AN668" s="905">
        <f>INDEX(G668:R668,1,MATCH(Parametres!$B$3,G$1:R$1,0))*IF(OR(F668="L",F668="S",F668="I"),-1,1)</f>
        <v>-495572.05</v>
      </c>
      <c r="AO668" s="487" t="str">
        <f>+VLOOKUP($AJ668,Data_Validation!$A:$D,1,0)</f>
        <v>G44300</v>
      </c>
      <c r="AP668" s="487" t="str">
        <f>+VLOOKUP($AJ668,Data_Validation!$A:$D,3,0)</f>
        <v>Véhicules neufs</v>
      </c>
      <c r="AQ668" s="487" t="str">
        <f>+VLOOKUP($AJ668,Data_Validation!$A:$D,4,0)</f>
        <v>Rev. Protections</v>
      </c>
      <c r="AR668" s="487" t="s">
        <v>299</v>
      </c>
      <c r="AS668" s="487" t="str">
        <f>+VLOOKUP($AJ668,Data_Validation!$A:$E,5,0)</f>
        <v>Oui</v>
      </c>
      <c r="AT668" s="904" t="str">
        <f t="shared" si="71"/>
        <v>G44300</v>
      </c>
      <c r="AU668" s="488" t="str">
        <f t="shared" si="72"/>
        <v>VTES-PLAN PROTECTION -NF</v>
      </c>
      <c r="AV668" s="899">
        <f>IFERROR(INDEX(V668:AG668,1,MATCH(Parametres!$B$3,V$1:AG$1,0)-1)*IF(OR(C668="L",C668="S",C668="I"),-1,1),"")</f>
        <v>119</v>
      </c>
      <c r="AW668" s="899">
        <f t="shared" si="73"/>
        <v>16</v>
      </c>
      <c r="AX668" s="899">
        <f>INDEX(V668:AG668,1,MATCH(Parametres!$B$3,V$1:AG$1,0))*IF(OR(C668="L",C668="S",C668="I"),-1,1)</f>
        <v>135</v>
      </c>
      <c r="AY668" s="487" t="s">
        <v>337</v>
      </c>
      <c r="AZ668" s="487" t="str">
        <f>+VLOOKUP($AJ668,Data_Validation!$A:$E,5,0)</f>
        <v>Oui</v>
      </c>
    </row>
    <row r="669" spans="1:52" ht="15" hidden="1" customHeight="1">
      <c r="A669" s="706" t="s">
        <v>1148</v>
      </c>
      <c r="B669" s="706">
        <v>2026</v>
      </c>
      <c r="C669" s="706" t="s">
        <v>2382</v>
      </c>
      <c r="D669" s="706" t="s">
        <v>2383</v>
      </c>
      <c r="E669" s="706" t="s">
        <v>333</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G44400</v>
      </c>
      <c r="AK669" s="905" t="str">
        <f t="shared" si="69"/>
        <v>VENTE PROTECTION PLUS</v>
      </c>
      <c r="AL669" s="905">
        <f>IFERROR(INDEX(G669:R669,1,MATCH(Parametres!$B$3,G$1:R$1,0)-1)*IF(OR(F669="L",F669="S",F669="I"),-1,1),"")</f>
        <v>0</v>
      </c>
      <c r="AM669" s="1047">
        <f t="shared" si="70"/>
        <v>0</v>
      </c>
      <c r="AN669" s="905">
        <f>INDEX(G669:R669,1,MATCH(Parametres!$B$3,G$1:R$1,0))*IF(OR(F669="L",F669="S",F669="I"),-1,1)</f>
        <v>0</v>
      </c>
      <c r="AO669" s="487" t="str">
        <f>+VLOOKUP($AJ669,Data_Validation!$A:$D,1,0)</f>
        <v>G44400</v>
      </c>
      <c r="AP669" s="487" t="str">
        <f>+VLOOKUP($AJ669,Data_Validation!$A:$D,3,0)</f>
        <v>Véhicules neufs</v>
      </c>
      <c r="AQ669" s="487" t="str">
        <f>+VLOOKUP($AJ669,Data_Validation!$A:$D,4,0)</f>
        <v>Rev. Protections</v>
      </c>
      <c r="AR669" s="487" t="s">
        <v>299</v>
      </c>
      <c r="AS669" s="487" t="str">
        <f>+VLOOKUP($AJ669,Data_Validation!$A:$E,5,0)</f>
        <v>Oui</v>
      </c>
      <c r="AT669" s="904" t="str">
        <f t="shared" si="71"/>
        <v>G44400</v>
      </c>
      <c r="AU669" s="488" t="str">
        <f t="shared" si="72"/>
        <v>VENTE PROTECTION PLUS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hidden="1" customHeight="1">
      <c r="A670" s="706" t="s">
        <v>1148</v>
      </c>
      <c r="B670" s="706">
        <v>2026</v>
      </c>
      <c r="C670" s="706" t="s">
        <v>2384</v>
      </c>
      <c r="D670" s="706" t="s">
        <v>2385</v>
      </c>
      <c r="E670" s="706" t="s">
        <v>333</v>
      </c>
      <c r="F670" s="706" t="s">
        <v>1149</v>
      </c>
      <c r="G670" s="706">
        <v>2298</v>
      </c>
      <c r="H670" s="706">
        <v>4623</v>
      </c>
      <c r="I670" s="706">
        <v>6521</v>
      </c>
      <c r="J670" s="706">
        <v>13070</v>
      </c>
      <c r="K670" s="706">
        <v>17998</v>
      </c>
      <c r="L670" s="706">
        <v>24187</v>
      </c>
      <c r="M670" s="706">
        <v>30936</v>
      </c>
      <c r="N670" s="706">
        <v>30936</v>
      </c>
      <c r="O670" s="706">
        <v>30936</v>
      </c>
      <c r="P670" s="706">
        <v>0</v>
      </c>
      <c r="Q670" s="706">
        <v>0</v>
      </c>
      <c r="R670" s="706">
        <v>0</v>
      </c>
      <c r="S670" s="706">
        <v>3867</v>
      </c>
      <c r="T670" s="706">
        <v>3867</v>
      </c>
      <c r="U670" s="706">
        <v>0</v>
      </c>
      <c r="V670" s="706">
        <v>2</v>
      </c>
      <c r="W670" s="706">
        <v>4</v>
      </c>
      <c r="X670" s="706">
        <v>6</v>
      </c>
      <c r="Y670" s="706">
        <v>12</v>
      </c>
      <c r="Z670" s="706">
        <v>16</v>
      </c>
      <c r="AA670" s="706">
        <v>21</v>
      </c>
      <c r="AB670" s="706">
        <v>27</v>
      </c>
      <c r="AC670" s="706">
        <v>27</v>
      </c>
      <c r="AD670" s="706">
        <v>27</v>
      </c>
      <c r="AE670" s="706">
        <v>0</v>
      </c>
      <c r="AF670" s="706">
        <v>0</v>
      </c>
      <c r="AG670" s="706">
        <v>0</v>
      </c>
      <c r="AH670" s="706">
        <v>3</v>
      </c>
      <c r="AI670" s="706">
        <v>3</v>
      </c>
      <c r="AJ670" s="905" t="str">
        <f t="shared" si="68"/>
        <v>G44501</v>
      </c>
      <c r="AK670" s="905" t="str">
        <f t="shared" si="69"/>
        <v>VTES-ANTIROUILLE</v>
      </c>
      <c r="AL670" s="905">
        <f>IFERROR(INDEX(G670:R670,1,MATCH(Parametres!$B$3,G$1:R$1,0)-1)*IF(OR(F670="L",F670="S",F670="I"),-1,1),"")</f>
        <v>-30936</v>
      </c>
      <c r="AM670" s="1047">
        <f t="shared" si="70"/>
        <v>0</v>
      </c>
      <c r="AN670" s="905">
        <f>INDEX(G670:R670,1,MATCH(Parametres!$B$3,G$1:R$1,0))*IF(OR(F670="L",F670="S",F670="I"),-1,1)</f>
        <v>-30936</v>
      </c>
      <c r="AO670" s="487" t="str">
        <f>+VLOOKUP($AJ670,Data_Validation!$A:$D,1,0)</f>
        <v>G44501</v>
      </c>
      <c r="AP670" s="487" t="str">
        <f>+VLOOKUP($AJ670,Data_Validation!$A:$D,3,0)</f>
        <v>Véhicules neufs</v>
      </c>
      <c r="AQ670" s="487" t="str">
        <f>+VLOOKUP($AJ670,Data_Validation!$A:$D,4,0)</f>
        <v>Rev. Autres</v>
      </c>
      <c r="AR670" s="487" t="s">
        <v>299</v>
      </c>
      <c r="AS670" s="487" t="str">
        <f>+VLOOKUP($AJ670,Data_Validation!$A:$E,5,0)</f>
        <v>Oui</v>
      </c>
      <c r="AT670" s="904" t="str">
        <f t="shared" si="71"/>
        <v>G44501</v>
      </c>
      <c r="AU670" s="488" t="str">
        <f t="shared" si="72"/>
        <v>VTES-ANTIROUILLE</v>
      </c>
      <c r="AV670" s="899">
        <f>IFERROR(INDEX(V670:AG670,1,MATCH(Parametres!$B$3,V$1:AG$1,0)-1)*IF(OR(C670="L",C670="S",C670="I"),-1,1),"")</f>
        <v>27</v>
      </c>
      <c r="AW670" s="899">
        <f t="shared" si="73"/>
        <v>0</v>
      </c>
      <c r="AX670" s="899">
        <f>INDEX(V670:AG670,1,MATCH(Parametres!$B$3,V$1:AG$1,0))*IF(OR(C670="L",C670="S",C670="I"),-1,1)</f>
        <v>27</v>
      </c>
      <c r="AY670" s="487" t="s">
        <v>337</v>
      </c>
      <c r="AZ670" s="487" t="str">
        <f>+VLOOKUP($AJ670,Data_Validation!$A:$E,5,0)</f>
        <v>Oui</v>
      </c>
    </row>
    <row r="671" spans="1:52" ht="15" hidden="1" customHeight="1">
      <c r="A671" s="706" t="s">
        <v>1148</v>
      </c>
      <c r="B671" s="706">
        <v>2026</v>
      </c>
      <c r="C671" s="706" t="s">
        <v>2386</v>
      </c>
      <c r="D671" s="706" t="s">
        <v>2387</v>
      </c>
      <c r="E671" s="706" t="s">
        <v>333</v>
      </c>
      <c r="F671" s="706" t="s">
        <v>1149</v>
      </c>
      <c r="G671" s="706">
        <v>0</v>
      </c>
      <c r="H671" s="706">
        <v>1249</v>
      </c>
      <c r="I671" s="706">
        <v>3403</v>
      </c>
      <c r="J671" s="706">
        <v>8652</v>
      </c>
      <c r="K671" s="706">
        <v>11822</v>
      </c>
      <c r="L671" s="706">
        <v>13092</v>
      </c>
      <c r="M671" s="706">
        <v>18403</v>
      </c>
      <c r="N671" s="706">
        <v>18923</v>
      </c>
      <c r="O671" s="706">
        <v>18923</v>
      </c>
      <c r="P671" s="706">
        <v>0</v>
      </c>
      <c r="Q671" s="706">
        <v>0</v>
      </c>
      <c r="R671" s="706">
        <v>0</v>
      </c>
      <c r="S671" s="706">
        <v>2365.38</v>
      </c>
      <c r="T671" s="706">
        <v>2365.38</v>
      </c>
      <c r="U671" s="706">
        <v>0</v>
      </c>
      <c r="V671" s="706">
        <v>0</v>
      </c>
      <c r="W671" s="706">
        <v>2</v>
      </c>
      <c r="X671" s="706">
        <v>7</v>
      </c>
      <c r="Y671" s="706">
        <v>16</v>
      </c>
      <c r="Z671" s="706">
        <v>21</v>
      </c>
      <c r="AA671" s="706">
        <v>23</v>
      </c>
      <c r="AB671" s="706">
        <v>29</v>
      </c>
      <c r="AC671" s="706">
        <v>31</v>
      </c>
      <c r="AD671" s="706">
        <v>31</v>
      </c>
      <c r="AE671" s="706">
        <v>0</v>
      </c>
      <c r="AF671" s="706">
        <v>0</v>
      </c>
      <c r="AG671" s="706">
        <v>0</v>
      </c>
      <c r="AH671" s="706">
        <v>4</v>
      </c>
      <c r="AI671" s="706">
        <v>4</v>
      </c>
      <c r="AJ671" s="905" t="str">
        <f t="shared" si="68"/>
        <v>G44503</v>
      </c>
      <c r="AK671" s="905" t="str">
        <f t="shared" si="69"/>
        <v>V.TEINTÉE-PEINTURE-TISSUS</v>
      </c>
      <c r="AL671" s="905">
        <f>IFERROR(INDEX(G671:R671,1,MATCH(Parametres!$B$3,G$1:R$1,0)-1)*IF(OR(F671="L",F671="S",F671="I"),-1,1),"")</f>
        <v>-18403</v>
      </c>
      <c r="AM671" s="905">
        <f t="shared" si="70"/>
        <v>-520</v>
      </c>
      <c r="AN671" s="905">
        <f>INDEX(G671:R671,1,MATCH(Parametres!$B$3,G$1:R$1,0))*IF(OR(F671="L",F671="S",F671="I"),-1,1)</f>
        <v>-18923</v>
      </c>
      <c r="AO671" s="487" t="str">
        <f>+VLOOKUP($AJ671,Data_Validation!$A:$D,1,0)</f>
        <v>G44503</v>
      </c>
      <c r="AP671" s="487" t="str">
        <f>+VLOOKUP($AJ671,Data_Validation!$A:$D,3,0)</f>
        <v>Véhicules neufs</v>
      </c>
      <c r="AQ671" s="487" t="str">
        <f>+VLOOKUP($AJ671,Data_Validation!$A:$D,4,0)</f>
        <v>Rev. Autres</v>
      </c>
      <c r="AR671" s="487" t="s">
        <v>299</v>
      </c>
      <c r="AS671" s="487" t="str">
        <f>+VLOOKUP($AJ671,Data_Validation!$A:$E,5,0)</f>
        <v>Oui</v>
      </c>
      <c r="AT671" s="904" t="str">
        <f t="shared" si="71"/>
        <v>G44503</v>
      </c>
      <c r="AU671" s="488" t="str">
        <f t="shared" si="72"/>
        <v>V.TEINTÉE-PEINTURE-TISSUS</v>
      </c>
      <c r="AV671" s="899">
        <f>IFERROR(INDEX(V671:AG671,1,MATCH(Parametres!$B$3,V$1:AG$1,0)-1)*IF(OR(C671="L",C671="S",C671="I"),-1,1),"")</f>
        <v>29</v>
      </c>
      <c r="AW671" s="899">
        <f t="shared" si="73"/>
        <v>2</v>
      </c>
      <c r="AX671" s="899">
        <f>INDEX(V671:AG671,1,MATCH(Parametres!$B$3,V$1:AG$1,0))*IF(OR(C671="L",C671="S",C671="I"),-1,1)</f>
        <v>31</v>
      </c>
      <c r="AY671" s="487" t="s">
        <v>337</v>
      </c>
      <c r="AZ671" s="487" t="str">
        <f>+VLOOKUP($AJ671,Data_Validation!$A:$E,5,0)</f>
        <v>Oui</v>
      </c>
    </row>
    <row r="672" spans="1:52" ht="15" hidden="1" customHeight="1">
      <c r="A672" s="706" t="s">
        <v>1148</v>
      </c>
      <c r="B672" s="706">
        <v>2026</v>
      </c>
      <c r="C672" s="706" t="s">
        <v>2388</v>
      </c>
      <c r="D672" s="706" t="s">
        <v>2389</v>
      </c>
      <c r="E672" s="706" t="s">
        <v>333</v>
      </c>
      <c r="F672" s="706" t="s">
        <v>1149</v>
      </c>
      <c r="G672" s="706">
        <v>0</v>
      </c>
      <c r="H672" s="706">
        <v>4605</v>
      </c>
      <c r="I672" s="706">
        <v>7706.34</v>
      </c>
      <c r="J672" s="706">
        <v>10823.34</v>
      </c>
      <c r="K672" s="706">
        <v>10823.34</v>
      </c>
      <c r="L672" s="706">
        <v>10823.34</v>
      </c>
      <c r="M672" s="706">
        <v>14163.34</v>
      </c>
      <c r="N672" s="706">
        <v>14163.34</v>
      </c>
      <c r="O672" s="706">
        <v>14163.34</v>
      </c>
      <c r="P672" s="706">
        <v>0</v>
      </c>
      <c r="Q672" s="706">
        <v>0</v>
      </c>
      <c r="R672" s="706">
        <v>0</v>
      </c>
      <c r="S672" s="706">
        <v>1770.42</v>
      </c>
      <c r="T672" s="706">
        <v>1770.42</v>
      </c>
      <c r="U672" s="706">
        <v>0</v>
      </c>
      <c r="V672" s="706">
        <v>0</v>
      </c>
      <c r="W672" s="706">
        <v>2</v>
      </c>
      <c r="X672" s="706">
        <v>4</v>
      </c>
      <c r="Y672" s="706">
        <v>5</v>
      </c>
      <c r="Z672" s="706">
        <v>5</v>
      </c>
      <c r="AA672" s="706">
        <v>5</v>
      </c>
      <c r="AB672" s="706">
        <v>6</v>
      </c>
      <c r="AC672" s="706">
        <v>6</v>
      </c>
      <c r="AD672" s="706">
        <v>6</v>
      </c>
      <c r="AE672" s="706">
        <v>0</v>
      </c>
      <c r="AF672" s="706">
        <v>0</v>
      </c>
      <c r="AG672" s="706">
        <v>0</v>
      </c>
      <c r="AH672" s="706">
        <v>1</v>
      </c>
      <c r="AI672" s="706">
        <v>1</v>
      </c>
      <c r="AJ672" s="905" t="str">
        <f t="shared" si="68"/>
        <v>G44504</v>
      </c>
      <c r="AK672" s="905" t="str">
        <f t="shared" si="69"/>
        <v>VTES-ASS. VALEUR REMPL</v>
      </c>
      <c r="AL672" s="905">
        <f>IFERROR(INDEX(G672:R672,1,MATCH(Parametres!$B$3,G$1:R$1,0)-1)*IF(OR(F672="L",F672="S",F672="I"),-1,1),"")</f>
        <v>-14163.34</v>
      </c>
      <c r="AM672" s="905">
        <f t="shared" si="70"/>
        <v>0</v>
      </c>
      <c r="AN672" s="905">
        <f>INDEX(G672:R672,1,MATCH(Parametres!$B$3,G$1:R$1,0))*IF(OR(F672="L",F672="S",F672="I"),-1,1)</f>
        <v>-14163.34</v>
      </c>
      <c r="AO672" s="487" t="str">
        <f>+VLOOKUP($AJ672,Data_Validation!$A:$D,1,0)</f>
        <v>G44504</v>
      </c>
      <c r="AP672" s="487" t="str">
        <f>+VLOOKUP($AJ672,Data_Validation!$A:$D,3,0)</f>
        <v>Véhicules neufs</v>
      </c>
      <c r="AQ672" s="487" t="str">
        <f>+VLOOKUP($AJ672,Data_Validation!$A:$D,4,0)</f>
        <v>Rev. Protections</v>
      </c>
      <c r="AR672" s="487" t="s">
        <v>299</v>
      </c>
      <c r="AS672" s="487" t="str">
        <f>+VLOOKUP($AJ672,Data_Validation!$A:$E,5,0)</f>
        <v>Oui</v>
      </c>
      <c r="AT672" s="904" t="str">
        <f t="shared" si="71"/>
        <v>G44504</v>
      </c>
      <c r="AU672" s="488" t="str">
        <f t="shared" si="72"/>
        <v>VTES-ASS. VALEUR REMPL</v>
      </c>
      <c r="AV672" s="899">
        <f>IFERROR(INDEX(V672:AG672,1,MATCH(Parametres!$B$3,V$1:AG$1,0)-1)*IF(OR(C672="L",C672="S",C672="I"),-1,1),"")</f>
        <v>6</v>
      </c>
      <c r="AW672" s="899">
        <f t="shared" si="73"/>
        <v>0</v>
      </c>
      <c r="AX672" s="899">
        <f>INDEX(V672:AG672,1,MATCH(Parametres!$B$3,V$1:AG$1,0))*IF(OR(C672="L",C672="S",C672="I"),-1,1)</f>
        <v>6</v>
      </c>
      <c r="AY672" s="487" t="s">
        <v>337</v>
      </c>
      <c r="AZ672" s="487" t="str">
        <f>+VLOOKUP($AJ672,Data_Validation!$A:$E,5,0)</f>
        <v>Oui</v>
      </c>
    </row>
    <row r="673" spans="1:52" ht="15" hidden="1" customHeight="1">
      <c r="A673" s="706" t="s">
        <v>1148</v>
      </c>
      <c r="B673" s="706">
        <v>2026</v>
      </c>
      <c r="C673" s="706" t="s">
        <v>2390</v>
      </c>
      <c r="D673" s="706" t="s">
        <v>2391</v>
      </c>
      <c r="E673" s="706" t="s">
        <v>333</v>
      </c>
      <c r="F673" s="706" t="s">
        <v>1149</v>
      </c>
      <c r="G673" s="706">
        <v>3025</v>
      </c>
      <c r="H673" s="706">
        <v>6180</v>
      </c>
      <c r="I673" s="706">
        <v>10433</v>
      </c>
      <c r="J673" s="706">
        <v>14488</v>
      </c>
      <c r="K673" s="706">
        <v>16883</v>
      </c>
      <c r="L673" s="706">
        <v>18779</v>
      </c>
      <c r="M673" s="706">
        <v>23769</v>
      </c>
      <c r="N673" s="706">
        <v>26763</v>
      </c>
      <c r="O673" s="706">
        <v>26763</v>
      </c>
      <c r="P673" s="706">
        <v>0</v>
      </c>
      <c r="Q673" s="706">
        <v>0</v>
      </c>
      <c r="R673" s="706">
        <v>0</v>
      </c>
      <c r="S673" s="706">
        <v>3345.38</v>
      </c>
      <c r="T673" s="706">
        <v>3345.38</v>
      </c>
      <c r="U673" s="706">
        <v>0</v>
      </c>
      <c r="V673" s="706">
        <v>6</v>
      </c>
      <c r="W673" s="706">
        <v>13</v>
      </c>
      <c r="X673" s="706">
        <v>22</v>
      </c>
      <c r="Y673" s="706">
        <v>29</v>
      </c>
      <c r="Z673" s="706">
        <v>34</v>
      </c>
      <c r="AA673" s="706">
        <v>38</v>
      </c>
      <c r="AB673" s="706">
        <v>48</v>
      </c>
      <c r="AC673" s="706">
        <v>54</v>
      </c>
      <c r="AD673" s="706">
        <v>54</v>
      </c>
      <c r="AE673" s="706">
        <v>0</v>
      </c>
      <c r="AF673" s="706">
        <v>0</v>
      </c>
      <c r="AG673" s="706">
        <v>0</v>
      </c>
      <c r="AH673" s="706">
        <v>7</v>
      </c>
      <c r="AI673" s="706">
        <v>7</v>
      </c>
      <c r="AJ673" s="905" t="str">
        <f t="shared" si="68"/>
        <v>G44505</v>
      </c>
      <c r="AK673" s="905" t="str">
        <f t="shared" si="69"/>
        <v>VENTES-ANTIVOL &amp; TAG</v>
      </c>
      <c r="AL673" s="905">
        <f>IFERROR(INDEX(G673:R673,1,MATCH(Parametres!$B$3,G$1:R$1,0)-1)*IF(OR(F673="L",F673="S",F673="I"),-1,1),"")</f>
        <v>-23769</v>
      </c>
      <c r="AM673" s="905">
        <f t="shared" si="70"/>
        <v>-2994</v>
      </c>
      <c r="AN673" s="905">
        <f>INDEX(G673:R673,1,MATCH(Parametres!$B$3,G$1:R$1,0))*IF(OR(F673="L",F673="S",F673="I"),-1,1)</f>
        <v>-26763</v>
      </c>
      <c r="AO673" s="487" t="str">
        <f>+VLOOKUP($AJ673,Data_Validation!$A:$D,1,0)</f>
        <v>G44505</v>
      </c>
      <c r="AP673" s="487" t="str">
        <f>+VLOOKUP($AJ673,Data_Validation!$A:$D,3,0)</f>
        <v>Véhicules neufs</v>
      </c>
      <c r="AQ673" s="487" t="str">
        <f>+VLOOKUP($AJ673,Data_Validation!$A:$D,4,0)</f>
        <v>Rev. Autres</v>
      </c>
      <c r="AR673" s="487" t="s">
        <v>299</v>
      </c>
      <c r="AS673" s="487" t="str">
        <f>+VLOOKUP($AJ673,Data_Validation!$A:$E,5,0)</f>
        <v>Oui</v>
      </c>
      <c r="AT673" s="904" t="str">
        <f t="shared" si="71"/>
        <v>G44505</v>
      </c>
      <c r="AU673" s="488" t="str">
        <f t="shared" si="72"/>
        <v>VENTES-ANTIVOL &amp; TAG</v>
      </c>
      <c r="AV673" s="899">
        <f>IFERROR(INDEX(V673:AG673,1,MATCH(Parametres!$B$3,V$1:AG$1,0)-1)*IF(OR(C673="L",C673="S",C673="I"),-1,1),"")</f>
        <v>48</v>
      </c>
      <c r="AW673" s="899">
        <f t="shared" si="73"/>
        <v>6</v>
      </c>
      <c r="AX673" s="899">
        <f>INDEX(V673:AG673,1,MATCH(Parametres!$B$3,V$1:AG$1,0))*IF(OR(C673="L",C673="S",C673="I"),-1,1)</f>
        <v>54</v>
      </c>
      <c r="AY673" s="487" t="s">
        <v>337</v>
      </c>
      <c r="AZ673" s="487" t="str">
        <f>+VLOOKUP($AJ673,Data_Validation!$A:$E,5,0)</f>
        <v>Oui</v>
      </c>
    </row>
    <row r="674" spans="1:52" ht="15" hidden="1" customHeight="1">
      <c r="A674" s="706" t="s">
        <v>1148</v>
      </c>
      <c r="B674" s="706">
        <v>2026</v>
      </c>
      <c r="C674" s="706" t="s">
        <v>2392</v>
      </c>
      <c r="D674" s="706" t="s">
        <v>2393</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G44600</v>
      </c>
      <c r="AK674" s="905" t="str">
        <f t="shared" si="69"/>
        <v>VTES-AUTOS OCC. DET.OPT.</v>
      </c>
      <c r="AL674" s="905">
        <f>IFERROR(INDEX(G674:R674,1,MATCH(Parametres!$B$3,G$1:R$1,0)-1)*IF(OR(F674="L",F674="S",F674="I"),-1,1),"")</f>
        <v>0</v>
      </c>
      <c r="AM674" s="905">
        <f t="shared" si="70"/>
        <v>0</v>
      </c>
      <c r="AN674" s="905">
        <f>INDEX(G674:R674,1,MATCH(Parametres!$B$3,G$1:R$1,0))*IF(OR(F674="L",F674="S",F674="I"),-1,1)</f>
        <v>0</v>
      </c>
      <c r="AO674" s="487" t="str">
        <f>+VLOOKUP($AJ674,Data_Validation!$A:$D,1,0)</f>
        <v>G44600</v>
      </c>
      <c r="AP674" s="487" t="str">
        <f>+VLOOKUP($AJ674,Data_Validation!$A:$D,3,0)</f>
        <v>Véhicules usagés</v>
      </c>
      <c r="AQ674" s="487" t="str">
        <f>+VLOOKUP($AJ674,Data_Validation!$A:$D,4,0)</f>
        <v>Certifié</v>
      </c>
      <c r="AR674" s="487" t="s">
        <v>299</v>
      </c>
      <c r="AS674" s="487" t="str">
        <f>+VLOOKUP($AJ674,Data_Validation!$A:$E,5,0)</f>
        <v>Oui</v>
      </c>
      <c r="AT674" s="904" t="str">
        <f t="shared" si="71"/>
        <v>G44600</v>
      </c>
      <c r="AU674" s="488" t="str">
        <f t="shared" si="72"/>
        <v>VTES-AUTOS OCC. DET.OPT.</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hidden="1" customHeight="1">
      <c r="A675" s="706" t="s">
        <v>1148</v>
      </c>
      <c r="B675" s="706">
        <v>2026</v>
      </c>
      <c r="C675" s="706" t="s">
        <v>2394</v>
      </c>
      <c r="D675" s="706" t="s">
        <v>3335</v>
      </c>
      <c r="E675" s="706" t="s">
        <v>1149</v>
      </c>
      <c r="F675" s="706" t="s">
        <v>1149</v>
      </c>
      <c r="G675" s="706">
        <v>94496</v>
      </c>
      <c r="H675" s="706">
        <v>154194</v>
      </c>
      <c r="I675" s="706">
        <v>200681</v>
      </c>
      <c r="J675" s="706">
        <v>304926</v>
      </c>
      <c r="K675" s="706">
        <v>408239.48</v>
      </c>
      <c r="L675" s="706">
        <v>495214.48</v>
      </c>
      <c r="M675" s="706">
        <v>643307.48</v>
      </c>
      <c r="N675" s="706">
        <v>657154.48</v>
      </c>
      <c r="O675" s="706">
        <v>657154.48</v>
      </c>
      <c r="P675" s="706">
        <v>0</v>
      </c>
      <c r="Q675" s="706">
        <v>0</v>
      </c>
      <c r="R675" s="706">
        <v>0</v>
      </c>
      <c r="S675" s="706">
        <v>82144.31</v>
      </c>
      <c r="T675" s="706">
        <v>82144.31</v>
      </c>
      <c r="U675" s="706">
        <v>0</v>
      </c>
      <c r="V675" s="706">
        <v>2</v>
      </c>
      <c r="W675" s="706">
        <v>4</v>
      </c>
      <c r="X675" s="706">
        <v>6</v>
      </c>
      <c r="Y675" s="706">
        <v>8</v>
      </c>
      <c r="Z675" s="706">
        <v>14</v>
      </c>
      <c r="AA675" s="706">
        <v>15</v>
      </c>
      <c r="AB675" s="706">
        <v>20</v>
      </c>
      <c r="AC675" s="706">
        <v>21</v>
      </c>
      <c r="AD675" s="706">
        <v>21</v>
      </c>
      <c r="AE675" s="706">
        <v>0</v>
      </c>
      <c r="AF675" s="706">
        <v>0</v>
      </c>
      <c r="AG675" s="706">
        <v>0</v>
      </c>
      <c r="AH675" s="706">
        <v>3</v>
      </c>
      <c r="AI675" s="706">
        <v>3</v>
      </c>
      <c r="AJ675" s="905" t="str">
        <f t="shared" si="68"/>
        <v>G44601</v>
      </c>
      <c r="AK675" s="905" t="str">
        <f t="shared" si="69"/>
        <v>VTES-VOIT.OCC.GM N-CERT</v>
      </c>
      <c r="AL675" s="905">
        <f>IFERROR(INDEX(G675:R675,1,MATCH(Parametres!$B$3,G$1:R$1,0)-1)*IF(OR(F675="L",F675="S",F675="I"),-1,1),"")</f>
        <v>-643307.48</v>
      </c>
      <c r="AM675" s="905">
        <f t="shared" si="70"/>
        <v>-13847</v>
      </c>
      <c r="AN675" s="905">
        <f>INDEX(G675:R675,1,MATCH(Parametres!$B$3,G$1:R$1,0))*IF(OR(F675="L",F675="S",F675="I"),-1,1)</f>
        <v>-657154.48</v>
      </c>
      <c r="AO675" s="487" t="str">
        <f>+VLOOKUP($AJ675,Data_Validation!$A:$D,1,0)</f>
        <v>G44601</v>
      </c>
      <c r="AP675" s="487" t="str">
        <f>+VLOOKUP($AJ675,Data_Validation!$A:$D,3,0)</f>
        <v>Véhicules usagés</v>
      </c>
      <c r="AQ675" s="487" t="str">
        <f>+VLOOKUP($AJ675,Data_Validation!$A:$D,4,0)</f>
        <v>Non Certifié</v>
      </c>
      <c r="AR675" s="487" t="s">
        <v>299</v>
      </c>
      <c r="AS675" s="487" t="str">
        <f>+VLOOKUP($AJ675,Data_Validation!$A:$E,5,0)</f>
        <v>Oui</v>
      </c>
      <c r="AT675" s="904" t="str">
        <f t="shared" si="71"/>
        <v>G44601</v>
      </c>
      <c r="AU675" s="488" t="str">
        <f t="shared" si="72"/>
        <v>VTES-VOIT.OCC.GM N-CERT</v>
      </c>
      <c r="AV675" s="899">
        <f>IFERROR(INDEX(V675:AG675,1,MATCH(Parametres!$B$3,V$1:AG$1,0)-1)*IF(OR(C675="L",C675="S",C675="I"),-1,1),"")</f>
        <v>20</v>
      </c>
      <c r="AW675" s="899">
        <f t="shared" si="73"/>
        <v>1</v>
      </c>
      <c r="AX675" s="899">
        <f>INDEX(V675:AG675,1,MATCH(Parametres!$B$3,V$1:AG$1,0))*IF(OR(C675="L",C675="S",C675="I"),-1,1)</f>
        <v>21</v>
      </c>
      <c r="AY675" s="487" t="s">
        <v>337</v>
      </c>
      <c r="AZ675" s="487" t="str">
        <f>+VLOOKUP($AJ675,Data_Validation!$A:$E,5,0)</f>
        <v>Oui</v>
      </c>
    </row>
    <row r="676" spans="1:52" ht="15" hidden="1" customHeight="1">
      <c r="A676" s="706" t="s">
        <v>1148</v>
      </c>
      <c r="B676" s="706">
        <v>2026</v>
      </c>
      <c r="C676" s="706" t="s">
        <v>3336</v>
      </c>
      <c r="D676" s="706" t="s">
        <v>3337</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G44602</v>
      </c>
      <c r="AK676" s="905" t="str">
        <f t="shared" si="69"/>
        <v>VTES-AUTO AUTRE MARQ</v>
      </c>
      <c r="AL676" s="905">
        <f>IFERROR(INDEX(G676:R676,1,MATCH(Parametres!$B$3,G$1:R$1,0)-1)*IF(OR(F676="L",F676="S",F676="I"),-1,1),"")</f>
        <v>0</v>
      </c>
      <c r="AM676" s="905">
        <f t="shared" si="70"/>
        <v>0</v>
      </c>
      <c r="AN676" s="905">
        <f>INDEX(G676:R676,1,MATCH(Parametres!$B$3,G$1:R$1,0))*IF(OR(F676="L",F676="S",F676="I"),-1,1)</f>
        <v>0</v>
      </c>
      <c r="AO676" s="487" t="str">
        <f>+VLOOKUP($AJ676,Data_Validation!$A:$D,1,0)</f>
        <v>G44602</v>
      </c>
      <c r="AP676" s="487" t="str">
        <f>+VLOOKUP($AJ676,Data_Validation!$A:$D,3,0)</f>
        <v>Véhicules usagés</v>
      </c>
      <c r="AQ676" s="487" t="str">
        <f>+VLOOKUP($AJ676,Data_Validation!$A:$D,4,0)</f>
        <v>Autres Marques</v>
      </c>
      <c r="AR676" s="487" t="s">
        <v>299</v>
      </c>
      <c r="AS676" s="487">
        <f>+VLOOKUP($AJ676,Data_Validation!$A:$E,5,0)</f>
        <v>0</v>
      </c>
      <c r="AT676" s="904" t="str">
        <f t="shared" si="71"/>
        <v>G44602</v>
      </c>
      <c r="AU676" s="488" t="str">
        <f t="shared" si="72"/>
        <v>VTES-AUTO AUTRE MARQ</v>
      </c>
      <c r="AV676" s="899">
        <f>IFERROR(INDEX(V676:AG676,1,MATCH(Parametres!$B$3,V$1:AG$1,0)-1)*IF(OR(C676="L",C676="S",C676="I"),-1,1),"")</f>
        <v>0</v>
      </c>
      <c r="AW676" s="899">
        <f t="shared" si="73"/>
        <v>0</v>
      </c>
      <c r="AX676" s="899">
        <f>INDEX(V676:AG676,1,MATCH(Parametres!$B$3,V$1:AG$1,0))*IF(OR(C676="L",C676="S",C676="I"),-1,1)</f>
        <v>0</v>
      </c>
      <c r="AY676" s="487" t="s">
        <v>337</v>
      </c>
      <c r="AZ676" s="487">
        <f>+VLOOKUP($AJ676,Data_Validation!$A:$E,5,0)</f>
        <v>0</v>
      </c>
    </row>
    <row r="677" spans="1:52" ht="15" hidden="1" customHeight="1">
      <c r="A677" s="706" t="s">
        <v>1148</v>
      </c>
      <c r="B677" s="706">
        <v>2026</v>
      </c>
      <c r="C677" s="706" t="s">
        <v>3145</v>
      </c>
      <c r="D677" s="706" t="s">
        <v>3146</v>
      </c>
      <c r="E677" s="706" t="s">
        <v>1149</v>
      </c>
      <c r="F677" s="706" t="s">
        <v>1149</v>
      </c>
      <c r="G677" s="706">
        <v>0</v>
      </c>
      <c r="H677" s="706">
        <v>0</v>
      </c>
      <c r="I677" s="706">
        <v>0</v>
      </c>
      <c r="J677" s="706">
        <v>0</v>
      </c>
      <c r="K677" s="706">
        <v>0</v>
      </c>
      <c r="L677" s="706">
        <v>7217.34</v>
      </c>
      <c r="M677" s="706">
        <v>7217.34</v>
      </c>
      <c r="N677" s="706">
        <v>7217.34</v>
      </c>
      <c r="O677" s="706">
        <v>7217.34</v>
      </c>
      <c r="P677" s="706">
        <v>0</v>
      </c>
      <c r="Q677" s="706">
        <v>0</v>
      </c>
      <c r="R677" s="706">
        <v>0</v>
      </c>
      <c r="S677" s="706">
        <v>902.17</v>
      </c>
      <c r="T677" s="706">
        <v>902.17</v>
      </c>
      <c r="U677" s="706">
        <v>0</v>
      </c>
      <c r="V677" s="706">
        <v>0</v>
      </c>
      <c r="W677" s="706">
        <v>0</v>
      </c>
      <c r="X677" s="706">
        <v>0</v>
      </c>
      <c r="Y677" s="706">
        <v>0</v>
      </c>
      <c r="Z677" s="706">
        <v>0</v>
      </c>
      <c r="AA677" s="706">
        <v>1</v>
      </c>
      <c r="AB677" s="706">
        <v>1</v>
      </c>
      <c r="AC677" s="706">
        <v>1</v>
      </c>
      <c r="AD677" s="706">
        <v>1</v>
      </c>
      <c r="AE677" s="706">
        <v>0</v>
      </c>
      <c r="AF677" s="706">
        <v>0</v>
      </c>
      <c r="AG677" s="706">
        <v>0</v>
      </c>
      <c r="AH677" s="706">
        <v>0</v>
      </c>
      <c r="AI677" s="706">
        <v>0</v>
      </c>
      <c r="AJ677" s="905" t="str">
        <f t="shared" si="68"/>
        <v>G44603</v>
      </c>
      <c r="AK677" s="905" t="str">
        <f t="shared" si="69"/>
        <v>VTES-RACHAT BAIL AUTO</v>
      </c>
      <c r="AL677" s="905">
        <f>IFERROR(INDEX(G677:R677,1,MATCH(Parametres!$B$3,G$1:R$1,0)-1)*IF(OR(F677="L",F677="S",F677="I"),-1,1),"")</f>
        <v>-7217.34</v>
      </c>
      <c r="AM677" s="905">
        <f t="shared" si="70"/>
        <v>0</v>
      </c>
      <c r="AN677" s="905">
        <f>INDEX(G677:R677,1,MATCH(Parametres!$B$3,G$1:R$1,0))*IF(OR(F677="L",F677="S",F677="I"),-1,1)</f>
        <v>-7217.34</v>
      </c>
      <c r="AO677" s="487" t="str">
        <f>+VLOOKUP($AJ677,Data_Validation!$A:$D,1,0)</f>
        <v>G44603</v>
      </c>
      <c r="AP677" s="487">
        <f>+VLOOKUP($AJ677,Data_Validation!$A:$D,3,0)</f>
        <v>0</v>
      </c>
      <c r="AQ677" s="487">
        <f>+VLOOKUP($AJ677,Data_Validation!$A:$D,4,0)</f>
        <v>0</v>
      </c>
      <c r="AR677" s="487" t="s">
        <v>299</v>
      </c>
      <c r="AS677" s="487">
        <f>+VLOOKUP($AJ677,Data_Validation!$A:$E,5,0)</f>
        <v>0</v>
      </c>
      <c r="AT677" s="904" t="str">
        <f t="shared" si="71"/>
        <v>G44603</v>
      </c>
      <c r="AU677" s="488" t="str">
        <f t="shared" si="72"/>
        <v>VTES-RACHAT BAIL AUTO</v>
      </c>
      <c r="AV677" s="899">
        <f>IFERROR(INDEX(V677:AG677,1,MATCH(Parametres!$B$3,V$1:AG$1,0)-1)*IF(OR(C677="L",C677="S",C677="I"),-1,1),"")</f>
        <v>1</v>
      </c>
      <c r="AW677" s="899">
        <f t="shared" si="73"/>
        <v>0</v>
      </c>
      <c r="AX677" s="899">
        <f>INDEX(V677:AG677,1,MATCH(Parametres!$B$3,V$1:AG$1,0))*IF(OR(C677="L",C677="S",C677="I"),-1,1)</f>
        <v>1</v>
      </c>
      <c r="AY677" s="487" t="s">
        <v>337</v>
      </c>
      <c r="AZ677" s="487">
        <f>+VLOOKUP($AJ677,Data_Validation!$A:$E,5,0)</f>
        <v>0</v>
      </c>
    </row>
    <row r="678" spans="1:52" ht="15" hidden="1" customHeight="1">
      <c r="A678" s="706" t="s">
        <v>1148</v>
      </c>
      <c r="B678" s="706">
        <v>2026</v>
      </c>
      <c r="C678" s="706" t="s">
        <v>2396</v>
      </c>
      <c r="D678" s="706" t="s">
        <v>2397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G44620</v>
      </c>
      <c r="AK678" s="905" t="str">
        <f t="shared" si="69"/>
        <v>VTES-LOC AUTOS USAGE OPT.</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G44620</v>
      </c>
      <c r="AU678" s="488" t="str">
        <f t="shared" si="72"/>
        <v>VTES-LOC AUTOS USAGE OPT.</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2398</v>
      </c>
      <c r="D679" s="706" t="s">
        <v>2399</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G44700</v>
      </c>
      <c r="AK679" s="905" t="str">
        <f t="shared" si="69"/>
        <v>*REM.NEUF VOITURE DET.OPT</v>
      </c>
      <c r="AL679" s="905">
        <f>IFERROR(INDEX(G679:R679,1,MATCH(Parametres!$B$3,G$1:R$1,0)-1)*IF(OR(F679="L",F679="S",F679="I"),-1,1),"")</f>
        <v>0</v>
      </c>
      <c r="AM679" s="905">
        <f t="shared" si="70"/>
        <v>0</v>
      </c>
      <c r="AN679" s="905">
        <f>INDEX(G679:R679,1,MATCH(Parametres!$B$3,G$1:R$1,0))*IF(OR(F679="L",F679="S",F679="I"),-1,1)</f>
        <v>0</v>
      </c>
      <c r="AO679" s="487" t="str">
        <f>+VLOOKUP($AJ679,Data_Validation!$A:$D,1,0)</f>
        <v>G44700</v>
      </c>
      <c r="AP679" s="487">
        <f>+VLOOKUP($AJ679,Data_Validation!$A:$D,3,0)</f>
        <v>0</v>
      </c>
      <c r="AQ679" s="487">
        <f>+VLOOKUP($AJ679,Data_Validation!$A:$D,4,0)</f>
        <v>0</v>
      </c>
      <c r="AR679" s="487" t="s">
        <v>299</v>
      </c>
      <c r="AS679" s="487">
        <f>+VLOOKUP($AJ679,Data_Validation!$A:$E,5,0)</f>
        <v>0</v>
      </c>
      <c r="AT679" s="904" t="str">
        <f t="shared" si="71"/>
        <v>G44700</v>
      </c>
      <c r="AU679" s="488" t="str">
        <f t="shared" si="72"/>
        <v>*REM.NEUF VOITURE DET.OPT</v>
      </c>
      <c r="AV679" s="899">
        <f>IFERROR(INDEX(V679:AG679,1,MATCH(Parametres!$B$3,V$1:AG$1,0)-1)*IF(OR(C679="L",C679="S",C679="I"),-1,1),"")</f>
        <v>0</v>
      </c>
      <c r="AW679" s="899">
        <f t="shared" si="73"/>
        <v>0</v>
      </c>
      <c r="AX679" s="899">
        <f>INDEX(V679:AG679,1,MATCH(Parametres!$B$3,V$1:AG$1,0))*IF(OR(C679="L",C679="S",C679="I"),-1,1)</f>
        <v>0</v>
      </c>
      <c r="AY679" s="487" t="s">
        <v>337</v>
      </c>
      <c r="AZ679" s="487">
        <f>+VLOOKUP($AJ679,Data_Validation!$A:$E,5,0)</f>
        <v>0</v>
      </c>
    </row>
    <row r="680" spans="1:52" ht="15" hidden="1" customHeight="1">
      <c r="A680" s="706" t="s">
        <v>1148</v>
      </c>
      <c r="B680" s="706">
        <v>2026</v>
      </c>
      <c r="C680" s="706" t="s">
        <v>2400</v>
      </c>
      <c r="D680" s="706" t="s">
        <v>2401</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G44701</v>
      </c>
      <c r="AK680" s="905" t="str">
        <f t="shared" si="69"/>
        <v>*REM.NEUF VOIT.DET.AUTRES</v>
      </c>
      <c r="AL680" s="905">
        <f>IFERROR(INDEX(G680:R680,1,MATCH(Parametres!$B$3,G$1:R$1,0)-1)*IF(OR(F680="L",F680="S",F680="I"),-1,1),"")</f>
        <v>0</v>
      </c>
      <c r="AM680" s="905">
        <f t="shared" si="70"/>
        <v>0</v>
      </c>
      <c r="AN680" s="905">
        <f>INDEX(G680:R680,1,MATCH(Parametres!$B$3,G$1:R$1,0))*IF(OR(F680="L",F680="S",F680="I"),-1,1)</f>
        <v>0</v>
      </c>
      <c r="AO680" s="487" t="str">
        <f>+VLOOKUP($AJ680,Data_Validation!$A:$D,1,0)</f>
        <v>G44701</v>
      </c>
      <c r="AP680" s="487">
        <f>+VLOOKUP($AJ680,Data_Validation!$A:$D,3,0)</f>
        <v>0</v>
      </c>
      <c r="AQ680" s="487">
        <f>+VLOOKUP($AJ680,Data_Validation!$A:$D,4,0)</f>
        <v>0</v>
      </c>
      <c r="AR680" s="487" t="s">
        <v>299</v>
      </c>
      <c r="AS680" s="487">
        <f>+VLOOKUP($AJ680,Data_Validation!$A:$E,5,0)</f>
        <v>0</v>
      </c>
      <c r="AT680" s="904" t="str">
        <f t="shared" si="71"/>
        <v>G44701</v>
      </c>
      <c r="AU680" s="488" t="str">
        <f t="shared" si="72"/>
        <v>*REM.NEUF VOIT.DET.AUTRES</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hidden="1" customHeight="1">
      <c r="A681" s="706" t="s">
        <v>1148</v>
      </c>
      <c r="B681" s="706">
        <v>2026</v>
      </c>
      <c r="C681" s="706" t="s">
        <v>2402</v>
      </c>
      <c r="D681" s="706" t="s">
        <v>2403</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G44720</v>
      </c>
      <c r="AK681" s="905" t="str">
        <f t="shared" si="69"/>
        <v>*REM.NEUF LOC.AUTO DET.OP</v>
      </c>
      <c r="AL681" s="905">
        <f>IFERROR(INDEX(G681:R681,1,MATCH(Parametres!$B$3,G$1:R$1,0)-1)*IF(OR(F681="L",F681="S",F681="I"),-1,1),"")</f>
        <v>0</v>
      </c>
      <c r="AM681" s="905">
        <f t="shared" si="70"/>
        <v>0</v>
      </c>
      <c r="AN681" s="905">
        <f>INDEX(G681:R681,1,MATCH(Parametres!$B$3,G$1:R$1,0))*IF(OR(F681="L",F681="S",F681="I"),-1,1)</f>
        <v>0</v>
      </c>
      <c r="AO681" s="487" t="str">
        <f>+VLOOKUP($AJ681,Data_Validation!$A:$D,1,0)</f>
        <v>G44720</v>
      </c>
      <c r="AP681" s="487">
        <f>+VLOOKUP($AJ681,Data_Validation!$A:$D,3,0)</f>
        <v>0</v>
      </c>
      <c r="AQ681" s="487">
        <f>+VLOOKUP($AJ681,Data_Validation!$A:$D,4,0)</f>
        <v>0</v>
      </c>
      <c r="AR681" s="487" t="s">
        <v>299</v>
      </c>
      <c r="AS681" s="487">
        <f>+VLOOKUP($AJ681,Data_Validation!$A:$E,5,0)</f>
        <v>0</v>
      </c>
      <c r="AT681" s="904" t="str">
        <f t="shared" si="71"/>
        <v>G44720</v>
      </c>
      <c r="AU681" s="488" t="str">
        <f t="shared" si="72"/>
        <v>*REM.NEUF LOC.AUTO DET.OP</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2404</v>
      </c>
      <c r="D682" s="706" t="s">
        <v>2405</v>
      </c>
      <c r="E682" s="706" t="s">
        <v>1149</v>
      </c>
      <c r="F682" s="706" t="s">
        <v>1149</v>
      </c>
      <c r="G682" s="706">
        <v>7950</v>
      </c>
      <c r="H682" s="706">
        <v>123560</v>
      </c>
      <c r="I682" s="706">
        <v>323591</v>
      </c>
      <c r="J682" s="706">
        <v>421541</v>
      </c>
      <c r="K682" s="706">
        <v>370508</v>
      </c>
      <c r="L682" s="706">
        <v>464008</v>
      </c>
      <c r="M682" s="706">
        <v>505648</v>
      </c>
      <c r="N682" s="706">
        <v>599399</v>
      </c>
      <c r="O682" s="706">
        <v>599399</v>
      </c>
      <c r="P682" s="706">
        <v>0</v>
      </c>
      <c r="Q682" s="706">
        <v>0</v>
      </c>
      <c r="R682" s="706">
        <v>0</v>
      </c>
      <c r="S682" s="706">
        <v>74924.88</v>
      </c>
      <c r="T682" s="706">
        <v>74924.88</v>
      </c>
      <c r="U682" s="706">
        <v>0</v>
      </c>
      <c r="V682" s="706">
        <v>2</v>
      </c>
      <c r="W682" s="706">
        <v>9</v>
      </c>
      <c r="X682" s="706">
        <v>19</v>
      </c>
      <c r="Y682" s="706">
        <v>30</v>
      </c>
      <c r="Z682" s="706">
        <v>27</v>
      </c>
      <c r="AA682" s="706">
        <v>33</v>
      </c>
      <c r="AB682" s="706">
        <v>39</v>
      </c>
      <c r="AC682" s="706">
        <v>46</v>
      </c>
      <c r="AD682" s="706">
        <v>46</v>
      </c>
      <c r="AE682" s="706">
        <v>0</v>
      </c>
      <c r="AF682" s="706">
        <v>0</v>
      </c>
      <c r="AG682" s="706">
        <v>0</v>
      </c>
      <c r="AH682" s="706">
        <v>6</v>
      </c>
      <c r="AI682" s="706">
        <v>6</v>
      </c>
      <c r="AJ682" s="905" t="str">
        <f t="shared" si="68"/>
        <v>G44800</v>
      </c>
      <c r="AK682" s="905" t="str">
        <f t="shared" si="69"/>
        <v>VTES-VOIT.OCC.EN GROS-DET</v>
      </c>
      <c r="AL682" s="905">
        <f>IFERROR(INDEX(G682:R682,1,MATCH(Parametres!$B$3,G$1:R$1,0)-1)*IF(OR(F682="L",F682="S",F682="I"),-1,1),"")</f>
        <v>-505648</v>
      </c>
      <c r="AM682" s="1047">
        <f t="shared" si="70"/>
        <v>-93751</v>
      </c>
      <c r="AN682" s="905">
        <f>INDEX(G682:R682,1,MATCH(Parametres!$B$3,G$1:R$1,0))*IF(OR(F682="L",F682="S",F682="I"),-1,1)</f>
        <v>-599399</v>
      </c>
      <c r="AO682" s="487" t="str">
        <f>+VLOOKUP($AJ682,Data_Validation!$A:$D,1,0)</f>
        <v>G44800</v>
      </c>
      <c r="AP682" s="487" t="str">
        <f>+VLOOKUP($AJ682,Data_Validation!$A:$D,3,0)</f>
        <v>Véhicules usagés</v>
      </c>
      <c r="AQ682" s="487" t="str">
        <f>+VLOOKUP($AJ682,Data_Validation!$A:$D,4,0)</f>
        <v>Ventes au Gros</v>
      </c>
      <c r="AR682" s="487" t="s">
        <v>299</v>
      </c>
      <c r="AS682" s="487" t="str">
        <f>+VLOOKUP($AJ682,Data_Validation!$A:$E,5,0)</f>
        <v>Oui</v>
      </c>
      <c r="AT682" s="904" t="str">
        <f t="shared" si="71"/>
        <v>G44800</v>
      </c>
      <c r="AU682" s="488" t="str">
        <f t="shared" si="72"/>
        <v>VTES-VOIT.OCC.EN GROS-DET</v>
      </c>
      <c r="AV682" s="899">
        <f>IFERROR(INDEX(V682:AG682,1,MATCH(Parametres!$B$3,V$1:AG$1,0)-1)*IF(OR(C682="L",C682="S",C682="I"),-1,1),"")</f>
        <v>39</v>
      </c>
      <c r="AW682" s="899">
        <f t="shared" si="73"/>
        <v>7</v>
      </c>
      <c r="AX682" s="899">
        <f>INDEX(V682:AG682,1,MATCH(Parametres!$B$3,V$1:AG$1,0))*IF(OR(C682="L",C682="S",C682="I"),-1,1)</f>
        <v>46</v>
      </c>
      <c r="AY682" s="487" t="s">
        <v>337</v>
      </c>
      <c r="AZ682" s="487" t="str">
        <f>+VLOOKUP($AJ682,Data_Validation!$A:$E,5,0)</f>
        <v>Oui</v>
      </c>
    </row>
    <row r="683" spans="1:52" ht="15" hidden="1" customHeight="1">
      <c r="A683" s="706" t="s">
        <v>1148</v>
      </c>
      <c r="B683" s="706">
        <v>2026</v>
      </c>
      <c r="C683" s="706" t="s">
        <v>2406</v>
      </c>
      <c r="D683" s="706" t="s">
        <v>2407</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G44900</v>
      </c>
      <c r="AK683" s="905" t="str">
        <f t="shared" si="69"/>
        <v>*RECTIFICATION STOCK AUTO</v>
      </c>
      <c r="AL683" s="905">
        <f>IFERROR(INDEX(G683:R683,1,MATCH(Parametres!$B$3,G$1:R$1,0)-1)*IF(OR(F683="L",F683="S",F683="I"),-1,1),"")</f>
        <v>0</v>
      </c>
      <c r="AM683" s="905">
        <f t="shared" si="70"/>
        <v>0</v>
      </c>
      <c r="AN683" s="905">
        <f>INDEX(G683:R683,1,MATCH(Parametres!$B$3,G$1:R$1,0))*IF(OR(F683="L",F683="S",F683="I"),-1,1)</f>
        <v>0</v>
      </c>
      <c r="AO683" s="487" t="str">
        <f>+VLOOKUP($AJ683,Data_Validation!$A:$D,1,0)</f>
        <v>G44900</v>
      </c>
      <c r="AP683" s="487">
        <f>+VLOOKUP($AJ683,Data_Validation!$A:$D,3,0)</f>
        <v>0</v>
      </c>
      <c r="AQ683" s="487">
        <f>+VLOOKUP($AJ683,Data_Validation!$A:$D,4,0)</f>
        <v>0</v>
      </c>
      <c r="AR683" s="487" t="s">
        <v>299</v>
      </c>
      <c r="AS683" s="487">
        <f>+VLOOKUP($AJ683,Data_Validation!$A:$E,5,0)</f>
        <v>0</v>
      </c>
      <c r="AT683" s="904" t="str">
        <f t="shared" si="71"/>
        <v>G44900</v>
      </c>
      <c r="AU683" s="488" t="str">
        <f t="shared" si="72"/>
        <v>*RECTIFICATION STOCK AUTO</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hidden="1" customHeight="1">
      <c r="A684" s="706" t="s">
        <v>1148</v>
      </c>
      <c r="B684" s="706">
        <v>2026</v>
      </c>
      <c r="C684" s="706" t="s">
        <v>2408</v>
      </c>
      <c r="D684" s="706" t="s">
        <v>3338</v>
      </c>
      <c r="E684" s="706" t="s">
        <v>1149</v>
      </c>
      <c r="F684" s="706" t="s">
        <v>1149</v>
      </c>
      <c r="G684" s="706">
        <v>41059.599999999999</v>
      </c>
      <c r="H684" s="706">
        <v>355959.6</v>
      </c>
      <c r="I684" s="706">
        <v>1255785.6000000001</v>
      </c>
      <c r="J684" s="706">
        <v>2107096.6</v>
      </c>
      <c r="K684" s="706">
        <v>0</v>
      </c>
      <c r="L684" s="706">
        <v>0</v>
      </c>
      <c r="M684" s="706">
        <v>0</v>
      </c>
      <c r="N684" s="706">
        <v>0</v>
      </c>
      <c r="O684" s="706">
        <v>0</v>
      </c>
      <c r="P684" s="706">
        <v>0</v>
      </c>
      <c r="Q684" s="706">
        <v>0</v>
      </c>
      <c r="R684" s="706">
        <v>0</v>
      </c>
      <c r="S684" s="706">
        <v>0</v>
      </c>
      <c r="T684" s="706">
        <v>0</v>
      </c>
      <c r="U684" s="706">
        <v>0</v>
      </c>
      <c r="V684" s="706">
        <v>1</v>
      </c>
      <c r="W684" s="706">
        <v>8</v>
      </c>
      <c r="X684" s="706">
        <v>30</v>
      </c>
      <c r="Y684" s="706">
        <v>47</v>
      </c>
      <c r="Z684" s="706">
        <v>0</v>
      </c>
      <c r="AA684" s="706">
        <v>0</v>
      </c>
      <c r="AB684" s="706">
        <v>0</v>
      </c>
      <c r="AC684" s="706">
        <v>0</v>
      </c>
      <c r="AD684" s="706">
        <v>0</v>
      </c>
      <c r="AE684" s="706">
        <v>0</v>
      </c>
      <c r="AF684" s="706">
        <v>0</v>
      </c>
      <c r="AG684" s="706">
        <v>0</v>
      </c>
      <c r="AH684" s="706">
        <v>0</v>
      </c>
      <c r="AI684" s="706">
        <v>0</v>
      </c>
      <c r="AJ684" s="905" t="str">
        <f t="shared" si="68"/>
        <v>G45000</v>
      </c>
      <c r="AK684" s="905" t="str">
        <f t="shared" si="69"/>
        <v>VTES - CAMION DET CERTIFI</v>
      </c>
      <c r="AL684" s="905">
        <f>IFERROR(INDEX(G684:R684,1,MATCH(Parametres!$B$3,G$1:R$1,0)-1)*IF(OR(F684="L",F684="S",F684="I"),-1,1),"")</f>
        <v>0</v>
      </c>
      <c r="AM684" s="905">
        <f t="shared" si="70"/>
        <v>0</v>
      </c>
      <c r="AN684" s="905">
        <f>INDEX(G684:R684,1,MATCH(Parametres!$B$3,G$1:R$1,0))*IF(OR(F684="L",F684="S",F684="I"),-1,1)</f>
        <v>0</v>
      </c>
      <c r="AO684" s="487" t="str">
        <f>+VLOOKUP($AJ684,Data_Validation!$A:$D,1,0)</f>
        <v>G45000</v>
      </c>
      <c r="AP684" s="487" t="str">
        <f>+VLOOKUP($AJ684,Data_Validation!$A:$D,3,0)</f>
        <v>Véhicules usagés</v>
      </c>
      <c r="AQ684" s="487" t="str">
        <f>+VLOOKUP($AJ684,Data_Validation!$A:$D,4,0)</f>
        <v>Ventes au Gros</v>
      </c>
      <c r="AR684" s="487" t="s">
        <v>299</v>
      </c>
      <c r="AS684" s="487" t="str">
        <f>+VLOOKUP($AJ684,Data_Validation!$A:$E,5,0)</f>
        <v>Oui</v>
      </c>
      <c r="AT684" s="904" t="str">
        <f t="shared" si="71"/>
        <v>G45000</v>
      </c>
      <c r="AU684" s="488" t="str">
        <f t="shared" si="72"/>
        <v>VTES - CAMION DET CERTIFI</v>
      </c>
      <c r="AV684" s="899">
        <f>IFERROR(INDEX(V684:AG684,1,MATCH(Parametres!$B$3,V$1:AG$1,0)-1)*IF(OR(C684="L",C684="S",C684="I"),-1,1),"")</f>
        <v>0</v>
      </c>
      <c r="AW684" s="899">
        <f t="shared" si="73"/>
        <v>0</v>
      </c>
      <c r="AX684" s="899">
        <f>INDEX(V684:AG684,1,MATCH(Parametres!$B$3,V$1:AG$1,0))*IF(OR(C684="L",C684="S",C684="I"),-1,1)</f>
        <v>0</v>
      </c>
      <c r="AY684" s="487" t="s">
        <v>337</v>
      </c>
      <c r="AZ684" s="487" t="str">
        <f>+VLOOKUP($AJ684,Data_Validation!$A:$E,5,0)</f>
        <v>Oui</v>
      </c>
    </row>
    <row r="685" spans="1:52" ht="15" hidden="1" customHeight="1">
      <c r="A685" s="706" t="s">
        <v>1148</v>
      </c>
      <c r="B685" s="706">
        <v>2026</v>
      </c>
      <c r="C685" s="706" t="s">
        <v>2410</v>
      </c>
      <c r="D685" s="706" t="s">
        <v>3339</v>
      </c>
      <c r="E685" s="706" t="s">
        <v>1149</v>
      </c>
      <c r="F685" s="706" t="s">
        <v>1149</v>
      </c>
      <c r="G685" s="706">
        <v>464168.65</v>
      </c>
      <c r="H685" s="706">
        <v>724146.28</v>
      </c>
      <c r="I685" s="706">
        <v>1278286.0900000001</v>
      </c>
      <c r="J685" s="706">
        <v>2169663.9700000002</v>
      </c>
      <c r="K685" s="706">
        <v>3106730.33</v>
      </c>
      <c r="L685" s="706">
        <v>3751111.74</v>
      </c>
      <c r="M685" s="706">
        <v>4464265.6500000004</v>
      </c>
      <c r="N685" s="706">
        <v>5155629.8600000003</v>
      </c>
      <c r="O685" s="706">
        <v>5155629.8600000003</v>
      </c>
      <c r="P685" s="706">
        <v>0</v>
      </c>
      <c r="Q685" s="706">
        <v>0</v>
      </c>
      <c r="R685" s="706">
        <v>0</v>
      </c>
      <c r="S685" s="706">
        <v>644453.73</v>
      </c>
      <c r="T685" s="706">
        <v>644453.73</v>
      </c>
      <c r="U685" s="706">
        <v>0</v>
      </c>
      <c r="V685" s="706">
        <v>15</v>
      </c>
      <c r="W685" s="706">
        <v>22</v>
      </c>
      <c r="X685" s="706">
        <v>40</v>
      </c>
      <c r="Y685" s="706">
        <v>63</v>
      </c>
      <c r="Z685" s="706">
        <v>91</v>
      </c>
      <c r="AA685" s="706">
        <v>109</v>
      </c>
      <c r="AB685" s="706">
        <v>127</v>
      </c>
      <c r="AC685" s="706">
        <v>146</v>
      </c>
      <c r="AD685" s="706">
        <v>146</v>
      </c>
      <c r="AE685" s="706">
        <v>0</v>
      </c>
      <c r="AF685" s="706">
        <v>0</v>
      </c>
      <c r="AG685" s="706">
        <v>0</v>
      </c>
      <c r="AH685" s="706">
        <v>18</v>
      </c>
      <c r="AI685" s="706">
        <v>18</v>
      </c>
      <c r="AJ685" s="905" t="str">
        <f t="shared" si="68"/>
        <v>G45001</v>
      </c>
      <c r="AK685" s="905" t="str">
        <f t="shared" si="69"/>
        <v>VTES-CAM OCC. GM N-CERT</v>
      </c>
      <c r="AL685" s="905">
        <f>IFERROR(INDEX(G685:R685,1,MATCH(Parametres!$B$3,G$1:R$1,0)-1)*IF(OR(F685="L",F685="S",F685="I"),-1,1),"")</f>
        <v>-4464265.6500000004</v>
      </c>
      <c r="AM685" s="905">
        <f t="shared" si="70"/>
        <v>-691364.21</v>
      </c>
      <c r="AN685" s="905">
        <f>INDEX(G685:R685,1,MATCH(Parametres!$B$3,G$1:R$1,0))*IF(OR(F685="L",F685="S",F685="I"),-1,1)</f>
        <v>-5155629.8600000003</v>
      </c>
      <c r="AO685" s="487" t="str">
        <f>+VLOOKUP($AJ685,Data_Validation!$A:$D,1,0)</f>
        <v>G45001</v>
      </c>
      <c r="AP685" s="487" t="str">
        <f>+VLOOKUP($AJ685,Data_Validation!$A:$D,3,0)</f>
        <v>Véhicules usagés</v>
      </c>
      <c r="AQ685" s="487" t="str">
        <f>+VLOOKUP($AJ685,Data_Validation!$A:$D,4,0)</f>
        <v>Non Certifié</v>
      </c>
      <c r="AR685" s="487" t="s">
        <v>299</v>
      </c>
      <c r="AS685" s="487" t="str">
        <f>+VLOOKUP($AJ685,Data_Validation!$A:$E,5,0)</f>
        <v>Oui</v>
      </c>
      <c r="AT685" s="904" t="str">
        <f t="shared" si="71"/>
        <v>G45001</v>
      </c>
      <c r="AU685" s="488" t="str">
        <f t="shared" si="72"/>
        <v>VTES-CAM OCC. GM N-CERT</v>
      </c>
      <c r="AV685" s="899">
        <f>IFERROR(INDEX(V685:AG685,1,MATCH(Parametres!$B$3,V$1:AG$1,0)-1)*IF(OR(C685="L",C685="S",C685="I"),-1,1),"")</f>
        <v>127</v>
      </c>
      <c r="AW685" s="899">
        <f t="shared" si="73"/>
        <v>19</v>
      </c>
      <c r="AX685" s="899">
        <f>INDEX(V685:AG685,1,MATCH(Parametres!$B$3,V$1:AG$1,0))*IF(OR(C685="L",C685="S",C685="I"),-1,1)</f>
        <v>146</v>
      </c>
      <c r="AY685" s="487" t="s">
        <v>337</v>
      </c>
      <c r="AZ685" s="487" t="str">
        <f>+VLOOKUP($AJ685,Data_Validation!$A:$E,5,0)</f>
        <v>Oui</v>
      </c>
    </row>
    <row r="686" spans="1:52" ht="15" hidden="1" customHeight="1">
      <c r="A686" s="706" t="s">
        <v>1148</v>
      </c>
      <c r="B686" s="706">
        <v>2026</v>
      </c>
      <c r="C686" s="706" t="s">
        <v>3340</v>
      </c>
      <c r="D686" s="706" t="s">
        <v>3341</v>
      </c>
      <c r="E686" s="706" t="s">
        <v>1149</v>
      </c>
      <c r="F686" s="706" t="s">
        <v>1149</v>
      </c>
      <c r="G686" s="706">
        <v>0</v>
      </c>
      <c r="H686" s="706">
        <v>0</v>
      </c>
      <c r="I686" s="706">
        <v>0</v>
      </c>
      <c r="J686" s="706">
        <v>0</v>
      </c>
      <c r="K686" s="706">
        <v>0</v>
      </c>
      <c r="L686" s="706">
        <v>0</v>
      </c>
      <c r="M686" s="706">
        <v>0</v>
      </c>
      <c r="N686" s="706">
        <v>107799</v>
      </c>
      <c r="O686" s="706">
        <v>107799</v>
      </c>
      <c r="P686" s="706">
        <v>0</v>
      </c>
      <c r="Q686" s="706">
        <v>0</v>
      </c>
      <c r="R686" s="706">
        <v>0</v>
      </c>
      <c r="S686" s="706">
        <v>13474.88</v>
      </c>
      <c r="T686" s="706">
        <v>13474.88</v>
      </c>
      <c r="U686" s="706">
        <v>0</v>
      </c>
      <c r="V686" s="706">
        <v>0</v>
      </c>
      <c r="W686" s="706">
        <v>0</v>
      </c>
      <c r="X686" s="706">
        <v>0</v>
      </c>
      <c r="Y686" s="706">
        <v>0</v>
      </c>
      <c r="Z686" s="706">
        <v>0</v>
      </c>
      <c r="AA686" s="706">
        <v>0</v>
      </c>
      <c r="AB686" s="706">
        <v>0</v>
      </c>
      <c r="AC686" s="706">
        <v>4</v>
      </c>
      <c r="AD686" s="706">
        <v>4</v>
      </c>
      <c r="AE686" s="706">
        <v>0</v>
      </c>
      <c r="AF686" s="706">
        <v>0</v>
      </c>
      <c r="AG686" s="706">
        <v>0</v>
      </c>
      <c r="AH686" s="706">
        <v>1</v>
      </c>
      <c r="AI686" s="706">
        <v>1</v>
      </c>
      <c r="AJ686" s="905" t="str">
        <f t="shared" si="68"/>
        <v>G45002</v>
      </c>
      <c r="AK686" s="905" t="str">
        <f t="shared" si="69"/>
        <v>VTES- CAMION AUTRE MARQ</v>
      </c>
      <c r="AL686" s="905">
        <f>IFERROR(INDEX(G686:R686,1,MATCH(Parametres!$B$3,G$1:R$1,0)-1)*IF(OR(F686="L",F686="S",F686="I"),-1,1),"")</f>
        <v>0</v>
      </c>
      <c r="AM686" s="905">
        <f t="shared" si="70"/>
        <v>-107799</v>
      </c>
      <c r="AN686" s="905">
        <f>INDEX(G686:R686,1,MATCH(Parametres!$B$3,G$1:R$1,0))*IF(OR(F686="L",F686="S",F686="I"),-1,1)</f>
        <v>-107799</v>
      </c>
      <c r="AO686" s="487" t="str">
        <f>+VLOOKUP($AJ686,Data_Validation!$A:$D,1,0)</f>
        <v>G45002</v>
      </c>
      <c r="AP686" s="487" t="str">
        <f>+VLOOKUP($AJ686,Data_Validation!$A:$D,3,0)</f>
        <v>Véhicules usagés</v>
      </c>
      <c r="AQ686" s="487" t="str">
        <f>+VLOOKUP($AJ686,Data_Validation!$A:$D,4,0)</f>
        <v>Autres Marques</v>
      </c>
      <c r="AR686" s="487" t="s">
        <v>299</v>
      </c>
      <c r="AS686" s="487">
        <f>+VLOOKUP($AJ686,Data_Validation!$A:$E,5,0)</f>
        <v>0</v>
      </c>
      <c r="AT686" s="904" t="str">
        <f t="shared" si="71"/>
        <v>G45002</v>
      </c>
      <c r="AU686" s="488" t="str">
        <f t="shared" si="72"/>
        <v>VTES- CAMION AUTRE MARQ</v>
      </c>
      <c r="AV686" s="899">
        <f>IFERROR(INDEX(V686:AG686,1,MATCH(Parametres!$B$3,V$1:AG$1,0)-1)*IF(OR(C686="L",C686="S",C686="I"),-1,1),"")</f>
        <v>0</v>
      </c>
      <c r="AW686" s="899">
        <f t="shared" si="73"/>
        <v>4</v>
      </c>
      <c r="AX686" s="899">
        <f>INDEX(V686:AG686,1,MATCH(Parametres!$B$3,V$1:AG$1,0))*IF(OR(C686="L",C686="S",C686="I"),-1,1)</f>
        <v>4</v>
      </c>
      <c r="AY686" s="487" t="s">
        <v>337</v>
      </c>
      <c r="AZ686" s="487">
        <f>+VLOOKUP($AJ686,Data_Validation!$A:$E,5,0)</f>
        <v>0</v>
      </c>
    </row>
    <row r="687" spans="1:52" ht="15" customHeight="1">
      <c r="A687" s="706" t="s">
        <v>1148</v>
      </c>
      <c r="B687" s="706">
        <v>2026</v>
      </c>
      <c r="C687" s="706" t="s">
        <v>3342</v>
      </c>
      <c r="D687" s="706" t="s">
        <v>3343</v>
      </c>
      <c r="E687" s="706" t="s">
        <v>1149</v>
      </c>
      <c r="F687" s="706" t="s">
        <v>1149</v>
      </c>
      <c r="G687" s="706">
        <v>0</v>
      </c>
      <c r="H687" s="706">
        <v>0</v>
      </c>
      <c r="I687" s="706">
        <v>0</v>
      </c>
      <c r="J687" s="706">
        <v>0</v>
      </c>
      <c r="K687" s="706">
        <v>0</v>
      </c>
      <c r="L687" s="706">
        <v>0</v>
      </c>
      <c r="M687" s="706">
        <v>163049.32</v>
      </c>
      <c r="N687" s="706">
        <v>249601.67</v>
      </c>
      <c r="O687" s="706">
        <v>249601.67</v>
      </c>
      <c r="P687" s="706">
        <v>0</v>
      </c>
      <c r="Q687" s="706">
        <v>0</v>
      </c>
      <c r="R687" s="706">
        <v>0</v>
      </c>
      <c r="S687" s="706">
        <v>31200.21</v>
      </c>
      <c r="T687" s="706">
        <v>31200.21</v>
      </c>
      <c r="U687" s="706">
        <v>0</v>
      </c>
      <c r="V687" s="706">
        <v>0</v>
      </c>
      <c r="W687" s="706">
        <v>0</v>
      </c>
      <c r="X687" s="706">
        <v>0</v>
      </c>
      <c r="Y687" s="706">
        <v>0</v>
      </c>
      <c r="Z687" s="706">
        <v>0</v>
      </c>
      <c r="AA687" s="706">
        <v>0</v>
      </c>
      <c r="AB687" s="706">
        <v>4</v>
      </c>
      <c r="AC687" s="706">
        <v>7</v>
      </c>
      <c r="AD687" s="706">
        <v>7</v>
      </c>
      <c r="AE687" s="706">
        <v>0</v>
      </c>
      <c r="AF687" s="706">
        <v>0</v>
      </c>
      <c r="AG687" s="706">
        <v>0</v>
      </c>
      <c r="AH687" s="706">
        <v>1</v>
      </c>
      <c r="AI687" s="706">
        <v>1</v>
      </c>
      <c r="AJ687" s="905" t="str">
        <f t="shared" si="68"/>
        <v>G45003</v>
      </c>
      <c r="AK687" s="905" t="str">
        <f t="shared" si="69"/>
        <v>VTES-RACHAT BAIL CAMION</v>
      </c>
      <c r="AL687" s="905">
        <f>IFERROR(INDEX(G687:R687,1,MATCH(Parametres!$B$3,G$1:R$1,0)-1)*IF(OR(F687="L",F687="S",F687="I"),-1,1),"")</f>
        <v>-163049.32</v>
      </c>
      <c r="AM687" s="905">
        <f t="shared" si="70"/>
        <v>-86552.35</v>
      </c>
      <c r="AN687" s="905">
        <f>INDEX(G687:R687,1,MATCH(Parametres!$B$3,G$1:R$1,0))*IF(OR(F687="L",F687="S",F687="I"),-1,1)</f>
        <v>-249601.67</v>
      </c>
      <c r="AO687" s="487" t="str">
        <f>+VLOOKUP($AJ687,Data_Validation!$A:$D,1,0)</f>
        <v>G45003</v>
      </c>
      <c r="AP687" s="487">
        <f>+VLOOKUP($AJ687,Data_Validation!$A:$D,3,0)</f>
        <v>0</v>
      </c>
      <c r="AQ687" s="487">
        <f>+VLOOKUP($AJ687,Data_Validation!$A:$D,4,0)</f>
        <v>0</v>
      </c>
      <c r="AR687" s="487" t="s">
        <v>299</v>
      </c>
      <c r="AS687" s="487">
        <f>+VLOOKUP($AJ687,Data_Validation!$A:$E,5,0)</f>
        <v>0</v>
      </c>
      <c r="AT687" s="904" t="str">
        <f t="shared" si="71"/>
        <v>G45003</v>
      </c>
      <c r="AU687" s="488" t="str">
        <f t="shared" si="72"/>
        <v>VTES-RACHAT BAIL CAMION</v>
      </c>
      <c r="AV687" s="899">
        <f>IFERROR(INDEX(V687:AG687,1,MATCH(Parametres!$B$3,V$1:AG$1,0)-1)*IF(OR(C687="L",C687="S",C687="I"),-1,1),"")</f>
        <v>4</v>
      </c>
      <c r="AW687" s="899">
        <f t="shared" si="73"/>
        <v>3</v>
      </c>
      <c r="AX687" s="899">
        <f>INDEX(V687:AG687,1,MATCH(Parametres!$B$3,V$1:AG$1,0))*IF(OR(C687="L",C687="S",C687="I"),-1,1)</f>
        <v>7</v>
      </c>
      <c r="AY687" s="487" t="s">
        <v>337</v>
      </c>
      <c r="AZ687" s="487">
        <f>+VLOOKUP($AJ687,Data_Validation!$A:$E,5,0)</f>
        <v>0</v>
      </c>
    </row>
    <row r="688" spans="1:52" ht="15" hidden="1" customHeight="1">
      <c r="A688" s="706" t="s">
        <v>1148</v>
      </c>
      <c r="B688" s="706">
        <v>2026</v>
      </c>
      <c r="C688" s="706" t="s">
        <v>2412</v>
      </c>
      <c r="D688" s="706" t="s">
        <v>2413</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G45020</v>
      </c>
      <c r="AK688" s="905" t="str">
        <f t="shared" si="69"/>
        <v>VTES-CAM USAGE OPT. -LOC.</v>
      </c>
      <c r="AL688" s="905">
        <f>IFERROR(INDEX(G688:R688,1,MATCH(Parametres!$B$3,G$1:R$1,0)-1)*IF(OR(F688="L",F688="S",F688="I"),-1,1),"")</f>
        <v>0</v>
      </c>
      <c r="AM688" s="905">
        <f t="shared" si="70"/>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71"/>
        <v>G45020</v>
      </c>
      <c r="AU688" s="488" t="str">
        <f t="shared" si="72"/>
        <v>VTES-CAM USAGE OPT. -LOC.</v>
      </c>
      <c r="AV688" s="899">
        <f>IFERROR(INDEX(V688:AG688,1,MATCH(Parametres!$B$3,V$1:AG$1,0)-1)*IF(OR(C688="L",C688="S",C688="I"),-1,1),"")</f>
        <v>0</v>
      </c>
      <c r="AW688" s="899">
        <f t="shared" si="73"/>
        <v>0</v>
      </c>
      <c r="AX688" s="899">
        <f>INDEX(V688:AG688,1,MATCH(Parametres!$B$3,V$1:AG$1,0))*IF(OR(C688="L",C688="S",C688="I"),-1,1)</f>
        <v>0</v>
      </c>
      <c r="AY688" s="487" t="s">
        <v>337</v>
      </c>
      <c r="AZ688" s="487" t="e">
        <f>+VLOOKUP($AJ688,Data_Validation!$A:$E,5,0)</f>
        <v>#N/A</v>
      </c>
    </row>
    <row r="689" spans="1:52" ht="15" hidden="1" customHeight="1">
      <c r="A689" s="706" t="s">
        <v>1148</v>
      </c>
      <c r="B689" s="706">
        <v>2026</v>
      </c>
      <c r="C689" s="706" t="s">
        <v>2414</v>
      </c>
      <c r="D689" s="706" t="s">
        <v>2415</v>
      </c>
      <c r="E689" s="706" t="s">
        <v>333</v>
      </c>
      <c r="F689" s="706" t="s">
        <v>1149</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905" t="str">
        <f t="shared" si="68"/>
        <v>G45100</v>
      </c>
      <c r="AK689" s="905" t="str">
        <f t="shared" si="69"/>
        <v>*REM.NEUF CAM DET. OPT.</v>
      </c>
      <c r="AL689" s="905">
        <f>IFERROR(INDEX(G689:R689,1,MATCH(Parametres!$B$3,G$1:R$1,0)-1)*IF(OR(F689="L",F689="S",F689="I"),-1,1),"")</f>
        <v>0</v>
      </c>
      <c r="AM689" s="905">
        <f t="shared" si="70"/>
        <v>0</v>
      </c>
      <c r="AN689" s="905">
        <f>INDEX(G689:R689,1,MATCH(Parametres!$B$3,G$1:R$1,0))*IF(OR(F689="L",F689="S",F689="I"),-1,1)</f>
        <v>0</v>
      </c>
      <c r="AO689" s="487" t="str">
        <f>+VLOOKUP($AJ689,Data_Validation!$A:$D,1,0)</f>
        <v>G45100</v>
      </c>
      <c r="AP689" s="487">
        <f>+VLOOKUP($AJ689,Data_Validation!$A:$D,3,0)</f>
        <v>0</v>
      </c>
      <c r="AQ689" s="487">
        <f>+VLOOKUP($AJ689,Data_Validation!$A:$D,4,0)</f>
        <v>0</v>
      </c>
      <c r="AR689" s="487" t="s">
        <v>299</v>
      </c>
      <c r="AS689" s="487">
        <f>+VLOOKUP($AJ689,Data_Validation!$A:$E,5,0)</f>
        <v>0</v>
      </c>
      <c r="AT689" s="904" t="str">
        <f t="shared" si="71"/>
        <v>G45100</v>
      </c>
      <c r="AU689" s="488" t="str">
        <f t="shared" si="72"/>
        <v>*REM.NEUF CAM DET. OPT.</v>
      </c>
      <c r="AV689" s="899">
        <f>IFERROR(INDEX(V689:AG689,1,MATCH(Parametres!$B$3,V$1:AG$1,0)-1)*IF(OR(C689="L",C689="S",C689="I"),-1,1),"")</f>
        <v>0</v>
      </c>
      <c r="AW689" s="899">
        <f t="shared" si="73"/>
        <v>0</v>
      </c>
      <c r="AX689" s="899">
        <f>INDEX(V689:AG689,1,MATCH(Parametres!$B$3,V$1:AG$1,0))*IF(OR(C689="L",C689="S",C689="I"),-1,1)</f>
        <v>0</v>
      </c>
      <c r="AY689" s="487" t="s">
        <v>337</v>
      </c>
      <c r="AZ689" s="487">
        <f>+VLOOKUP($AJ689,Data_Validation!$A:$E,5,0)</f>
        <v>0</v>
      </c>
    </row>
    <row r="690" spans="1:52" ht="15" hidden="1" customHeight="1">
      <c r="A690" s="706" t="s">
        <v>1148</v>
      </c>
      <c r="B690" s="706">
        <v>2026</v>
      </c>
      <c r="C690" s="706" t="s">
        <v>2416</v>
      </c>
      <c r="D690" s="706" t="s">
        <v>2417</v>
      </c>
      <c r="E690" s="706" t="s">
        <v>333</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G45101</v>
      </c>
      <c r="AK690" s="905" t="str">
        <f t="shared" si="69"/>
        <v>*REM.NEUF CAM DET.AUTRES</v>
      </c>
      <c r="AL690" s="905">
        <f>IFERROR(INDEX(G690:R690,1,MATCH(Parametres!$B$3,G$1:R$1,0)-1)*IF(OR(F690="L",F690="S",F690="I"),-1,1),"")</f>
        <v>0</v>
      </c>
      <c r="AM690" s="905">
        <f t="shared" si="70"/>
        <v>0</v>
      </c>
      <c r="AN690" s="905">
        <f>INDEX(G690:R690,1,MATCH(Parametres!$B$3,G$1:R$1,0))*IF(OR(F690="L",F690="S",F690="I"),-1,1)</f>
        <v>0</v>
      </c>
      <c r="AO690" s="487" t="str">
        <f>+VLOOKUP($AJ690,Data_Validation!$A:$D,1,0)</f>
        <v>G45101</v>
      </c>
      <c r="AP690" s="487">
        <f>+VLOOKUP($AJ690,Data_Validation!$A:$D,3,0)</f>
        <v>0</v>
      </c>
      <c r="AQ690" s="487">
        <f>+VLOOKUP($AJ690,Data_Validation!$A:$D,4,0)</f>
        <v>0</v>
      </c>
      <c r="AR690" s="487" t="s">
        <v>299</v>
      </c>
      <c r="AS690" s="487">
        <f>+VLOOKUP($AJ690,Data_Validation!$A:$E,5,0)</f>
        <v>0</v>
      </c>
      <c r="AT690" s="904" t="str">
        <f t="shared" si="71"/>
        <v>G45101</v>
      </c>
      <c r="AU690" s="488" t="str">
        <f t="shared" si="72"/>
        <v>*REM.NEUF CAM DET.AUTRES</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hidden="1" customHeight="1">
      <c r="A691" s="706" t="s">
        <v>1148</v>
      </c>
      <c r="B691" s="706">
        <v>2026</v>
      </c>
      <c r="C691" s="706" t="s">
        <v>2418</v>
      </c>
      <c r="D691" s="706" t="s">
        <v>2419</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G45120</v>
      </c>
      <c r="AK691" s="905" t="str">
        <f t="shared" si="69"/>
        <v>*REM.NEUF LOC.CAM.DET.OPT</v>
      </c>
      <c r="AL691" s="905">
        <f>IFERROR(INDEX(G691:R691,1,MATCH(Parametres!$B$3,G$1:R$1,0)-1)*IF(OR(F691="L",F691="S",F691="I"),-1,1),"")</f>
        <v>0</v>
      </c>
      <c r="AM691" s="905">
        <f t="shared" si="70"/>
        <v>0</v>
      </c>
      <c r="AN691" s="905">
        <f>INDEX(G691:R691,1,MATCH(Parametres!$B$3,G$1:R$1,0))*IF(OR(F691="L",F691="S",F691="I"),-1,1)</f>
        <v>0</v>
      </c>
      <c r="AO691" s="487" t="str">
        <f>+VLOOKUP($AJ691,Data_Validation!$A:$D,1,0)</f>
        <v>G45120</v>
      </c>
      <c r="AP691" s="487">
        <f>+VLOOKUP($AJ691,Data_Validation!$A:$D,3,0)</f>
        <v>0</v>
      </c>
      <c r="AQ691" s="487">
        <f>+VLOOKUP($AJ691,Data_Validation!$A:$D,4,0)</f>
        <v>0</v>
      </c>
      <c r="AR691" s="487" t="s">
        <v>299</v>
      </c>
      <c r="AS691" s="487">
        <f>+VLOOKUP($AJ691,Data_Validation!$A:$E,5,0)</f>
        <v>0</v>
      </c>
      <c r="AT691" s="904" t="str">
        <f t="shared" si="71"/>
        <v>G45120</v>
      </c>
      <c r="AU691" s="488" t="str">
        <f t="shared" si="72"/>
        <v>*REM.NEUF LOC.CAM.DET.OPT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2420</v>
      </c>
      <c r="D692" s="706" t="s">
        <v>2421</v>
      </c>
      <c r="E692" s="706" t="s">
        <v>1149</v>
      </c>
      <c r="F692" s="706" t="s">
        <v>1149</v>
      </c>
      <c r="G692" s="706">
        <v>2100379.8199999998</v>
      </c>
      <c r="H692" s="706">
        <v>3762756.44</v>
      </c>
      <c r="I692" s="706">
        <v>6990224.5099999998</v>
      </c>
      <c r="J692" s="706">
        <v>9896233.2899999991</v>
      </c>
      <c r="K692" s="706">
        <v>4745727.26</v>
      </c>
      <c r="L692" s="706">
        <v>5406103.9400000004</v>
      </c>
      <c r="M692" s="706">
        <v>5947334.9400000004</v>
      </c>
      <c r="N692" s="706">
        <v>6858865.8899999997</v>
      </c>
      <c r="O692" s="706">
        <v>6858865.8899999997</v>
      </c>
      <c r="P692" s="706">
        <v>0</v>
      </c>
      <c r="Q692" s="706">
        <v>0</v>
      </c>
      <c r="R692" s="706">
        <v>0</v>
      </c>
      <c r="S692" s="706">
        <v>857358.24</v>
      </c>
      <c r="T692" s="706">
        <v>857358.24</v>
      </c>
      <c r="U692" s="706">
        <v>0</v>
      </c>
      <c r="V692" s="706">
        <v>58</v>
      </c>
      <c r="W692" s="706">
        <v>107</v>
      </c>
      <c r="X692" s="706">
        <v>197</v>
      </c>
      <c r="Y692" s="706">
        <v>277</v>
      </c>
      <c r="Z692" s="706">
        <v>116</v>
      </c>
      <c r="AA692" s="706">
        <v>140</v>
      </c>
      <c r="AB692" s="706">
        <v>155</v>
      </c>
      <c r="AC692" s="706">
        <v>182</v>
      </c>
      <c r="AD692" s="706">
        <v>182</v>
      </c>
      <c r="AE692" s="706">
        <v>0</v>
      </c>
      <c r="AF692" s="706">
        <v>0</v>
      </c>
      <c r="AG692" s="706">
        <v>0</v>
      </c>
      <c r="AH692" s="706">
        <v>23</v>
      </c>
      <c r="AI692" s="706">
        <v>23</v>
      </c>
      <c r="AJ692" s="905" t="str">
        <f t="shared" si="68"/>
        <v>G45200</v>
      </c>
      <c r="AK692" s="905" t="str">
        <f t="shared" si="69"/>
        <v>VTES-CAMIONS OCC EN GROS</v>
      </c>
      <c r="AL692" s="905">
        <f>IFERROR(INDEX(G692:R692,1,MATCH(Parametres!$B$3,G$1:R$1,0)-1)*IF(OR(F692="L",F692="S",F692="I"),-1,1),"")</f>
        <v>-5947334.9400000004</v>
      </c>
      <c r="AM692" s="1047">
        <f t="shared" si="70"/>
        <v>-911530.94999999925</v>
      </c>
      <c r="AN692" s="905">
        <f>INDEX(G692:R692,1,MATCH(Parametres!$B$3,G$1:R$1,0))*IF(OR(F692="L",F692="S",F692="I"),-1,1)</f>
        <v>-6858865.8899999997</v>
      </c>
      <c r="AO692" s="487" t="str">
        <f>+VLOOKUP($AJ692,Data_Validation!$A:$D,1,0)</f>
        <v>G45200</v>
      </c>
      <c r="AP692" s="487" t="str">
        <f>+VLOOKUP($AJ692,Data_Validation!$A:$D,3,0)</f>
        <v>Véhicules usagés</v>
      </c>
      <c r="AQ692" s="487" t="str">
        <f>+VLOOKUP($AJ692,Data_Validation!$A:$D,4,0)</f>
        <v>Ventes au Gros</v>
      </c>
      <c r="AR692" s="487" t="s">
        <v>299</v>
      </c>
      <c r="AS692" s="487" t="str">
        <f>+VLOOKUP($AJ692,Data_Validation!$A:$E,5,0)</f>
        <v>Oui</v>
      </c>
      <c r="AT692" s="904" t="str">
        <f t="shared" si="71"/>
        <v>G45200</v>
      </c>
      <c r="AU692" s="488" t="str">
        <f t="shared" si="72"/>
        <v>VTES-CAMIONS OCC EN GROS</v>
      </c>
      <c r="AV692" s="899">
        <f>IFERROR(INDEX(V692:AG692,1,MATCH(Parametres!$B$3,V$1:AG$1,0)-1)*IF(OR(C692="L",C692="S",C692="I"),-1,1),"")</f>
        <v>155</v>
      </c>
      <c r="AW692" s="899">
        <f t="shared" si="73"/>
        <v>27</v>
      </c>
      <c r="AX692" s="899">
        <f>INDEX(V692:AG692,1,MATCH(Parametres!$B$3,V$1:AG$1,0))*IF(OR(C692="L",C692="S",C692="I"),-1,1)</f>
        <v>182</v>
      </c>
      <c r="AY692" s="487" t="s">
        <v>337</v>
      </c>
      <c r="AZ692" s="487" t="str">
        <f>+VLOOKUP($AJ692,Data_Validation!$A:$E,5,0)</f>
        <v>Oui</v>
      </c>
    </row>
    <row r="693" spans="1:52" ht="15" customHeight="1">
      <c r="A693" s="706" t="s">
        <v>1148</v>
      </c>
      <c r="B693" s="706">
        <v>2026</v>
      </c>
      <c r="C693" s="706" t="s">
        <v>2422</v>
      </c>
      <c r="D693" s="706" t="s">
        <v>2423</v>
      </c>
      <c r="E693" s="706" t="s">
        <v>1149</v>
      </c>
      <c r="F693" s="706" t="s">
        <v>1149</v>
      </c>
      <c r="G693" s="706">
        <v>6844500</v>
      </c>
      <c r="H693" s="706">
        <v>7395000</v>
      </c>
      <c r="I693" s="706">
        <v>10383950</v>
      </c>
      <c r="J693" s="706">
        <v>16296150</v>
      </c>
      <c r="K693" s="706">
        <v>18243450</v>
      </c>
      <c r="L693" s="706">
        <v>20028350</v>
      </c>
      <c r="M693" s="706">
        <v>21800450</v>
      </c>
      <c r="N693" s="706">
        <v>22591450</v>
      </c>
      <c r="O693" s="706">
        <v>22591450</v>
      </c>
      <c r="P693" s="706">
        <v>0</v>
      </c>
      <c r="Q693" s="706">
        <v>0</v>
      </c>
      <c r="R693" s="706">
        <v>0</v>
      </c>
      <c r="S693" s="706">
        <v>2823931.25</v>
      </c>
      <c r="T693" s="706">
        <v>2823931.25</v>
      </c>
      <c r="U693" s="706">
        <v>0</v>
      </c>
      <c r="V693" s="706">
        <v>41</v>
      </c>
      <c r="W693" s="706">
        <v>44</v>
      </c>
      <c r="X693" s="706">
        <v>76</v>
      </c>
      <c r="Y693" s="706">
        <v>139</v>
      </c>
      <c r="Z693" s="706">
        <v>157</v>
      </c>
      <c r="AA693" s="706">
        <v>177</v>
      </c>
      <c r="AB693" s="706">
        <v>188</v>
      </c>
      <c r="AC693" s="706">
        <v>195</v>
      </c>
      <c r="AD693" s="706">
        <v>195</v>
      </c>
      <c r="AE693" s="706">
        <v>0</v>
      </c>
      <c r="AF693" s="706">
        <v>0</v>
      </c>
      <c r="AG693" s="706">
        <v>0</v>
      </c>
      <c r="AH693" s="706">
        <v>24</v>
      </c>
      <c r="AI693" s="706">
        <v>24</v>
      </c>
      <c r="AJ693" s="905" t="str">
        <f t="shared" si="68"/>
        <v>G45201</v>
      </c>
      <c r="AK693" s="905" t="str">
        <f t="shared" si="69"/>
        <v>VTES - WHOLESALE W</v>
      </c>
      <c r="AL693" s="905">
        <f>IFERROR(INDEX(G693:R693,1,MATCH(Parametres!$B$3,G$1:R$1,0)-1)*IF(OR(F693="L",F693="S",F693="I"),-1,1),"")</f>
        <v>-21800450</v>
      </c>
      <c r="AM693" s="1047">
        <f t="shared" si="70"/>
        <v>-791000</v>
      </c>
      <c r="AN693" s="905">
        <f>INDEX(G693:R693,1,MATCH(Parametres!$B$3,G$1:R$1,0))*IF(OR(F693="L",F693="S",F693="I"),-1,1)</f>
        <v>-22591450</v>
      </c>
      <c r="AO693" s="487" t="str">
        <f>+VLOOKUP($AJ693,Data_Validation!$A:$D,1,0)</f>
        <v>G45201</v>
      </c>
      <c r="AP693" s="487" t="str">
        <f>+VLOOKUP($AJ693,Data_Validation!$A:$D,3,0)</f>
        <v>Wholesale autres</v>
      </c>
      <c r="AQ693" s="487" t="str">
        <f>+VLOOKUP($AJ693,Data_Validation!$A:$D,4,0)</f>
        <v>Wholesale Luxueux</v>
      </c>
      <c r="AR693" s="487" t="s">
        <v>299</v>
      </c>
      <c r="AS693" s="487" t="str">
        <f>+VLOOKUP($AJ693,Data_Validation!$A:$E,5,0)</f>
        <v>Oui</v>
      </c>
      <c r="AT693" s="904" t="str">
        <f t="shared" si="71"/>
        <v>G45201</v>
      </c>
      <c r="AU693" s="488" t="str">
        <f t="shared" si="72"/>
        <v>VTES - WHOLESALE W</v>
      </c>
      <c r="AV693" s="899">
        <f>IFERROR(INDEX(V693:AG693,1,MATCH(Parametres!$B$3,V$1:AG$1,0)-1)*IF(OR(C693="L",C693="S",C693="I"),-1,1),"")</f>
        <v>188</v>
      </c>
      <c r="AW693" s="899">
        <f t="shared" si="73"/>
        <v>7</v>
      </c>
      <c r="AX693" s="899">
        <f>INDEX(V693:AG693,1,MATCH(Parametres!$B$3,V$1:AG$1,0))*IF(OR(C693="L",C693="S",C693="I"),-1,1)</f>
        <v>195</v>
      </c>
      <c r="AY693" s="487" t="s">
        <v>337</v>
      </c>
      <c r="AZ693" s="487" t="str">
        <f>+VLOOKUP($AJ693,Data_Validation!$A:$E,5,0)</f>
        <v>Oui</v>
      </c>
    </row>
    <row r="694" spans="1:52" ht="15" customHeight="1">
      <c r="A694" s="706" t="s">
        <v>1148</v>
      </c>
      <c r="B694" s="706">
        <v>2026</v>
      </c>
      <c r="C694" s="706" t="s">
        <v>3156</v>
      </c>
      <c r="D694" s="706" t="s">
        <v>3157</v>
      </c>
      <c r="E694" s="706" t="s">
        <v>1149</v>
      </c>
      <c r="F694" s="706" t="s">
        <v>1149</v>
      </c>
      <c r="G694" s="706">
        <v>0</v>
      </c>
      <c r="H694" s="706">
        <v>0</v>
      </c>
      <c r="I694" s="706">
        <v>0</v>
      </c>
      <c r="J694" s="706">
        <v>0</v>
      </c>
      <c r="K694" s="706">
        <v>1503300</v>
      </c>
      <c r="L694" s="706">
        <v>2100300</v>
      </c>
      <c r="M694" s="706">
        <v>2100300</v>
      </c>
      <c r="N694" s="706">
        <v>2460300</v>
      </c>
      <c r="O694" s="706">
        <v>2460300</v>
      </c>
      <c r="P694" s="706">
        <v>0</v>
      </c>
      <c r="Q694" s="706">
        <v>0</v>
      </c>
      <c r="R694" s="706">
        <v>0</v>
      </c>
      <c r="S694" s="706">
        <v>307537.5</v>
      </c>
      <c r="T694" s="706">
        <v>307537.5</v>
      </c>
      <c r="U694" s="706">
        <v>0</v>
      </c>
      <c r="V694" s="706">
        <v>0</v>
      </c>
      <c r="W694" s="706">
        <v>0</v>
      </c>
      <c r="X694" s="706">
        <v>0</v>
      </c>
      <c r="Y694" s="706">
        <v>0</v>
      </c>
      <c r="Z694" s="706">
        <v>4</v>
      </c>
      <c r="AA694" s="706">
        <v>5</v>
      </c>
      <c r="AB694" s="706">
        <v>5</v>
      </c>
      <c r="AC694" s="706">
        <v>6</v>
      </c>
      <c r="AD694" s="706">
        <v>6</v>
      </c>
      <c r="AE694" s="706">
        <v>0</v>
      </c>
      <c r="AF694" s="706">
        <v>0</v>
      </c>
      <c r="AG694" s="706">
        <v>0</v>
      </c>
      <c r="AH694" s="706">
        <v>1</v>
      </c>
      <c r="AI694" s="706">
        <v>1</v>
      </c>
      <c r="AJ694" s="905" t="str">
        <f t="shared" si="68"/>
        <v>G45202</v>
      </c>
      <c r="AK694" s="905" t="str">
        <f t="shared" si="69"/>
        <v>VTES- WHOLESALES M</v>
      </c>
      <c r="AL694" s="905">
        <f>IFERROR(INDEX(G694:R694,1,MATCH(Parametres!$B$3,G$1:R$1,0)-1)*IF(OR(F694="L",F694="S",F694="I"),-1,1),"")</f>
        <v>-2100300</v>
      </c>
      <c r="AM694" s="1047">
        <f t="shared" si="70"/>
        <v>-360000</v>
      </c>
      <c r="AN694" s="905">
        <f>INDEX(G694:R694,1,MATCH(Parametres!$B$3,G$1:R$1,0))*IF(OR(F694="L",F694="S",F694="I"),-1,1)</f>
        <v>-2460300</v>
      </c>
      <c r="AO694" s="487" t="str">
        <f>+VLOOKUP($AJ694,Data_Validation!$A:$D,1,0)</f>
        <v>G45202</v>
      </c>
      <c r="AP694" s="487" t="str">
        <f>+VLOOKUP($AJ694,Data_Validation!$A:$D,3,0)</f>
        <v>Wholesale autres</v>
      </c>
      <c r="AQ694" s="487" t="str">
        <f>+VLOOKUP($AJ694,Data_Validation!$A:$D,4,0)</f>
        <v>Wholesale Luxueux</v>
      </c>
      <c r="AR694" s="487" t="s">
        <v>299</v>
      </c>
      <c r="AS694" s="487" t="str">
        <f>+VLOOKUP($AJ694,Data_Validation!$A:$E,5,0)</f>
        <v>Oui</v>
      </c>
      <c r="AT694" s="904" t="str">
        <f t="shared" si="71"/>
        <v>G45202</v>
      </c>
      <c r="AU694" s="488" t="str">
        <f t="shared" si="72"/>
        <v>VTES- WHOLESALES M</v>
      </c>
      <c r="AV694" s="899">
        <f>IFERROR(INDEX(V694:AG694,1,MATCH(Parametres!$B$3,V$1:AG$1,0)-1)*IF(OR(C694="L",C694="S",C694="I"),-1,1),"")</f>
        <v>5</v>
      </c>
      <c r="AW694" s="899">
        <f t="shared" si="73"/>
        <v>1</v>
      </c>
      <c r="AX694" s="899">
        <f>INDEX(V694:AG694,1,MATCH(Parametres!$B$3,V$1:AG$1,0))*IF(OR(C694="L",C694="S",C694="I"),-1,1)</f>
        <v>6</v>
      </c>
      <c r="AY694" s="487" t="s">
        <v>337</v>
      </c>
      <c r="AZ694" s="487" t="str">
        <f>+VLOOKUP($AJ694,Data_Validation!$A:$E,5,0)</f>
        <v>Oui</v>
      </c>
    </row>
    <row r="695" spans="1:52" ht="15" hidden="1" customHeight="1">
      <c r="A695" s="706" t="s">
        <v>1148</v>
      </c>
      <c r="B695" s="706">
        <v>2026</v>
      </c>
      <c r="C695" s="706" t="s">
        <v>2424</v>
      </c>
      <c r="D695" s="706" t="s">
        <v>2425</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G45300</v>
      </c>
      <c r="AK695" s="905" t="str">
        <f t="shared" si="69"/>
        <v>*RECTIFICATION/STOK/TRUCK</v>
      </c>
      <c r="AL695" s="905">
        <f>IFERROR(INDEX(G695:R695,1,MATCH(Parametres!$B$3,G$1:R$1,0)-1)*IF(OR(F695="L",F695="S",F695="I"),-1,1),"")</f>
        <v>0</v>
      </c>
      <c r="AM695" s="905">
        <f t="shared" si="70"/>
        <v>0</v>
      </c>
      <c r="AN695" s="905">
        <f>INDEX(G695:R695,1,MATCH(Parametres!$B$3,G$1:R$1,0))*IF(OR(F695="L",F695="S",F695="I"),-1,1)</f>
        <v>0</v>
      </c>
      <c r="AO695" s="487" t="str">
        <f>+VLOOKUP($AJ695,Data_Validation!$A:$D,1,0)</f>
        <v>G45300</v>
      </c>
      <c r="AP695" s="487">
        <f>+VLOOKUP($AJ695,Data_Validation!$A:$D,3,0)</f>
        <v>0</v>
      </c>
      <c r="AQ695" s="487">
        <f>+VLOOKUP($AJ695,Data_Validation!$A:$D,4,0)</f>
        <v>0</v>
      </c>
      <c r="AR695" s="487" t="s">
        <v>299</v>
      </c>
      <c r="AS695" s="487">
        <f>+VLOOKUP($AJ695,Data_Validation!$A:$E,5,0)</f>
        <v>0</v>
      </c>
      <c r="AT695" s="904" t="str">
        <f t="shared" si="71"/>
        <v>G45300</v>
      </c>
      <c r="AU695" s="488" t="str">
        <f t="shared" si="72"/>
        <v>*RECTIFICATION/STOK/TRUCK</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hidden="1" customHeight="1">
      <c r="A696" s="706" t="s">
        <v>1148</v>
      </c>
      <c r="B696" s="706">
        <v>2026</v>
      </c>
      <c r="C696" s="706" t="s">
        <v>2426</v>
      </c>
      <c r="D696" s="706" t="s">
        <v>2427</v>
      </c>
      <c r="E696" s="706" t="s">
        <v>333</v>
      </c>
      <c r="F696" s="706" t="s">
        <v>1149</v>
      </c>
      <c r="G696" s="706">
        <v>32386.73</v>
      </c>
      <c r="H696" s="706">
        <v>41911.730000000003</v>
      </c>
      <c r="I696" s="706">
        <v>60622.73</v>
      </c>
      <c r="J696" s="706">
        <v>95459.73</v>
      </c>
      <c r="K696" s="706">
        <v>126732.73</v>
      </c>
      <c r="L696" s="706">
        <v>155831.73000000001</v>
      </c>
      <c r="M696" s="706">
        <v>155831.73000000001</v>
      </c>
      <c r="N696" s="706">
        <v>165411.73000000001</v>
      </c>
      <c r="O696" s="706">
        <v>165411.73000000001</v>
      </c>
      <c r="P696" s="706">
        <v>0</v>
      </c>
      <c r="Q696" s="706">
        <v>0</v>
      </c>
      <c r="R696" s="706">
        <v>0</v>
      </c>
      <c r="S696" s="706">
        <v>20676.47</v>
      </c>
      <c r="T696" s="706">
        <v>20676.47</v>
      </c>
      <c r="U696" s="706">
        <v>0</v>
      </c>
      <c r="V696" s="706">
        <v>9</v>
      </c>
      <c r="W696" s="706">
        <v>12</v>
      </c>
      <c r="X696" s="706">
        <v>17</v>
      </c>
      <c r="Y696" s="706">
        <v>26</v>
      </c>
      <c r="Z696" s="706">
        <v>35</v>
      </c>
      <c r="AA696" s="706">
        <v>43</v>
      </c>
      <c r="AB696" s="706">
        <v>43</v>
      </c>
      <c r="AC696" s="706">
        <v>46</v>
      </c>
      <c r="AD696" s="706">
        <v>46</v>
      </c>
      <c r="AE696" s="706">
        <v>0</v>
      </c>
      <c r="AF696" s="706">
        <v>0</v>
      </c>
      <c r="AG696" s="706">
        <v>0</v>
      </c>
      <c r="AH696" s="706">
        <v>6</v>
      </c>
      <c r="AI696" s="706">
        <v>6</v>
      </c>
      <c r="AJ696" s="905" t="str">
        <f t="shared" si="68"/>
        <v>G45400</v>
      </c>
      <c r="AK696" s="905" t="str">
        <f t="shared" si="69"/>
        <v>VTES-PLAN PROTECTION USAG</v>
      </c>
      <c r="AL696" s="905">
        <f>IFERROR(INDEX(G696:R696,1,MATCH(Parametres!$B$3,G$1:R$1,0)-1)*IF(OR(F696="L",F696="S",F696="I"),-1,1),"")</f>
        <v>-155831.73000000001</v>
      </c>
      <c r="AM696" s="1047">
        <f t="shared" si="70"/>
        <v>-9580</v>
      </c>
      <c r="AN696" s="905">
        <f>INDEX(G696:R696,1,MATCH(Parametres!$B$3,G$1:R$1,0))*IF(OR(F696="L",F696="S",F696="I"),-1,1)</f>
        <v>-165411.73000000001</v>
      </c>
      <c r="AO696" s="487" t="str">
        <f>+VLOOKUP($AJ696,Data_Validation!$A:$D,1,0)</f>
        <v>G45400</v>
      </c>
      <c r="AP696" s="487" t="str">
        <f>+VLOOKUP($AJ696,Data_Validation!$A:$D,3,0)</f>
        <v>Véhicules usagés</v>
      </c>
      <c r="AQ696" s="487" t="str">
        <f>+VLOOKUP($AJ696,Data_Validation!$A:$D,4,0)</f>
        <v>Rev. Protections</v>
      </c>
      <c r="AR696" s="487" t="s">
        <v>299</v>
      </c>
      <c r="AS696" s="487" t="str">
        <f>+VLOOKUP($AJ696,Data_Validation!$A:$E,5,0)</f>
        <v>Oui</v>
      </c>
      <c r="AT696" s="904" t="str">
        <f t="shared" si="71"/>
        <v>G45400</v>
      </c>
      <c r="AU696" s="488" t="str">
        <f t="shared" si="72"/>
        <v>VTES-PLAN PROTECTION USAG</v>
      </c>
      <c r="AV696" s="899">
        <f>IFERROR(INDEX(V696:AG696,1,MATCH(Parametres!$B$3,V$1:AG$1,0)-1)*IF(OR(C696="L",C696="S",C696="I"),-1,1),"")</f>
        <v>43</v>
      </c>
      <c r="AW696" s="899">
        <f t="shared" si="73"/>
        <v>3</v>
      </c>
      <c r="AX696" s="899">
        <f>INDEX(V696:AG696,1,MATCH(Parametres!$B$3,V$1:AG$1,0))*IF(OR(C696="L",C696="S",C696="I"),-1,1)</f>
        <v>46</v>
      </c>
      <c r="AY696" s="487" t="s">
        <v>337</v>
      </c>
      <c r="AZ696" s="487" t="str">
        <f>+VLOOKUP($AJ696,Data_Validation!$A:$E,5,0)</f>
        <v>Oui</v>
      </c>
    </row>
    <row r="697" spans="1:52" ht="15" hidden="1" customHeight="1">
      <c r="A697" s="706" t="s">
        <v>1148</v>
      </c>
      <c r="B697" s="706">
        <v>2026</v>
      </c>
      <c r="C697" s="706" t="s">
        <v>3344</v>
      </c>
      <c r="D697" s="706" t="s">
        <v>3345</v>
      </c>
      <c r="E697" s="706" t="s">
        <v>333</v>
      </c>
      <c r="F697" s="706" t="s">
        <v>1149</v>
      </c>
      <c r="G697" s="706">
        <v>0</v>
      </c>
      <c r="H697" s="706">
        <v>0</v>
      </c>
      <c r="I697" s="706">
        <v>0</v>
      </c>
      <c r="J697" s="706">
        <v>0</v>
      </c>
      <c r="K697" s="706">
        <v>0</v>
      </c>
      <c r="L697" s="706">
        <v>0</v>
      </c>
      <c r="M697" s="706">
        <v>8535</v>
      </c>
      <c r="N697" s="706">
        <v>8535</v>
      </c>
      <c r="O697" s="706">
        <v>8535</v>
      </c>
      <c r="P697" s="706">
        <v>0</v>
      </c>
      <c r="Q697" s="706">
        <v>0</v>
      </c>
      <c r="R697" s="706">
        <v>0</v>
      </c>
      <c r="S697" s="706">
        <v>1066.8800000000001</v>
      </c>
      <c r="T697" s="706">
        <v>1066.8800000000001</v>
      </c>
      <c r="U697" s="706">
        <v>0</v>
      </c>
      <c r="V697" s="706">
        <v>0</v>
      </c>
      <c r="W697" s="706">
        <v>0</v>
      </c>
      <c r="X697" s="706">
        <v>0</v>
      </c>
      <c r="Y697" s="706">
        <v>0</v>
      </c>
      <c r="Z697" s="706">
        <v>0</v>
      </c>
      <c r="AA697" s="706">
        <v>0</v>
      </c>
      <c r="AB697" s="706">
        <v>3</v>
      </c>
      <c r="AC697" s="706">
        <v>3</v>
      </c>
      <c r="AD697" s="706">
        <v>3</v>
      </c>
      <c r="AE697" s="706">
        <v>0</v>
      </c>
      <c r="AF697" s="706">
        <v>0</v>
      </c>
      <c r="AG697" s="706">
        <v>0</v>
      </c>
      <c r="AH697" s="706">
        <v>0</v>
      </c>
      <c r="AI697" s="706">
        <v>0</v>
      </c>
      <c r="AJ697" s="905" t="str">
        <f t="shared" si="68"/>
        <v>G45401</v>
      </c>
      <c r="AK697" s="905" t="str">
        <f t="shared" si="69"/>
        <v>VTES ANTIROUILLE USAGE</v>
      </c>
      <c r="AL697" s="905">
        <f>IFERROR(INDEX(G697:R697,1,MATCH(Parametres!$B$3,G$1:R$1,0)-1)*IF(OR(F697="L",F697="S",F697="I"),-1,1),"")</f>
        <v>-8535</v>
      </c>
      <c r="AM697" s="905">
        <f t="shared" si="70"/>
        <v>0</v>
      </c>
      <c r="AN697" s="905">
        <f>INDEX(G697:R697,1,MATCH(Parametres!$B$3,G$1:R$1,0))*IF(OR(F697="L",F697="S",F697="I"),-1,1)</f>
        <v>-8535</v>
      </c>
      <c r="AO697" s="487" t="str">
        <f>+VLOOKUP($AJ697,Data_Validation!$A:$D,1,0)</f>
        <v>G45401</v>
      </c>
      <c r="AP697" s="487" t="str">
        <f>+VLOOKUP($AJ697,Data_Validation!$A:$D,3,0)</f>
        <v>Véhicules usagés</v>
      </c>
      <c r="AQ697" s="487" t="str">
        <f>+VLOOKUP($AJ697,Data_Validation!$A:$D,4,0)</f>
        <v>Rev. Protections</v>
      </c>
      <c r="AR697" s="487" t="s">
        <v>299</v>
      </c>
      <c r="AS697" s="487" t="str">
        <f>+VLOOKUP($AJ697,Data_Validation!$A:$E,5,0)</f>
        <v>Oui</v>
      </c>
      <c r="AT697" s="904" t="str">
        <f t="shared" si="71"/>
        <v>G45401</v>
      </c>
      <c r="AU697" s="488" t="str">
        <f t="shared" si="72"/>
        <v>VTES ANTIROUILLE USAGE</v>
      </c>
      <c r="AV697" s="899">
        <f>IFERROR(INDEX(V697:AG697,1,MATCH(Parametres!$B$3,V$1:AG$1,0)-1)*IF(OR(C697="L",C697="S",C697="I"),-1,1),"")</f>
        <v>3</v>
      </c>
      <c r="AW697" s="899">
        <f t="shared" si="73"/>
        <v>0</v>
      </c>
      <c r="AX697" s="899">
        <f>INDEX(V697:AG697,1,MATCH(Parametres!$B$3,V$1:AG$1,0))*IF(OR(C697="L",C697="S",C697="I"),-1,1)</f>
        <v>3</v>
      </c>
      <c r="AY697" s="487" t="s">
        <v>337</v>
      </c>
      <c r="AZ697" s="487" t="str">
        <f>+VLOOKUP($AJ697,Data_Validation!$A:$E,5,0)</f>
        <v>Oui</v>
      </c>
    </row>
    <row r="698" spans="1:52" ht="15" hidden="1" customHeight="1">
      <c r="A698" s="706" t="s">
        <v>1148</v>
      </c>
      <c r="B698" s="706">
        <v>2026</v>
      </c>
      <c r="C698" s="706" t="s">
        <v>3346</v>
      </c>
      <c r="D698" s="706" t="s">
        <v>3347</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G45403</v>
      </c>
      <c r="AK698" s="905" t="str">
        <f t="shared" si="69"/>
        <v>VTE VITRE-PEINT-TISS- US</v>
      </c>
      <c r="AL698" s="905">
        <f>IFERROR(INDEX(G698:R698,1,MATCH(Parametres!$B$3,G$1:R$1,0)-1)*IF(OR(F698="L",F698="S",F698="I"),-1,1),"")</f>
        <v>0</v>
      </c>
      <c r="AM698" s="905">
        <f t="shared" si="70"/>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71"/>
        <v>G45403</v>
      </c>
      <c r="AU698" s="488" t="str">
        <f t="shared" si="72"/>
        <v>VTE VITRE-PEINT-TISS- US</v>
      </c>
      <c r="AV698" s="899">
        <f>IFERROR(INDEX(V698:AG698,1,MATCH(Parametres!$B$3,V$1:AG$1,0)-1)*IF(OR(C698="L",C698="S",C698="I"),-1,1),"")</f>
        <v>0</v>
      </c>
      <c r="AW698" s="899">
        <f t="shared" si="73"/>
        <v>0</v>
      </c>
      <c r="AX698" s="899">
        <f>INDEX(V698:AG698,1,MATCH(Parametres!$B$3,V$1:AG$1,0))*IF(OR(C698="L",C698="S",C698="I"),-1,1)</f>
        <v>0</v>
      </c>
      <c r="AY698" s="487" t="s">
        <v>337</v>
      </c>
      <c r="AZ698" s="487" t="e">
        <f>+VLOOKUP($AJ698,Data_Validation!$A:$E,5,0)</f>
        <v>#N/A</v>
      </c>
    </row>
    <row r="699" spans="1:52" ht="15" hidden="1" customHeight="1">
      <c r="A699" s="706" t="s">
        <v>1148</v>
      </c>
      <c r="B699" s="706">
        <v>2026</v>
      </c>
      <c r="C699" s="706" t="s">
        <v>3348</v>
      </c>
      <c r="D699" s="706" t="s">
        <v>3349</v>
      </c>
      <c r="E699" s="706" t="s">
        <v>333</v>
      </c>
      <c r="F699" s="706" t="s">
        <v>1149</v>
      </c>
      <c r="G699" s="706">
        <v>0</v>
      </c>
      <c r="H699" s="706">
        <v>0</v>
      </c>
      <c r="I699" s="706">
        <v>0</v>
      </c>
      <c r="J699" s="706">
        <v>0</v>
      </c>
      <c r="K699" s="706">
        <v>0</v>
      </c>
      <c r="L699" s="706">
        <v>0</v>
      </c>
      <c r="M699" s="706">
        <v>998</v>
      </c>
      <c r="N699" s="706">
        <v>998</v>
      </c>
      <c r="O699" s="706">
        <v>998</v>
      </c>
      <c r="P699" s="706">
        <v>0</v>
      </c>
      <c r="Q699" s="706">
        <v>0</v>
      </c>
      <c r="R699" s="706">
        <v>0</v>
      </c>
      <c r="S699" s="706">
        <v>124.75</v>
      </c>
      <c r="T699" s="706">
        <v>124.75</v>
      </c>
      <c r="U699" s="706">
        <v>0</v>
      </c>
      <c r="V699" s="706">
        <v>0</v>
      </c>
      <c r="W699" s="706">
        <v>0</v>
      </c>
      <c r="X699" s="706">
        <v>0</v>
      </c>
      <c r="Y699" s="706">
        <v>0</v>
      </c>
      <c r="Z699" s="706">
        <v>0</v>
      </c>
      <c r="AA699" s="706">
        <v>0</v>
      </c>
      <c r="AB699" s="706">
        <v>2</v>
      </c>
      <c r="AC699" s="706">
        <v>2</v>
      </c>
      <c r="AD699" s="706">
        <v>2</v>
      </c>
      <c r="AE699" s="706">
        <v>0</v>
      </c>
      <c r="AF699" s="706">
        <v>0</v>
      </c>
      <c r="AG699" s="706">
        <v>0</v>
      </c>
      <c r="AH699" s="706">
        <v>0</v>
      </c>
      <c r="AI699" s="706">
        <v>0</v>
      </c>
      <c r="AJ699" s="905" t="str">
        <f t="shared" si="68"/>
        <v>G45405</v>
      </c>
      <c r="AK699" s="905" t="str">
        <f t="shared" si="69"/>
        <v>VTES ANTIVOL-TAG -OCC</v>
      </c>
      <c r="AL699" s="905">
        <f>IFERROR(INDEX(G699:R699,1,MATCH(Parametres!$B$3,G$1:R$1,0)-1)*IF(OR(F699="L",F699="S",F699="I"),-1,1),"")</f>
        <v>-998</v>
      </c>
      <c r="AM699" s="905">
        <f t="shared" si="70"/>
        <v>0</v>
      </c>
      <c r="AN699" s="905">
        <f>INDEX(G699:R699,1,MATCH(Parametres!$B$3,G$1:R$1,0))*IF(OR(F699="L",F699="S",F699="I"),-1,1)</f>
        <v>-998</v>
      </c>
      <c r="AO699" s="487" t="str">
        <f>+VLOOKUP($AJ699,Data_Validation!$A:$D,1,0)</f>
        <v>G45405</v>
      </c>
      <c r="AP699" s="487" t="str">
        <f>+VLOOKUP($AJ699,Data_Validation!$A:$D,3,0)</f>
        <v>Véhicules usagés</v>
      </c>
      <c r="AQ699" s="487" t="str">
        <f>+VLOOKUP($AJ699,Data_Validation!$A:$D,4,0)</f>
        <v>Rev. Protections</v>
      </c>
      <c r="AR699" s="487" t="s">
        <v>299</v>
      </c>
      <c r="AS699" s="487" t="str">
        <f>+VLOOKUP($AJ699,Data_Validation!$A:$E,5,0)</f>
        <v>Oui</v>
      </c>
      <c r="AT699" s="904" t="str">
        <f t="shared" si="71"/>
        <v>G45405</v>
      </c>
      <c r="AU699" s="488" t="str">
        <f t="shared" si="72"/>
        <v>VTES ANTIVOL-TAG -OCC</v>
      </c>
      <c r="AV699" s="899">
        <f>IFERROR(INDEX(V699:AG699,1,MATCH(Parametres!$B$3,V$1:AG$1,0)-1)*IF(OR(C699="L",C699="S",C699="I"),-1,1),"")</f>
        <v>2</v>
      </c>
      <c r="AW699" s="899">
        <f t="shared" si="73"/>
        <v>0</v>
      </c>
      <c r="AX699" s="899">
        <f>INDEX(V699:AG699,1,MATCH(Parametres!$B$3,V$1:AG$1,0))*IF(OR(C699="L",C699="S",C699="I"),-1,1)</f>
        <v>2</v>
      </c>
      <c r="AY699" s="487" t="s">
        <v>337</v>
      </c>
      <c r="AZ699" s="487" t="str">
        <f>+VLOOKUP($AJ699,Data_Validation!$A:$E,5,0)</f>
        <v>Oui</v>
      </c>
    </row>
    <row r="700" spans="1:52" ht="15" hidden="1" customHeight="1">
      <c r="A700" s="706" t="s">
        <v>1148</v>
      </c>
      <c r="B700" s="706">
        <v>2026</v>
      </c>
      <c r="C700" s="706" t="s">
        <v>2428</v>
      </c>
      <c r="D700" s="706" t="s">
        <v>2429</v>
      </c>
      <c r="E700" s="706" t="s">
        <v>1149</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G45500</v>
      </c>
      <c r="AK700" s="905" t="str">
        <f t="shared" si="69"/>
        <v>RETOUR DE LOCATION-VENTE</v>
      </c>
      <c r="AL700" s="905">
        <f>IFERROR(INDEX(G700:R700,1,MATCH(Parametres!$B$3,G$1:R$1,0)-1)*IF(OR(F700="L",F700="S",F700="I"),-1,1),"")</f>
        <v>0</v>
      </c>
      <c r="AM700" s="905">
        <f t="shared" si="70"/>
        <v>0</v>
      </c>
      <c r="AN700" s="905">
        <f>INDEX(G700:R700,1,MATCH(Parametres!$B$3,G$1:R$1,0))*IF(OR(F700="L",F700="S",F700="I"),-1,1)</f>
        <v>0</v>
      </c>
      <c r="AO700" s="487" t="str">
        <f>+VLOOKUP($AJ700,Data_Validation!$A:$D,1,0)</f>
        <v>G45500</v>
      </c>
      <c r="AP700" s="487" t="str">
        <f>+VLOOKUP($AJ700,Data_Validation!$A:$D,3,0)</f>
        <v>Véhicules usagés</v>
      </c>
      <c r="AQ700" s="487" t="str">
        <f>+VLOOKUP($AJ700,Data_Validation!$A:$D,4,0)</f>
        <v>Rev. Protections</v>
      </c>
      <c r="AR700" s="487" t="s">
        <v>299</v>
      </c>
      <c r="AS700" s="487" t="str">
        <f>+VLOOKUP($AJ700,Data_Validation!$A:$E,5,0)</f>
        <v>Oui</v>
      </c>
      <c r="AT700" s="904" t="str">
        <f t="shared" si="71"/>
        <v>G45500</v>
      </c>
      <c r="AU700" s="488" t="str">
        <f t="shared" si="72"/>
        <v>RETOUR DE LOCATION-VENTE</v>
      </c>
      <c r="AV700" s="899">
        <f>IFERROR(INDEX(V700:AG700,1,MATCH(Parametres!$B$3,V$1:AG$1,0)-1)*IF(OR(C700="L",C700="S",C700="I"),-1,1),"")</f>
        <v>0</v>
      </c>
      <c r="AW700" s="899">
        <f t="shared" si="73"/>
        <v>0</v>
      </c>
      <c r="AX700" s="899">
        <f>INDEX(V700:AG700,1,MATCH(Parametres!$B$3,V$1:AG$1,0))*IF(OR(C700="L",C700="S",C700="I"),-1,1)</f>
        <v>0</v>
      </c>
      <c r="AY700" s="487" t="s">
        <v>337</v>
      </c>
      <c r="AZ700" s="487" t="str">
        <f>+VLOOKUP($AJ700,Data_Validation!$A:$E,5,0)</f>
        <v>Oui</v>
      </c>
    </row>
    <row r="701" spans="1:52" ht="15" hidden="1" customHeight="1">
      <c r="A701" s="706" t="s">
        <v>1148</v>
      </c>
      <c r="B701" s="706">
        <v>2026</v>
      </c>
      <c r="C701" s="706" t="s">
        <v>2430</v>
      </c>
      <c r="D701" s="706" t="s">
        <v>2431</v>
      </c>
      <c r="E701" s="706" t="s">
        <v>333</v>
      </c>
      <c r="F701" s="706" t="s">
        <v>1149</v>
      </c>
      <c r="G701" s="706">
        <v>2177</v>
      </c>
      <c r="H701" s="706">
        <v>2177</v>
      </c>
      <c r="I701" s="706">
        <v>3534</v>
      </c>
      <c r="J701" s="706">
        <v>3534</v>
      </c>
      <c r="K701" s="706">
        <v>3534</v>
      </c>
      <c r="L701" s="706">
        <v>3534</v>
      </c>
      <c r="M701" s="706">
        <v>3534</v>
      </c>
      <c r="N701" s="706">
        <v>11188</v>
      </c>
      <c r="O701" s="706">
        <v>11188</v>
      </c>
      <c r="P701" s="706">
        <v>0</v>
      </c>
      <c r="Q701" s="706">
        <v>0</v>
      </c>
      <c r="R701" s="706">
        <v>0</v>
      </c>
      <c r="S701" s="706">
        <v>1398.5</v>
      </c>
      <c r="T701" s="706">
        <v>1398.5</v>
      </c>
      <c r="U701" s="706">
        <v>0</v>
      </c>
      <c r="V701" s="706">
        <v>1</v>
      </c>
      <c r="W701" s="706">
        <v>1</v>
      </c>
      <c r="X701" s="706">
        <v>2</v>
      </c>
      <c r="Y701" s="706">
        <v>2</v>
      </c>
      <c r="Z701" s="706">
        <v>2</v>
      </c>
      <c r="AA701" s="706">
        <v>2</v>
      </c>
      <c r="AB701" s="706">
        <v>2</v>
      </c>
      <c r="AC701" s="706">
        <v>4</v>
      </c>
      <c r="AD701" s="706">
        <v>4</v>
      </c>
      <c r="AE701" s="706">
        <v>0</v>
      </c>
      <c r="AF701" s="706">
        <v>0</v>
      </c>
      <c r="AG701" s="706">
        <v>0</v>
      </c>
      <c r="AH701" s="706">
        <v>1</v>
      </c>
      <c r="AI701" s="706">
        <v>1</v>
      </c>
      <c r="AJ701" s="905" t="str">
        <f t="shared" si="68"/>
        <v>G45600</v>
      </c>
      <c r="AK701" s="905" t="str">
        <f t="shared" si="69"/>
        <v>VALEUR REMPL. USAGES</v>
      </c>
      <c r="AL701" s="905">
        <f>IFERROR(INDEX(G701:R701,1,MATCH(Parametres!$B$3,G$1:R$1,0)-1)*IF(OR(F701="L",F701="S",F701="I"),-1,1),"")</f>
        <v>-3534</v>
      </c>
      <c r="AM701" s="905">
        <f t="shared" si="70"/>
        <v>-7654</v>
      </c>
      <c r="AN701" s="905">
        <f>INDEX(G701:R701,1,MATCH(Parametres!$B$3,G$1:R$1,0))*IF(OR(F701="L",F701="S",F701="I"),-1,1)</f>
        <v>-11188</v>
      </c>
      <c r="AO701" s="487" t="str">
        <f>+VLOOKUP($AJ701,Data_Validation!$A:$D,1,0)</f>
        <v>G45600</v>
      </c>
      <c r="AP701" s="487" t="str">
        <f>+VLOOKUP($AJ701,Data_Validation!$A:$D,3,0)</f>
        <v>Véhicules usagés</v>
      </c>
      <c r="AQ701" s="487" t="str">
        <f>+VLOOKUP($AJ701,Data_Validation!$A:$D,4,0)</f>
        <v>Rev. Protections</v>
      </c>
      <c r="AR701" s="487" t="s">
        <v>299</v>
      </c>
      <c r="AS701" s="487" t="str">
        <f>+VLOOKUP($AJ701,Data_Validation!$A:$E,5,0)</f>
        <v>Oui</v>
      </c>
      <c r="AT701" s="904" t="str">
        <f t="shared" si="71"/>
        <v>G45600</v>
      </c>
      <c r="AU701" s="488" t="str">
        <f t="shared" si="72"/>
        <v>VALEUR REMPL. USAGES</v>
      </c>
      <c r="AV701" s="899">
        <f>IFERROR(INDEX(V701:AG701,1,MATCH(Parametres!$B$3,V$1:AG$1,0)-1)*IF(OR(C701="L",C701="S",C701="I"),-1,1),"")</f>
        <v>2</v>
      </c>
      <c r="AW701" s="899">
        <f t="shared" si="73"/>
        <v>2</v>
      </c>
      <c r="AX701" s="899">
        <f>INDEX(V701:AG701,1,MATCH(Parametres!$B$3,V$1:AG$1,0))*IF(OR(C701="L",C701="S",C701="I"),-1,1)</f>
        <v>4</v>
      </c>
      <c r="AY701" s="487" t="s">
        <v>337</v>
      </c>
      <c r="AZ701" s="487" t="str">
        <f>+VLOOKUP($AJ701,Data_Validation!$A:$E,5,0)</f>
        <v>Oui</v>
      </c>
    </row>
    <row r="702" spans="1:52" ht="15" hidden="1" customHeight="1">
      <c r="A702" s="706" t="s">
        <v>1148</v>
      </c>
      <c r="B702" s="706">
        <v>2026</v>
      </c>
      <c r="C702" s="706" t="s">
        <v>2432</v>
      </c>
      <c r="D702" s="706" t="s">
        <v>2433</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G45601</v>
      </c>
      <c r="AK702" s="905" t="str">
        <f t="shared" si="69"/>
        <v>REV VEHICULES U.S.A</v>
      </c>
      <c r="AL702" s="905">
        <f>IFERROR(INDEX(G702:R702,1,MATCH(Parametres!$B$3,G$1:R$1,0)-1)*IF(OR(F702="L",F702="S",F702="I"),-1,1),"")</f>
        <v>0</v>
      </c>
      <c r="AM702" s="905">
        <f t="shared" si="70"/>
        <v>0</v>
      </c>
      <c r="AN702" s="905">
        <f>INDEX(G702:R702,1,MATCH(Parametres!$B$3,G$1:R$1,0))*IF(OR(F702="L",F702="S",F702="I"),-1,1)</f>
        <v>0</v>
      </c>
      <c r="AO702" s="487" t="str">
        <f>+VLOOKUP($AJ702,Data_Validation!$A:$D,1,0)</f>
        <v>G45601</v>
      </c>
      <c r="AP702" s="487" t="str">
        <f>+VLOOKUP($AJ702,Data_Validation!$A:$D,3,0)</f>
        <v>Wholesale autres</v>
      </c>
      <c r="AQ702" s="487" t="str">
        <f>+VLOOKUP($AJ702,Data_Validation!$A:$D,4,0)</f>
        <v>Wholesale USA</v>
      </c>
      <c r="AR702" s="487" t="s">
        <v>299</v>
      </c>
      <c r="AS702" s="487" t="str">
        <f>+VLOOKUP($AJ702,Data_Validation!$A:$E,5,0)</f>
        <v>Oui</v>
      </c>
      <c r="AT702" s="904" t="str">
        <f t="shared" si="71"/>
        <v>G45601</v>
      </c>
      <c r="AU702" s="488" t="str">
        <f t="shared" si="72"/>
        <v>REV VEHICULES U.S.A</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2434</v>
      </c>
      <c r="D703" s="706" t="s">
        <v>2435</v>
      </c>
      <c r="E703" s="706" t="s">
        <v>333</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G45602</v>
      </c>
      <c r="AK703" s="905" t="str">
        <f t="shared" si="69"/>
        <v>VENTE USA -AJUSTMENT</v>
      </c>
      <c r="AL703" s="905">
        <f>IFERROR(INDEX(G703:R703,1,MATCH(Parametres!$B$3,G$1:R$1,0)-1)*IF(OR(F703="L",F703="S",F703="I"),-1,1),"")</f>
        <v>0</v>
      </c>
      <c r="AM703" s="905">
        <f t="shared" si="70"/>
        <v>0</v>
      </c>
      <c r="AN703" s="905">
        <f>INDEX(G703:R703,1,MATCH(Parametres!$B$3,G$1:R$1,0))*IF(OR(F703="L",F703="S",F703="I"),-1,1)</f>
        <v>0</v>
      </c>
      <c r="AO703" s="487" t="str">
        <f>+VLOOKUP($AJ703,Data_Validation!$A:$D,1,0)</f>
        <v>G45602</v>
      </c>
      <c r="AP703" s="487" t="str">
        <f>+VLOOKUP($AJ703,Data_Validation!$A:$D,3,0)</f>
        <v>Wholesale autres</v>
      </c>
      <c r="AQ703" s="487" t="str">
        <f>+VLOOKUP($AJ703,Data_Validation!$A:$D,4,0)</f>
        <v>Wholesale USA</v>
      </c>
      <c r="AR703" s="487" t="s">
        <v>299</v>
      </c>
      <c r="AS703" s="487" t="str">
        <f>+VLOOKUP($AJ703,Data_Validation!$A:$E,5,0)</f>
        <v>Oui</v>
      </c>
      <c r="AT703" s="904" t="str">
        <f t="shared" si="71"/>
        <v>G45602</v>
      </c>
      <c r="AU703" s="488" t="str">
        <f t="shared" si="72"/>
        <v>VENTE USA -AJUSTMENT</v>
      </c>
      <c r="AV703" s="899">
        <f>IFERROR(INDEX(V703:AG703,1,MATCH(Parametres!$B$3,V$1:AG$1,0)-1)*IF(OR(C703="L",C703="S",C703="I"),-1,1),"")</f>
        <v>0</v>
      </c>
      <c r="AW703" s="899">
        <f t="shared" si="73"/>
        <v>0</v>
      </c>
      <c r="AX703" s="899">
        <f>INDEX(V703:AG703,1,MATCH(Parametres!$B$3,V$1:AG$1,0))*IF(OR(C703="L",C703="S",C703="I"),-1,1)</f>
        <v>0</v>
      </c>
      <c r="AY703" s="487" t="s">
        <v>337</v>
      </c>
      <c r="AZ703" s="487" t="str">
        <f>+VLOOKUP($AJ703,Data_Validation!$A:$E,5,0)</f>
        <v>Oui</v>
      </c>
    </row>
    <row r="704" spans="1:52" ht="15" customHeight="1">
      <c r="A704" s="706" t="s">
        <v>1148</v>
      </c>
      <c r="B704" s="706">
        <v>2026</v>
      </c>
      <c r="C704" s="706" t="s">
        <v>2436</v>
      </c>
      <c r="D704" s="706" t="s">
        <v>3350</v>
      </c>
      <c r="E704" s="706" t="s">
        <v>1149</v>
      </c>
      <c r="F704" s="706" t="s">
        <v>1149</v>
      </c>
      <c r="G704" s="706">
        <v>1865674.77</v>
      </c>
      <c r="H704" s="706">
        <v>3739642.83</v>
      </c>
      <c r="I704" s="706">
        <v>7577610.2699999996</v>
      </c>
      <c r="J704" s="706">
        <v>11976681.210000001</v>
      </c>
      <c r="K704" s="706">
        <v>15277728.66</v>
      </c>
      <c r="L704" s="706">
        <v>18289428.579999998</v>
      </c>
      <c r="M704" s="706">
        <v>20328923.420000002</v>
      </c>
      <c r="N704" s="706">
        <v>23763358.059999999</v>
      </c>
      <c r="O704" s="706">
        <v>23763358.059999999</v>
      </c>
      <c r="P704" s="706">
        <v>0</v>
      </c>
      <c r="Q704" s="706">
        <v>0</v>
      </c>
      <c r="R704" s="706">
        <v>0</v>
      </c>
      <c r="S704" s="706">
        <v>2970419.76</v>
      </c>
      <c r="T704" s="706">
        <v>2970419.76</v>
      </c>
      <c r="U704" s="706">
        <v>0</v>
      </c>
      <c r="V704" s="706">
        <v>40</v>
      </c>
      <c r="W704" s="706">
        <v>82</v>
      </c>
      <c r="X704" s="706">
        <v>165</v>
      </c>
      <c r="Y704" s="706">
        <v>257</v>
      </c>
      <c r="Z704" s="706">
        <v>334</v>
      </c>
      <c r="AA704" s="706">
        <v>396</v>
      </c>
      <c r="AB704" s="706">
        <v>441</v>
      </c>
      <c r="AC704" s="706">
        <v>516</v>
      </c>
      <c r="AD704" s="706">
        <v>516</v>
      </c>
      <c r="AE704" s="706">
        <v>0</v>
      </c>
      <c r="AF704" s="706">
        <v>0</v>
      </c>
      <c r="AG704" s="706">
        <v>0</v>
      </c>
      <c r="AH704" s="706">
        <v>65</v>
      </c>
      <c r="AI704" s="706">
        <v>65</v>
      </c>
      <c r="AJ704" s="905" t="str">
        <f t="shared" si="68"/>
        <v>G45603</v>
      </c>
      <c r="AK704" s="905" t="str">
        <f t="shared" si="69"/>
        <v>VENTES USA</v>
      </c>
      <c r="AL704" s="905">
        <f>IFERROR(INDEX(G704:R704,1,MATCH(Parametres!$B$3,G$1:R$1,0)-1)*IF(OR(F704="L",F704="S",F704="I"),-1,1),"")</f>
        <v>-20328923.420000002</v>
      </c>
      <c r="AM704" s="1047">
        <f t="shared" si="70"/>
        <v>-3434434.6399999969</v>
      </c>
      <c r="AN704" s="905">
        <f>INDEX(G704:R704,1,MATCH(Parametres!$B$3,G$1:R$1,0))*IF(OR(F704="L",F704="S",F704="I"),-1,1)</f>
        <v>-23763358.059999999</v>
      </c>
      <c r="AO704" s="487" t="str">
        <f>+VLOOKUP($AJ704,Data_Validation!$A:$D,1,0)</f>
        <v>G45603</v>
      </c>
      <c r="AP704" s="487" t="str">
        <f>+VLOOKUP($AJ704,Data_Validation!$A:$D,3,0)</f>
        <v>Wholesale autres</v>
      </c>
      <c r="AQ704" s="487" t="str">
        <f>+VLOOKUP($AJ704,Data_Validation!$A:$D,4,0)</f>
        <v>Wholesale USA</v>
      </c>
      <c r="AR704" s="487" t="s">
        <v>299</v>
      </c>
      <c r="AS704" s="487" t="str">
        <f>+VLOOKUP($AJ704,Data_Validation!$A:$E,5,0)</f>
        <v>Oui</v>
      </c>
      <c r="AT704" s="904" t="str">
        <f t="shared" si="71"/>
        <v>G45603</v>
      </c>
      <c r="AU704" s="488" t="str">
        <f t="shared" si="72"/>
        <v>VENTES USA</v>
      </c>
      <c r="AV704" s="899">
        <f>IFERROR(INDEX(V704:AG704,1,MATCH(Parametres!$B$3,V$1:AG$1,0)-1)*IF(OR(C704="L",C704="S",C704="I"),-1,1),"")</f>
        <v>441</v>
      </c>
      <c r="AW704" s="899">
        <f t="shared" si="73"/>
        <v>75</v>
      </c>
      <c r="AX704" s="899">
        <f>INDEX(V704:AG704,1,MATCH(Parametres!$B$3,V$1:AG$1,0))*IF(OR(C704="L",C704="S",C704="I"),-1,1)</f>
        <v>516</v>
      </c>
      <c r="AY704" s="487" t="s">
        <v>337</v>
      </c>
      <c r="AZ704" s="487" t="str">
        <f>+VLOOKUP($AJ704,Data_Validation!$A:$E,5,0)</f>
        <v>Oui</v>
      </c>
    </row>
    <row r="705" spans="1:52" ht="15" customHeight="1">
      <c r="A705" s="706" t="s">
        <v>1148</v>
      </c>
      <c r="B705" s="706">
        <v>2026</v>
      </c>
      <c r="C705" s="706" t="s">
        <v>2438</v>
      </c>
      <c r="D705" s="706" t="s">
        <v>2439</v>
      </c>
      <c r="E705" s="706" t="s">
        <v>1149</v>
      </c>
      <c r="F705" s="706" t="s">
        <v>1149</v>
      </c>
      <c r="G705" s="706">
        <v>0</v>
      </c>
      <c r="H705" s="706">
        <v>0</v>
      </c>
      <c r="I705" s="706">
        <v>0</v>
      </c>
      <c r="J705" s="706">
        <v>0</v>
      </c>
      <c r="K705" s="706">
        <v>3688515.75</v>
      </c>
      <c r="L705" s="706">
        <v>5629910.8300000001</v>
      </c>
      <c r="M705" s="706">
        <v>7128148.5800000001</v>
      </c>
      <c r="N705" s="706">
        <v>8932635.0700000003</v>
      </c>
      <c r="O705" s="706">
        <v>8932635.0700000003</v>
      </c>
      <c r="P705" s="706">
        <v>0</v>
      </c>
      <c r="Q705" s="706">
        <v>0</v>
      </c>
      <c r="R705" s="706">
        <v>0</v>
      </c>
      <c r="S705" s="706">
        <v>1116579.3799999999</v>
      </c>
      <c r="T705" s="706">
        <v>1116579.3799999999</v>
      </c>
      <c r="U705" s="706">
        <v>0</v>
      </c>
      <c r="V705" s="706">
        <v>0</v>
      </c>
      <c r="W705" s="706">
        <v>0</v>
      </c>
      <c r="X705" s="706">
        <v>0</v>
      </c>
      <c r="Y705" s="706">
        <v>0</v>
      </c>
      <c r="Z705" s="706">
        <v>66</v>
      </c>
      <c r="AA705" s="706">
        <v>102</v>
      </c>
      <c r="AB705" s="706">
        <v>127</v>
      </c>
      <c r="AC705" s="706">
        <v>158</v>
      </c>
      <c r="AD705" s="706">
        <v>158</v>
      </c>
      <c r="AE705" s="706">
        <v>0</v>
      </c>
      <c r="AF705" s="706">
        <v>0</v>
      </c>
      <c r="AG705" s="706">
        <v>0</v>
      </c>
      <c r="AH705" s="706">
        <v>20</v>
      </c>
      <c r="AI705" s="706">
        <v>20</v>
      </c>
      <c r="AJ705" s="905" t="str">
        <f t="shared" si="68"/>
        <v>G456031</v>
      </c>
      <c r="AK705" s="905" t="str">
        <f t="shared" si="69"/>
        <v>VENTES INTERCO USA</v>
      </c>
      <c r="AL705" s="905">
        <f>IFERROR(INDEX(G705:R705,1,MATCH(Parametres!$B$3,G$1:R$1,0)-1)*IF(OR(F705="L",F705="S",F705="I"),-1,1),"")</f>
        <v>-7128148.5800000001</v>
      </c>
      <c r="AM705" s="1047">
        <f t="shared" si="70"/>
        <v>-1804486.4900000002</v>
      </c>
      <c r="AN705" s="905">
        <f>INDEX(G705:R705,1,MATCH(Parametres!$B$3,G$1:R$1,0))*IF(OR(F705="L",F705="S",F705="I"),-1,1)</f>
        <v>-8932635.0700000003</v>
      </c>
      <c r="AO705" s="487" t="str">
        <f>+VLOOKUP($AJ705,Data_Validation!$A:$D,1,0)</f>
        <v>G456031</v>
      </c>
      <c r="AP705" s="487">
        <f>+VLOOKUP($AJ705,Data_Validation!$A:$D,3,0)</f>
        <v>0</v>
      </c>
      <c r="AQ705" s="487">
        <f>+VLOOKUP($AJ705,Data_Validation!$A:$D,4,0)</f>
        <v>0</v>
      </c>
      <c r="AR705" s="487" t="s">
        <v>299</v>
      </c>
      <c r="AS705" s="487">
        <f>+VLOOKUP($AJ705,Data_Validation!$A:$E,5,0)</f>
        <v>0</v>
      </c>
      <c r="AT705" s="904" t="str">
        <f t="shared" si="71"/>
        <v>G456031</v>
      </c>
      <c r="AU705" s="488" t="str">
        <f t="shared" si="72"/>
        <v>VENTES INTERCO USA</v>
      </c>
      <c r="AV705" s="899">
        <f>IFERROR(INDEX(V705:AG705,1,MATCH(Parametres!$B$3,V$1:AG$1,0)-1)*IF(OR(C705="L",C705="S",C705="I"),-1,1),"")</f>
        <v>127</v>
      </c>
      <c r="AW705" s="899">
        <f t="shared" si="73"/>
        <v>31</v>
      </c>
      <c r="AX705" s="899">
        <f>INDEX(V705:AG705,1,MATCH(Parametres!$B$3,V$1:AG$1,0))*IF(OR(C705="L",C705="S",C705="I"),-1,1)</f>
        <v>158</v>
      </c>
      <c r="AY705" s="487" t="s">
        <v>337</v>
      </c>
      <c r="AZ705" s="487">
        <f>+VLOOKUP($AJ705,Data_Validation!$A:$E,5,0)</f>
        <v>0</v>
      </c>
    </row>
    <row r="706" spans="1:52" ht="15" customHeight="1">
      <c r="A706" s="706" t="s">
        <v>1148</v>
      </c>
      <c r="B706" s="706">
        <v>2026</v>
      </c>
      <c r="C706" s="706" t="s">
        <v>2440</v>
      </c>
      <c r="D706" s="706" t="s">
        <v>2441</v>
      </c>
      <c r="E706" s="706" t="s">
        <v>1149</v>
      </c>
      <c r="F706" s="706" t="s">
        <v>1149</v>
      </c>
      <c r="G706" s="706">
        <v>0</v>
      </c>
      <c r="H706" s="706">
        <v>0</v>
      </c>
      <c r="I706" s="706">
        <v>0</v>
      </c>
      <c r="J706" s="706">
        <v>0</v>
      </c>
      <c r="K706" s="706">
        <v>7860774.2599999998</v>
      </c>
      <c r="L706" s="706">
        <v>8498277.2599999998</v>
      </c>
      <c r="M706" s="706">
        <v>9319339.2599999998</v>
      </c>
      <c r="N706" s="706">
        <v>10247062.26</v>
      </c>
      <c r="O706" s="706">
        <v>10247062.26</v>
      </c>
      <c r="P706" s="706">
        <v>0</v>
      </c>
      <c r="Q706" s="706">
        <v>0</v>
      </c>
      <c r="R706" s="706">
        <v>0</v>
      </c>
      <c r="S706" s="706">
        <v>1280882.78</v>
      </c>
      <c r="T706" s="706">
        <v>1280882.78</v>
      </c>
      <c r="U706" s="706">
        <v>0</v>
      </c>
      <c r="V706" s="706">
        <v>0</v>
      </c>
      <c r="W706" s="706">
        <v>0</v>
      </c>
      <c r="X706" s="706">
        <v>0</v>
      </c>
      <c r="Y706" s="706">
        <v>0</v>
      </c>
      <c r="Z706" s="706">
        <v>246</v>
      </c>
      <c r="AA706" s="706">
        <v>262</v>
      </c>
      <c r="AB706" s="706">
        <v>283</v>
      </c>
      <c r="AC706" s="706">
        <v>311</v>
      </c>
      <c r="AD706" s="706">
        <v>311</v>
      </c>
      <c r="AE706" s="706">
        <v>0</v>
      </c>
      <c r="AF706" s="706">
        <v>0</v>
      </c>
      <c r="AG706" s="706">
        <v>0</v>
      </c>
      <c r="AH706" s="706">
        <v>39</v>
      </c>
      <c r="AI706" s="706">
        <v>39</v>
      </c>
      <c r="AJ706" s="905" t="str">
        <f t="shared" si="68"/>
        <v>G45605</v>
      </c>
      <c r="AK706" s="905" t="str">
        <f t="shared" si="69"/>
        <v>VENTE WHL CANADA</v>
      </c>
      <c r="AL706" s="905">
        <f>IFERROR(INDEX(G706:R706,1,MATCH(Parametres!$B$3,G$1:R$1,0)-1)*IF(OR(F706="L",F706="S",F706="I"),-1,1),"")</f>
        <v>-9319339.2599999998</v>
      </c>
      <c r="AM706" s="1047">
        <f t="shared" si="70"/>
        <v>-927723</v>
      </c>
      <c r="AN706" s="905">
        <f>INDEX(G706:R706,1,MATCH(Parametres!$B$3,G$1:R$1,0))*IF(OR(F706="L",F706="S",F706="I"),-1,1)</f>
        <v>-10247062.26</v>
      </c>
      <c r="AO706" s="487" t="str">
        <f>+VLOOKUP($AJ706,Data_Validation!$A:$D,1,0)</f>
        <v>G45605</v>
      </c>
      <c r="AP706" s="487" t="str">
        <f>+VLOOKUP($AJ706,Data_Validation!$A:$D,3,0)</f>
        <v>Wholesale autres</v>
      </c>
      <c r="AQ706" s="487" t="str">
        <f>+VLOOKUP($AJ706,Data_Validation!$A:$D,4,0)</f>
        <v>Wholesale Canada</v>
      </c>
      <c r="AR706" s="487" t="s">
        <v>299</v>
      </c>
      <c r="AS706" s="487" t="str">
        <f>+VLOOKUP($AJ706,Data_Validation!$A:$E,5,0)</f>
        <v>Oui</v>
      </c>
      <c r="AT706" s="904" t="str">
        <f t="shared" si="71"/>
        <v>G45605</v>
      </c>
      <c r="AU706" s="488" t="str">
        <f t="shared" si="72"/>
        <v>VENTE WHL CANADA</v>
      </c>
      <c r="AV706" s="899">
        <f>IFERROR(INDEX(V706:AG706,1,MATCH(Parametres!$B$3,V$1:AG$1,0)-1)*IF(OR(C706="L",C706="S",C706="I"),-1,1),"")</f>
        <v>283</v>
      </c>
      <c r="AW706" s="899">
        <f t="shared" si="73"/>
        <v>28</v>
      </c>
      <c r="AX706" s="899">
        <f>INDEX(V706:AG706,1,MATCH(Parametres!$B$3,V$1:AG$1,0))*IF(OR(C706="L",C706="S",C706="I"),-1,1)</f>
        <v>311</v>
      </c>
      <c r="AY706" s="487" t="s">
        <v>337</v>
      </c>
      <c r="AZ706" s="487" t="str">
        <f>+VLOOKUP($AJ706,Data_Validation!$A:$E,5,0)</f>
        <v>Oui</v>
      </c>
    </row>
    <row r="707" spans="1:52" ht="15" hidden="1" customHeight="1">
      <c r="A707" s="706" t="s">
        <v>1148</v>
      </c>
      <c r="B707" s="706">
        <v>2026</v>
      </c>
      <c r="C707" s="706" t="s">
        <v>2442</v>
      </c>
      <c r="D707" s="706" t="s">
        <v>2443</v>
      </c>
      <c r="E707" s="706" t="s">
        <v>1151</v>
      </c>
      <c r="F707" s="706" t="s">
        <v>1149</v>
      </c>
      <c r="G707" s="706">
        <v>57649.56</v>
      </c>
      <c r="H707" s="706">
        <v>133321.16</v>
      </c>
      <c r="I707" s="706">
        <v>208755.74</v>
      </c>
      <c r="J707" s="706">
        <v>280763.65000000002</v>
      </c>
      <c r="K707" s="706">
        <v>315937.68</v>
      </c>
      <c r="L707" s="706">
        <v>370066.6</v>
      </c>
      <c r="M707" s="706">
        <v>423889.12</v>
      </c>
      <c r="N707" s="706">
        <v>466345.67</v>
      </c>
      <c r="O707" s="706">
        <v>472161.15</v>
      </c>
      <c r="P707" s="706">
        <v>0</v>
      </c>
      <c r="Q707" s="706">
        <v>0</v>
      </c>
      <c r="R707" s="706">
        <v>0</v>
      </c>
      <c r="S707" s="706">
        <v>58293.21</v>
      </c>
      <c r="T707" s="706">
        <v>58293.21</v>
      </c>
      <c r="U707" s="706">
        <v>0</v>
      </c>
      <c r="V707" s="706">
        <v>157</v>
      </c>
      <c r="W707" s="706">
        <v>314</v>
      </c>
      <c r="X707" s="706">
        <v>529</v>
      </c>
      <c r="Y707" s="706">
        <v>844</v>
      </c>
      <c r="Z707" s="706">
        <v>1056</v>
      </c>
      <c r="AA707" s="706">
        <v>1280</v>
      </c>
      <c r="AB707" s="706">
        <v>1503</v>
      </c>
      <c r="AC707" s="706">
        <v>1699</v>
      </c>
      <c r="AD707" s="706">
        <v>1719</v>
      </c>
      <c r="AE707" s="706">
        <v>0</v>
      </c>
      <c r="AF707" s="706">
        <v>0</v>
      </c>
      <c r="AG707" s="706">
        <v>0</v>
      </c>
      <c r="AH707" s="706">
        <v>212</v>
      </c>
      <c r="AI707" s="706">
        <v>212</v>
      </c>
      <c r="AJ707" s="905" t="str">
        <f t="shared" si="68"/>
        <v>G46010</v>
      </c>
      <c r="AK707" s="905" t="str">
        <f t="shared" si="69"/>
        <v>M-D'O CLIENT VOIT-CAM.LEG</v>
      </c>
      <c r="AL707" s="905">
        <f>IFERROR(INDEX(G707:R707,1,MATCH(Parametres!$B$3,G$1:R$1,0)-1)*IF(OR(F707="L",F707="S",F707="I"),-1,1),"")</f>
        <v>-423889.12</v>
      </c>
      <c r="AM707" s="905">
        <f t="shared" si="70"/>
        <v>-42456.549999999988</v>
      </c>
      <c r="AN707" s="905">
        <f>INDEX(G707:R707,1,MATCH(Parametres!$B$3,G$1:R$1,0))*IF(OR(F707="L",F707="S",F707="I"),-1,1)</f>
        <v>-466345.67</v>
      </c>
      <c r="AO707" s="487" t="str">
        <f>+VLOOKUP($AJ707,Data_Validation!$A:$D,1,0)</f>
        <v>G46010</v>
      </c>
      <c r="AP707" s="487" t="str">
        <f>+VLOOKUP($AJ707,Data_Validation!$A:$D,3,0)</f>
        <v>Service</v>
      </c>
      <c r="AQ707" s="487" t="str">
        <f>+VLOOKUP($AJ707,Data_Validation!$A:$D,4,0)</f>
        <v>M/O Client</v>
      </c>
      <c r="AR707" s="487" t="s">
        <v>299</v>
      </c>
      <c r="AS707" s="487" t="str">
        <f>+VLOOKUP($AJ707,Data_Validation!$A:$E,5,0)</f>
        <v>Oui</v>
      </c>
      <c r="AT707" s="904" t="str">
        <f t="shared" si="71"/>
        <v>G46010</v>
      </c>
      <c r="AU707" s="488" t="str">
        <f t="shared" si="72"/>
        <v>M-D'O CLIENT VOIT-CAM.LEG</v>
      </c>
      <c r="AV707" s="899">
        <f>IFERROR(INDEX(V707:AG707,1,MATCH(Parametres!$B$3,V$1:AG$1,0)-1)*IF(OR(C707="L",C707="S",C707="I"),-1,1),"")</f>
        <v>1503</v>
      </c>
      <c r="AW707" s="899">
        <f t="shared" si="73"/>
        <v>196</v>
      </c>
      <c r="AX707" s="899">
        <f>INDEX(V707:AG707,1,MATCH(Parametres!$B$3,V$1:AG$1,0))*IF(OR(C707="L",C707="S",C707="I"),-1,1)</f>
        <v>1699</v>
      </c>
      <c r="AY707" s="487" t="s">
        <v>337</v>
      </c>
      <c r="AZ707" s="487" t="str">
        <f>+VLOOKUP($AJ707,Data_Validation!$A:$E,5,0)</f>
        <v>Oui</v>
      </c>
    </row>
    <row r="708" spans="1:52" ht="15" hidden="1" customHeight="1">
      <c r="A708" s="706" t="s">
        <v>1148</v>
      </c>
      <c r="B708" s="706">
        <v>2026</v>
      </c>
      <c r="C708" s="706" t="s">
        <v>3351</v>
      </c>
      <c r="D708" s="706" t="s">
        <v>3352</v>
      </c>
      <c r="E708" s="706" t="s">
        <v>1151</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G46015</v>
      </c>
      <c r="AK708" s="905" t="str">
        <f t="shared" si="69"/>
        <v>VTE ESTHETIQUE CLIENT</v>
      </c>
      <c r="AL708" s="905">
        <f>IFERROR(INDEX(G708:R708,1,MATCH(Parametres!$B$3,G$1:R$1,0)-1)*IF(OR(F708="L",F708="S",F708="I"),-1,1),"")</f>
        <v>0</v>
      </c>
      <c r="AM708" s="905">
        <f t="shared" si="70"/>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si="71"/>
        <v>G46015</v>
      </c>
      <c r="AU708" s="488" t="str">
        <f t="shared" si="72"/>
        <v>VTE ESTHETIQUE CLIENT</v>
      </c>
      <c r="AV708" s="899">
        <f>IFERROR(INDEX(V708:AG708,1,MATCH(Parametres!$B$3,V$1:AG$1,0)-1)*IF(OR(C708="L",C708="S",C708="I"),-1,1),"")</f>
        <v>0</v>
      </c>
      <c r="AW708" s="899">
        <f t="shared" si="73"/>
        <v>0</v>
      </c>
      <c r="AX708" s="899">
        <f>INDEX(V708:AG708,1,MATCH(Parametres!$B$3,V$1:AG$1,0))*IF(OR(C708="L",C708="S",C708="I"),-1,1)</f>
        <v>0</v>
      </c>
      <c r="AY708" s="487" t="s">
        <v>337</v>
      </c>
      <c r="AZ708" s="487" t="e">
        <f>+VLOOKUP($AJ708,Data_Validation!$A:$E,5,0)</f>
        <v>#N/A</v>
      </c>
    </row>
    <row r="709" spans="1:52" ht="15" hidden="1" customHeight="1">
      <c r="A709" s="706" t="s">
        <v>1148</v>
      </c>
      <c r="B709" s="706">
        <v>2026</v>
      </c>
      <c r="C709" s="706" t="s">
        <v>2444</v>
      </c>
      <c r="D709" s="706" t="s">
        <v>2445</v>
      </c>
      <c r="E709" s="706" t="s">
        <v>1151</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1</v>
      </c>
      <c r="AA709" s="706">
        <v>1</v>
      </c>
      <c r="AB709" s="706">
        <v>1</v>
      </c>
      <c r="AC709" s="706">
        <v>1</v>
      </c>
      <c r="AD709" s="706">
        <v>1</v>
      </c>
      <c r="AE709" s="706">
        <v>0</v>
      </c>
      <c r="AF709" s="706">
        <v>0</v>
      </c>
      <c r="AG709" s="706">
        <v>0</v>
      </c>
      <c r="AH709" s="706">
        <v>0</v>
      </c>
      <c r="AI709" s="706">
        <v>0</v>
      </c>
      <c r="AJ709" s="905" t="str">
        <f t="shared" si="68"/>
        <v>G46020</v>
      </c>
      <c r="AK709" s="905" t="str">
        <f t="shared" si="69"/>
        <v>CONT.SER-VOIT &amp; CAM.LEGER</v>
      </c>
      <c r="AL709" s="905">
        <f>IFERROR(INDEX(G709:R709,1,MATCH(Parametres!$B$3,G$1:R$1,0)-1)*IF(OR(F709="L",F709="S",F709="I"),-1,1),"")</f>
        <v>0</v>
      </c>
      <c r="AM709" s="905">
        <f t="shared" si="70"/>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71"/>
        <v>G46020</v>
      </c>
      <c r="AU709" s="488" t="str">
        <f t="shared" si="72"/>
        <v>CONT.SER-VOIT &amp; CAM.LEGER</v>
      </c>
      <c r="AV709" s="899">
        <f>IFERROR(INDEX(V709:AG709,1,MATCH(Parametres!$B$3,V$1:AG$1,0)-1)*IF(OR(C709="L",C709="S",C709="I"),-1,1),"")</f>
        <v>1</v>
      </c>
      <c r="AW709" s="899">
        <f t="shared" si="73"/>
        <v>0</v>
      </c>
      <c r="AX709" s="899">
        <f>INDEX(V709:AG709,1,MATCH(Parametres!$B$3,V$1:AG$1,0))*IF(OR(C709="L",C709="S",C709="I"),-1,1)</f>
        <v>1</v>
      </c>
      <c r="AY709" s="487" t="s">
        <v>337</v>
      </c>
      <c r="AZ709" s="487" t="e">
        <f>+VLOOKUP($AJ709,Data_Validation!$A:$E,5,0)</f>
        <v>#N/A</v>
      </c>
    </row>
    <row r="710" spans="1:52" ht="15" hidden="1" customHeight="1">
      <c r="A710" s="706" t="s">
        <v>1148</v>
      </c>
      <c r="B710" s="706">
        <v>2026</v>
      </c>
      <c r="C710" s="706" t="s">
        <v>2446</v>
      </c>
      <c r="D710" s="706" t="s">
        <v>2447</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G46030</v>
      </c>
      <c r="AK710" s="905" t="str">
        <f t="shared" si="69"/>
        <v>VTES-M.D.PL.PROT.AUT.AUTO</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G46030</v>
      </c>
      <c r="AU710" s="488" t="str">
        <f t="shared" si="72"/>
        <v>VTES-M.D.PL.PROT.AUT.AUTO</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hidden="1" customHeight="1">
      <c r="A711" s="706" t="s">
        <v>1148</v>
      </c>
      <c r="B711" s="706">
        <v>2026</v>
      </c>
      <c r="C711" s="706" t="s">
        <v>2448</v>
      </c>
      <c r="D711" s="706" t="s">
        <v>2449</v>
      </c>
      <c r="E711" s="706" t="s">
        <v>1151</v>
      </c>
      <c r="F711" s="706" t="s">
        <v>1149</v>
      </c>
      <c r="G711" s="706">
        <v>3100.84</v>
      </c>
      <c r="H711" s="706">
        <v>4320.3999999999996</v>
      </c>
      <c r="I711" s="706">
        <v>4904.8</v>
      </c>
      <c r="J711" s="706">
        <v>6091.54</v>
      </c>
      <c r="K711" s="706">
        <v>10948.9</v>
      </c>
      <c r="L711" s="706">
        <v>13966.1</v>
      </c>
      <c r="M711" s="706">
        <v>15457.5</v>
      </c>
      <c r="N711" s="706">
        <v>16730.39</v>
      </c>
      <c r="O711" s="706">
        <v>17000.29</v>
      </c>
      <c r="P711" s="706">
        <v>0</v>
      </c>
      <c r="Q711" s="706">
        <v>0</v>
      </c>
      <c r="R711" s="706">
        <v>0</v>
      </c>
      <c r="S711" s="706">
        <v>2091.3000000000002</v>
      </c>
      <c r="T711" s="706">
        <v>2091.3000000000002</v>
      </c>
      <c r="U711" s="706">
        <v>0</v>
      </c>
      <c r="V711" s="706">
        <v>12</v>
      </c>
      <c r="W711" s="706">
        <v>18</v>
      </c>
      <c r="X711" s="706">
        <v>21</v>
      </c>
      <c r="Y711" s="706">
        <v>38</v>
      </c>
      <c r="Z711" s="706">
        <v>79</v>
      </c>
      <c r="AA711" s="706">
        <v>103</v>
      </c>
      <c r="AB711" s="706">
        <v>115</v>
      </c>
      <c r="AC711" s="706">
        <v>126</v>
      </c>
      <c r="AD711" s="706">
        <v>128</v>
      </c>
      <c r="AE711" s="706">
        <v>0</v>
      </c>
      <c r="AF711" s="706">
        <v>0</v>
      </c>
      <c r="AG711" s="706">
        <v>0</v>
      </c>
      <c r="AH711" s="706">
        <v>16</v>
      </c>
      <c r="AI711" s="706">
        <v>16</v>
      </c>
      <c r="AJ711" s="905" t="str">
        <f t="shared" si="68"/>
        <v>G46040</v>
      </c>
      <c r="AK711" s="905" t="str">
        <f t="shared" si="69"/>
        <v>SERV. RAPIDE VOIT CAM.LEG</v>
      </c>
      <c r="AL711" s="905">
        <f>IFERROR(INDEX(G711:R711,1,MATCH(Parametres!$B$3,G$1:R$1,0)-1)*IF(OR(F711="L",F711="S",F711="I"),-1,1),"")</f>
        <v>-15457.5</v>
      </c>
      <c r="AM711" s="905">
        <f t="shared" si="70"/>
        <v>-1272.8899999999994</v>
      </c>
      <c r="AN711" s="905">
        <f>INDEX(G711:R711,1,MATCH(Parametres!$B$3,G$1:R$1,0))*IF(OR(F711="L",F711="S",F711="I"),-1,1)</f>
        <v>-16730.39</v>
      </c>
      <c r="AO711" s="487" t="str">
        <f>+VLOOKUP($AJ711,Data_Validation!$A:$D,1,0)</f>
        <v>G46040</v>
      </c>
      <c r="AP711" s="487" t="str">
        <f>+VLOOKUP($AJ711,Data_Validation!$A:$D,3,0)</f>
        <v>Service</v>
      </c>
      <c r="AQ711" s="487" t="str">
        <f>+VLOOKUP($AJ711,Data_Validation!$A:$D,4,0)</f>
        <v>M/O Client</v>
      </c>
      <c r="AR711" s="487" t="s">
        <v>299</v>
      </c>
      <c r="AS711" s="487" t="str">
        <f>+VLOOKUP($AJ711,Data_Validation!$A:$E,5,0)</f>
        <v>Oui</v>
      </c>
      <c r="AT711" s="904" t="str">
        <f t="shared" si="71"/>
        <v>G46040</v>
      </c>
      <c r="AU711" s="488" t="str">
        <f t="shared" si="72"/>
        <v>SERV. RAPIDE VOIT CAM.LEG</v>
      </c>
      <c r="AV711" s="899">
        <f>IFERROR(INDEX(V711:AG711,1,MATCH(Parametres!$B$3,V$1:AG$1,0)-1)*IF(OR(C711="L",C711="S",C711="I"),-1,1),"")</f>
        <v>115</v>
      </c>
      <c r="AW711" s="899">
        <f t="shared" si="73"/>
        <v>11</v>
      </c>
      <c r="AX711" s="899">
        <f>INDEX(V711:AG711,1,MATCH(Parametres!$B$3,V$1:AG$1,0))*IF(OR(C711="L",C711="S",C711="I"),-1,1)</f>
        <v>126</v>
      </c>
      <c r="AY711" s="487" t="s">
        <v>337</v>
      </c>
      <c r="AZ711" s="487" t="str">
        <f>+VLOOKUP($AJ711,Data_Validation!$A:$E,5,0)</f>
        <v>Oui</v>
      </c>
    </row>
    <row r="712" spans="1:52" ht="15" hidden="1" customHeight="1">
      <c r="A712" s="706" t="s">
        <v>1148</v>
      </c>
      <c r="B712" s="706">
        <v>2026</v>
      </c>
      <c r="C712" s="706" t="s">
        <v>3353</v>
      </c>
      <c r="D712" s="706" t="s">
        <v>3354</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G46050</v>
      </c>
      <c r="AK712" s="905" t="str">
        <f t="shared" si="69"/>
        <v>VTE M-0 ELECTRIQUE   CLT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G46050</v>
      </c>
      <c r="AU712" s="488" t="str">
        <f t="shared" si="72"/>
        <v>VTE M-0 ELECTRIQUE   CLT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hidden="1" customHeight="1">
      <c r="A713" s="706" t="s">
        <v>1148</v>
      </c>
      <c r="B713" s="706">
        <v>2026</v>
      </c>
      <c r="C713" s="706" t="s">
        <v>2450</v>
      </c>
      <c r="D713" s="706" t="s">
        <v>2451</v>
      </c>
      <c r="E713" s="706" t="s">
        <v>1151</v>
      </c>
      <c r="F713" s="706" t="s">
        <v>1149</v>
      </c>
      <c r="G713" s="706">
        <v>81920</v>
      </c>
      <c r="H713" s="706">
        <v>163770</v>
      </c>
      <c r="I713" s="706">
        <v>272495</v>
      </c>
      <c r="J713" s="706">
        <v>382055</v>
      </c>
      <c r="K713" s="706">
        <v>452319.95</v>
      </c>
      <c r="L713" s="706">
        <v>471485.42</v>
      </c>
      <c r="M713" s="706">
        <v>495185.42</v>
      </c>
      <c r="N713" s="706">
        <v>512310.42</v>
      </c>
      <c r="O713" s="706">
        <v>514025.42</v>
      </c>
      <c r="P713" s="706">
        <v>0</v>
      </c>
      <c r="Q713" s="706">
        <v>0</v>
      </c>
      <c r="R713" s="706">
        <v>0</v>
      </c>
      <c r="S713" s="706">
        <v>64038.8</v>
      </c>
      <c r="T713" s="706">
        <v>64038.8</v>
      </c>
      <c r="U713" s="706">
        <v>0</v>
      </c>
      <c r="V713" s="706">
        <v>497</v>
      </c>
      <c r="W713" s="706">
        <v>964</v>
      </c>
      <c r="X713" s="706">
        <v>1611</v>
      </c>
      <c r="Y713" s="706">
        <v>2272</v>
      </c>
      <c r="Z713" s="706">
        <v>2746</v>
      </c>
      <c r="AA713" s="706">
        <v>2898</v>
      </c>
      <c r="AB713" s="706">
        <v>3091</v>
      </c>
      <c r="AC713" s="706">
        <v>3230</v>
      </c>
      <c r="AD713" s="706">
        <v>3242</v>
      </c>
      <c r="AE713" s="706">
        <v>0</v>
      </c>
      <c r="AF713" s="706">
        <v>0</v>
      </c>
      <c r="AG713" s="706">
        <v>0</v>
      </c>
      <c r="AH713" s="706">
        <v>404</v>
      </c>
      <c r="AI713" s="706">
        <v>404</v>
      </c>
      <c r="AJ713" s="905" t="str">
        <f t="shared" si="68"/>
        <v>G46110</v>
      </c>
      <c r="AK713" s="905" t="str">
        <f t="shared" si="69"/>
        <v>M-D'O CLIENT S.A.A.Q</v>
      </c>
      <c r="AL713" s="905">
        <f>IFERROR(INDEX(G713:R713,1,MATCH(Parametres!$B$3,G$1:R$1,0)-1)*IF(OR(F713="L",F713="S",F713="I"),-1,1),"")</f>
        <v>-495185.42</v>
      </c>
      <c r="AM713" s="905">
        <f t="shared" si="70"/>
        <v>-17125</v>
      </c>
      <c r="AN713" s="905">
        <f>INDEX(G713:R713,1,MATCH(Parametres!$B$3,G$1:R$1,0))*IF(OR(F713="L",F713="S",F713="I"),-1,1)</f>
        <v>-512310.42</v>
      </c>
      <c r="AO713" s="487" t="str">
        <f>+VLOOKUP($AJ713,Data_Validation!$A:$D,1,0)</f>
        <v>G46110</v>
      </c>
      <c r="AP713" s="487" t="str">
        <f>+VLOOKUP($AJ713,Data_Validation!$A:$D,3,0)</f>
        <v>SAAQ</v>
      </c>
      <c r="AQ713" s="487" t="str">
        <f>+VLOOKUP($AJ713,Data_Validation!$A:$D,4,0)</f>
        <v>Inspection - Véhicules Légers</v>
      </c>
      <c r="AR713" s="487" t="s">
        <v>299</v>
      </c>
      <c r="AS713" s="487" t="str">
        <f>+VLOOKUP($AJ713,Data_Validation!$A:$E,5,0)</f>
        <v>Oui</v>
      </c>
      <c r="AT713" s="904" t="str">
        <f t="shared" si="71"/>
        <v>G46110</v>
      </c>
      <c r="AU713" s="488" t="str">
        <f t="shared" si="72"/>
        <v>M-D'O CLIENT S.A.A.Q</v>
      </c>
      <c r="AV713" s="899">
        <f>IFERROR(INDEX(V713:AG713,1,MATCH(Parametres!$B$3,V$1:AG$1,0)-1)*IF(OR(C713="L",C713="S",C713="I"),-1,1),"")</f>
        <v>3091</v>
      </c>
      <c r="AW713" s="899">
        <f t="shared" si="73"/>
        <v>139</v>
      </c>
      <c r="AX713" s="899">
        <f>INDEX(V713:AG713,1,MATCH(Parametres!$B$3,V$1:AG$1,0))*IF(OR(C713="L",C713="S",C713="I"),-1,1)</f>
        <v>3230</v>
      </c>
      <c r="AY713" s="487" t="s">
        <v>337</v>
      </c>
      <c r="AZ713" s="487" t="str">
        <f>+VLOOKUP($AJ713,Data_Validation!$A:$E,5,0)</f>
        <v>Oui</v>
      </c>
    </row>
    <row r="714" spans="1:52" ht="15" hidden="1" customHeight="1">
      <c r="A714" s="706" t="s">
        <v>1148</v>
      </c>
      <c r="B714" s="706">
        <v>2026</v>
      </c>
      <c r="C714" s="706" t="s">
        <v>3355</v>
      </c>
      <c r="D714" s="706" t="s">
        <v>3356</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G46111</v>
      </c>
      <c r="AK714" s="905" t="str">
        <f t="shared" si="69"/>
        <v>VTES M-O CLIENT FLOTTES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G46111</v>
      </c>
      <c r="AU714" s="488" t="str">
        <f t="shared" si="72"/>
        <v>VTES M-O CLIENT FLOTTES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2452</v>
      </c>
      <c r="D715" s="706" t="s">
        <v>3357</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G46120</v>
      </c>
      <c r="AK715" s="905" t="str">
        <f t="shared" si="69"/>
        <v>M-D'O.GARANTIE S.A.A.Q.</v>
      </c>
      <c r="AL715" s="905">
        <f>IFERROR(INDEX(G715:R715,1,MATCH(Parametres!$B$3,G$1:R$1,0)-1)*IF(OR(F715="L",F715="S",F715="I"),-1,1),"")</f>
        <v>0</v>
      </c>
      <c r="AM715" s="905">
        <f t="shared" si="70"/>
        <v>0</v>
      </c>
      <c r="AN715" s="905">
        <f>INDEX(G715:R715,1,MATCH(Parametres!$B$3,G$1:R$1,0))*IF(OR(F715="L",F715="S",F715="I"),-1,1)</f>
        <v>0</v>
      </c>
      <c r="AO715" s="487" t="str">
        <f>+VLOOKUP($AJ715,Data_Validation!$A:$D,1,0)</f>
        <v>G46120</v>
      </c>
      <c r="AP715" s="487" t="str">
        <f>+VLOOKUP($AJ715,Data_Validation!$A:$D,3,0)</f>
        <v>SAAQ</v>
      </c>
      <c r="AQ715" s="487" t="str">
        <f>+VLOOKUP($AJ715,Data_Validation!$A:$D,4,0)</f>
        <v>Inspection - Véhicules Interne</v>
      </c>
      <c r="AR715" s="487" t="s">
        <v>299</v>
      </c>
      <c r="AS715" s="487" t="str">
        <f>+VLOOKUP($AJ715,Data_Validation!$A:$E,5,0)</f>
        <v>Oui</v>
      </c>
      <c r="AT715" s="904" t="str">
        <f t="shared" si="71"/>
        <v>G46120</v>
      </c>
      <c r="AU715" s="488" t="str">
        <f t="shared" si="72"/>
        <v>M-D'O.GARANTIE S.A.A.Q.</v>
      </c>
      <c r="AV715" s="899">
        <f>IFERROR(INDEX(V715:AG715,1,MATCH(Parametres!$B$3,V$1:AG$1,0)-1)*IF(OR(C715="L",C715="S",C715="I"),-1,1),"")</f>
        <v>0</v>
      </c>
      <c r="AW715" s="899">
        <f t="shared" si="73"/>
        <v>0</v>
      </c>
      <c r="AX715" s="899">
        <f>INDEX(V715:AG715,1,MATCH(Parametres!$B$3,V$1:AG$1,0))*IF(OR(C715="L",C715="S",C715="I"),-1,1)</f>
        <v>0</v>
      </c>
      <c r="AY715" s="487" t="s">
        <v>337</v>
      </c>
      <c r="AZ715" s="487" t="str">
        <f>+VLOOKUP($AJ715,Data_Validation!$A:$E,5,0)</f>
        <v>Oui</v>
      </c>
    </row>
    <row r="716" spans="1:52" ht="15" hidden="1" customHeight="1">
      <c r="A716" s="706" t="s">
        <v>1148</v>
      </c>
      <c r="B716" s="706">
        <v>2026</v>
      </c>
      <c r="C716" s="706" t="s">
        <v>2454</v>
      </c>
      <c r="D716" s="706" t="s">
        <v>3358</v>
      </c>
      <c r="E716" s="706" t="s">
        <v>1151</v>
      </c>
      <c r="F716" s="706" t="s">
        <v>1149</v>
      </c>
      <c r="G716" s="706">
        <v>0</v>
      </c>
      <c r="H716" s="706">
        <v>0</v>
      </c>
      <c r="I716" s="706">
        <v>0</v>
      </c>
      <c r="J716" s="706">
        <v>0</v>
      </c>
      <c r="K716" s="706">
        <v>26312.5</v>
      </c>
      <c r="L716" s="706">
        <v>97132.5</v>
      </c>
      <c r="M716" s="706">
        <v>166657.5</v>
      </c>
      <c r="N716" s="706">
        <v>220535</v>
      </c>
      <c r="O716" s="706">
        <v>224735</v>
      </c>
      <c r="P716" s="706">
        <v>0</v>
      </c>
      <c r="Q716" s="706">
        <v>0</v>
      </c>
      <c r="R716" s="706">
        <v>0</v>
      </c>
      <c r="S716" s="706">
        <v>27566.880000000001</v>
      </c>
      <c r="T716" s="706">
        <v>27566.880000000001</v>
      </c>
      <c r="U716" s="706">
        <v>0</v>
      </c>
      <c r="V716" s="706">
        <v>0</v>
      </c>
      <c r="W716" s="706">
        <v>0</v>
      </c>
      <c r="X716" s="706">
        <v>0</v>
      </c>
      <c r="Y716" s="706">
        <v>0</v>
      </c>
      <c r="Z716" s="706">
        <v>158</v>
      </c>
      <c r="AA716" s="706">
        <v>595</v>
      </c>
      <c r="AB716" s="706">
        <v>988</v>
      </c>
      <c r="AC716" s="706">
        <v>1320</v>
      </c>
      <c r="AD716" s="706">
        <v>1351</v>
      </c>
      <c r="AE716" s="706">
        <v>0</v>
      </c>
      <c r="AF716" s="706">
        <v>0</v>
      </c>
      <c r="AG716" s="706">
        <v>0</v>
      </c>
      <c r="AH716" s="706">
        <v>165</v>
      </c>
      <c r="AI716" s="706">
        <v>165</v>
      </c>
      <c r="AJ716" s="905" t="str">
        <f t="shared" si="68"/>
        <v>G46140</v>
      </c>
      <c r="AK716" s="905" t="str">
        <f t="shared" si="69"/>
        <v>VTES - M.O LOURD -S.A,A.Q</v>
      </c>
      <c r="AL716" s="905">
        <f>IFERROR(INDEX(G716:R716,1,MATCH(Parametres!$B$3,G$1:R$1,0)-1)*IF(OR(F716="L",F716="S",F716="I"),-1,1),"")</f>
        <v>-166657.5</v>
      </c>
      <c r="AM716" s="905">
        <f t="shared" si="70"/>
        <v>-53877.5</v>
      </c>
      <c r="AN716" s="905">
        <f>INDEX(G716:R716,1,MATCH(Parametres!$B$3,G$1:R$1,0))*IF(OR(F716="L",F716="S",F716="I"),-1,1)</f>
        <v>-220535</v>
      </c>
      <c r="AO716" s="487" t="str">
        <f>+VLOOKUP($AJ716,Data_Validation!$A:$D,1,0)</f>
        <v>G46140</v>
      </c>
      <c r="AP716" s="487" t="str">
        <f>+VLOOKUP($AJ716,Data_Validation!$A:$D,3,0)</f>
        <v>SAAQ</v>
      </c>
      <c r="AQ716" s="487" t="str">
        <f>+VLOOKUP($AJ716,Data_Validation!$A:$D,4,0)</f>
        <v>Inspection - Véhicules Lourds</v>
      </c>
      <c r="AR716" s="487" t="s">
        <v>299</v>
      </c>
      <c r="AS716" s="487" t="str">
        <f>+VLOOKUP($AJ716,Data_Validation!$A:$E,5,0)</f>
        <v>Oui</v>
      </c>
      <c r="AT716" s="904" t="str">
        <f t="shared" si="71"/>
        <v>G46140</v>
      </c>
      <c r="AU716" s="488" t="str">
        <f t="shared" si="72"/>
        <v>VTES - M.O LOURD -S.A,A.Q</v>
      </c>
      <c r="AV716" s="899">
        <f>IFERROR(INDEX(V716:AG716,1,MATCH(Parametres!$B$3,V$1:AG$1,0)-1)*IF(OR(C716="L",C716="S",C716="I"),-1,1),"")</f>
        <v>988</v>
      </c>
      <c r="AW716" s="899">
        <f t="shared" si="73"/>
        <v>332</v>
      </c>
      <c r="AX716" s="899">
        <f>INDEX(V716:AG716,1,MATCH(Parametres!$B$3,V$1:AG$1,0))*IF(OR(C716="L",C716="S",C716="I"),-1,1)</f>
        <v>1320</v>
      </c>
      <c r="AY716" s="487" t="s">
        <v>337</v>
      </c>
      <c r="AZ716" s="487" t="str">
        <f>+VLOOKUP($AJ716,Data_Validation!$A:$E,5,0)</f>
        <v>Oui</v>
      </c>
    </row>
    <row r="717" spans="1:52" ht="15" hidden="1" customHeight="1">
      <c r="A717" s="706" t="s">
        <v>1148</v>
      </c>
      <c r="B717" s="706">
        <v>2026</v>
      </c>
      <c r="C717" s="706" t="s">
        <v>3359</v>
      </c>
      <c r="D717" s="706" t="s">
        <v>3360</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G46150</v>
      </c>
      <c r="AK717" s="905" t="str">
        <f t="shared" si="69"/>
        <v>VTE M-O ELECTIQUE FLOTTE</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G46150</v>
      </c>
      <c r="AU717" s="488" t="str">
        <f t="shared" si="72"/>
        <v>VTE M-O ELECTIQUE FLOTTE</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hidden="1" customHeight="1">
      <c r="A718" s="706" t="s">
        <v>1148</v>
      </c>
      <c r="B718" s="706">
        <v>2026</v>
      </c>
      <c r="C718" s="706" t="s">
        <v>2456</v>
      </c>
      <c r="D718" s="706" t="s">
        <v>2457</v>
      </c>
      <c r="E718" s="706" t="s">
        <v>1151</v>
      </c>
      <c r="F718" s="706" t="s">
        <v>1149</v>
      </c>
      <c r="G718" s="706">
        <v>48069.68</v>
      </c>
      <c r="H718" s="706">
        <v>98097.58</v>
      </c>
      <c r="I718" s="706">
        <v>168097.15</v>
      </c>
      <c r="J718" s="706">
        <v>218322.78</v>
      </c>
      <c r="K718" s="706">
        <v>249913.78</v>
      </c>
      <c r="L718" s="706">
        <v>320092.03000000003</v>
      </c>
      <c r="M718" s="706">
        <v>360350.33</v>
      </c>
      <c r="N718" s="706">
        <v>418498.88</v>
      </c>
      <c r="O718" s="706">
        <v>420068.05</v>
      </c>
      <c r="P718" s="706">
        <v>0</v>
      </c>
      <c r="Q718" s="706">
        <v>0</v>
      </c>
      <c r="R718" s="706">
        <v>0</v>
      </c>
      <c r="S718" s="706">
        <v>52312.36</v>
      </c>
      <c r="T718" s="706">
        <v>52312.36</v>
      </c>
      <c r="U718" s="706">
        <v>0</v>
      </c>
      <c r="V718" s="706">
        <v>274</v>
      </c>
      <c r="W718" s="706">
        <v>556</v>
      </c>
      <c r="X718" s="706">
        <v>912</v>
      </c>
      <c r="Y718" s="706">
        <v>1210</v>
      </c>
      <c r="Z718" s="706">
        <v>1439</v>
      </c>
      <c r="AA718" s="706">
        <v>1820</v>
      </c>
      <c r="AB718" s="706">
        <v>2069</v>
      </c>
      <c r="AC718" s="706">
        <v>2428</v>
      </c>
      <c r="AD718" s="706">
        <v>2444</v>
      </c>
      <c r="AE718" s="706">
        <v>0</v>
      </c>
      <c r="AF718" s="706">
        <v>0</v>
      </c>
      <c r="AG718" s="706">
        <v>0</v>
      </c>
      <c r="AH718" s="706">
        <v>304</v>
      </c>
      <c r="AI718" s="706">
        <v>304</v>
      </c>
      <c r="AJ718" s="905" t="str">
        <f t="shared" si="68"/>
        <v>G46200</v>
      </c>
      <c r="AK718" s="905" t="str">
        <f t="shared" si="69"/>
        <v>VTES-M.D.RECL.GARANTIE</v>
      </c>
      <c r="AL718" s="905">
        <f>IFERROR(INDEX(G718:R718,1,MATCH(Parametres!$B$3,G$1:R$1,0)-1)*IF(OR(F718="L",F718="S",F718="I"),-1,1),"")</f>
        <v>-360350.33</v>
      </c>
      <c r="AM718" s="905">
        <f t="shared" si="70"/>
        <v>-58148.549999999988</v>
      </c>
      <c r="AN718" s="905">
        <f>INDEX(G718:R718,1,MATCH(Parametres!$B$3,G$1:R$1,0))*IF(OR(F718="L",F718="S",F718="I"),-1,1)</f>
        <v>-418498.88</v>
      </c>
      <c r="AO718" s="487" t="str">
        <f>+VLOOKUP($AJ718,Data_Validation!$A:$D,1,0)</f>
        <v>G46200</v>
      </c>
      <c r="AP718" s="487" t="str">
        <f>+VLOOKUP($AJ718,Data_Validation!$A:$D,3,0)</f>
        <v>Service</v>
      </c>
      <c r="AQ718" s="487" t="str">
        <f>+VLOOKUP($AJ718,Data_Validation!$A:$D,4,0)</f>
        <v>M/O Garantie</v>
      </c>
      <c r="AR718" s="487" t="s">
        <v>299</v>
      </c>
      <c r="AS718" s="487" t="str">
        <f>+VLOOKUP($AJ718,Data_Validation!$A:$E,5,0)</f>
        <v>Oui</v>
      </c>
      <c r="AT718" s="904" t="str">
        <f t="shared" si="71"/>
        <v>G46200</v>
      </c>
      <c r="AU718" s="488" t="str">
        <f t="shared" si="72"/>
        <v>VTES-M.D.RECL.GARANTIE</v>
      </c>
      <c r="AV718" s="899">
        <f>IFERROR(INDEX(V718:AG718,1,MATCH(Parametres!$B$3,V$1:AG$1,0)-1)*IF(OR(C718="L",C718="S",C718="I"),-1,1),"")</f>
        <v>2069</v>
      </c>
      <c r="AW718" s="899">
        <f t="shared" si="73"/>
        <v>359</v>
      </c>
      <c r="AX718" s="899">
        <f>INDEX(V718:AG718,1,MATCH(Parametres!$B$3,V$1:AG$1,0))*IF(OR(C718="L",C718="S",C718="I"),-1,1)</f>
        <v>2428</v>
      </c>
      <c r="AY718" s="487" t="s">
        <v>337</v>
      </c>
      <c r="AZ718" s="487" t="str">
        <f>+VLOOKUP($AJ718,Data_Validation!$A:$E,5,0)</f>
        <v>Oui</v>
      </c>
    </row>
    <row r="719" spans="1:52" ht="15" hidden="1" customHeight="1">
      <c r="A719" s="706" t="s">
        <v>1148</v>
      </c>
      <c r="B719" s="706">
        <v>2026</v>
      </c>
      <c r="C719" s="706" t="s">
        <v>2458</v>
      </c>
      <c r="D719" s="706" t="s">
        <v>2459</v>
      </c>
      <c r="E719" s="706" t="s">
        <v>1151</v>
      </c>
      <c r="F719" s="706" t="s">
        <v>1149</v>
      </c>
      <c r="G719" s="706">
        <v>39339.53</v>
      </c>
      <c r="H719" s="706">
        <v>87940.91</v>
      </c>
      <c r="I719" s="706">
        <v>137067.01</v>
      </c>
      <c r="J719" s="706">
        <v>196363.11</v>
      </c>
      <c r="K719" s="706">
        <v>251577.99</v>
      </c>
      <c r="L719" s="706">
        <v>308265.09000000003</v>
      </c>
      <c r="M719" s="706">
        <v>355697.39</v>
      </c>
      <c r="N719" s="706">
        <v>402172.8</v>
      </c>
      <c r="O719" s="706">
        <v>405307.32</v>
      </c>
      <c r="P719" s="706">
        <v>0</v>
      </c>
      <c r="Q719" s="706">
        <v>0</v>
      </c>
      <c r="R719" s="706">
        <v>0</v>
      </c>
      <c r="S719" s="706">
        <v>50271.6</v>
      </c>
      <c r="T719" s="706">
        <v>50271.6</v>
      </c>
      <c r="U719" s="706">
        <v>0</v>
      </c>
      <c r="V719" s="706">
        <v>257</v>
      </c>
      <c r="W719" s="706">
        <v>582</v>
      </c>
      <c r="X719" s="706">
        <v>990</v>
      </c>
      <c r="Y719" s="706">
        <v>1433</v>
      </c>
      <c r="Z719" s="706">
        <v>1742</v>
      </c>
      <c r="AA719" s="706">
        <v>2068</v>
      </c>
      <c r="AB719" s="706">
        <v>2346</v>
      </c>
      <c r="AC719" s="706">
        <v>2577</v>
      </c>
      <c r="AD719" s="706">
        <v>2593</v>
      </c>
      <c r="AE719" s="706">
        <v>0</v>
      </c>
      <c r="AF719" s="706">
        <v>0</v>
      </c>
      <c r="AG719" s="706">
        <v>0</v>
      </c>
      <c r="AH719" s="706">
        <v>322</v>
      </c>
      <c r="AI719" s="706">
        <v>322</v>
      </c>
      <c r="AJ719" s="905" t="str">
        <f t="shared" si="68"/>
        <v>G46300</v>
      </c>
      <c r="AK719" s="905" t="str">
        <f t="shared" si="69"/>
        <v>VTES-M.D. INTERNE SERV.</v>
      </c>
      <c r="AL719" s="905">
        <f>IFERROR(INDEX(G719:R719,1,MATCH(Parametres!$B$3,G$1:R$1,0)-1)*IF(OR(F719="L",F719="S",F719="I"),-1,1),"")</f>
        <v>-355697.39</v>
      </c>
      <c r="AM719" s="905">
        <f t="shared" si="70"/>
        <v>-46475.409999999974</v>
      </c>
      <c r="AN719" s="905">
        <f>INDEX(G719:R719,1,MATCH(Parametres!$B$3,G$1:R$1,0))*IF(OR(F719="L",F719="S",F719="I"),-1,1)</f>
        <v>-402172.8</v>
      </c>
      <c r="AO719" s="487" t="str">
        <f>+VLOOKUP($AJ719,Data_Validation!$A:$D,1,0)</f>
        <v>G46300</v>
      </c>
      <c r="AP719" s="487" t="str">
        <f>+VLOOKUP($AJ719,Data_Validation!$A:$D,3,0)</f>
        <v>Service</v>
      </c>
      <c r="AQ719" s="487" t="str">
        <f>+VLOOKUP($AJ719,Data_Validation!$A:$D,4,0)</f>
        <v>M/O Interne</v>
      </c>
      <c r="AR719" s="487" t="s">
        <v>299</v>
      </c>
      <c r="AS719" s="487" t="str">
        <f>+VLOOKUP($AJ719,Data_Validation!$A:$E,5,0)</f>
        <v>Oui</v>
      </c>
      <c r="AT719" s="904" t="str">
        <f t="shared" si="71"/>
        <v>G46300</v>
      </c>
      <c r="AU719" s="488" t="str">
        <f t="shared" si="72"/>
        <v>VTES-M.D. INTERNE SERV.</v>
      </c>
      <c r="AV719" s="899">
        <f>IFERROR(INDEX(V719:AG719,1,MATCH(Parametres!$B$3,V$1:AG$1,0)-1)*IF(OR(C719="L",C719="S",C719="I"),-1,1),"")</f>
        <v>2346</v>
      </c>
      <c r="AW719" s="899">
        <f t="shared" si="73"/>
        <v>231</v>
      </c>
      <c r="AX719" s="899">
        <f>INDEX(V719:AG719,1,MATCH(Parametres!$B$3,V$1:AG$1,0))*IF(OR(C719="L",C719="S",C719="I"),-1,1)</f>
        <v>2577</v>
      </c>
      <c r="AY719" s="487" t="s">
        <v>337</v>
      </c>
      <c r="AZ719" s="487" t="str">
        <f>+VLOOKUP($AJ719,Data_Validation!$A:$E,5,0)</f>
        <v>Oui</v>
      </c>
    </row>
    <row r="720" spans="1:52" ht="15" hidden="1" customHeight="1">
      <c r="A720" s="706" t="s">
        <v>1148</v>
      </c>
      <c r="B720" s="706">
        <v>2026</v>
      </c>
      <c r="C720" s="706" t="s">
        <v>3361</v>
      </c>
      <c r="D720" s="706" t="s">
        <v>3362</v>
      </c>
      <c r="E720" s="706" t="s">
        <v>1151</v>
      </c>
      <c r="F720" s="706" t="s">
        <v>1149</v>
      </c>
      <c r="G720" s="706">
        <v>0</v>
      </c>
      <c r="H720" s="706">
        <v>0</v>
      </c>
      <c r="I720" s="706">
        <v>0</v>
      </c>
      <c r="J720" s="706">
        <v>0</v>
      </c>
      <c r="K720" s="706">
        <v>0</v>
      </c>
      <c r="L720" s="706">
        <v>0</v>
      </c>
      <c r="M720" s="706">
        <v>0</v>
      </c>
      <c r="N720" s="706">
        <v>0</v>
      </c>
      <c r="O720" s="706">
        <v>1988</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1</v>
      </c>
      <c r="AE720" s="706">
        <v>0</v>
      </c>
      <c r="AF720" s="706">
        <v>0</v>
      </c>
      <c r="AG720" s="706">
        <v>0</v>
      </c>
      <c r="AH720" s="706">
        <v>0</v>
      </c>
      <c r="AI720" s="706">
        <v>0</v>
      </c>
      <c r="AJ720" s="905" t="str">
        <f t="shared" si="68"/>
        <v>G46305</v>
      </c>
      <c r="AK720" s="905" t="str">
        <f t="shared" si="69"/>
        <v>VTE ESTHETIQUE INTERNE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G46305</v>
      </c>
      <c r="AU720" s="488" t="str">
        <f t="shared" si="72"/>
        <v>VTE ESTHETIQUE INTERNE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2460</v>
      </c>
      <c r="D721" s="706" t="s">
        <v>3363</v>
      </c>
      <c r="E721" s="706" t="s">
        <v>1151</v>
      </c>
      <c r="F721" s="706" t="s">
        <v>1149</v>
      </c>
      <c r="G721" s="706">
        <v>1950</v>
      </c>
      <c r="H721" s="706">
        <v>2250</v>
      </c>
      <c r="I721" s="706">
        <v>2550</v>
      </c>
      <c r="J721" s="706">
        <v>2700</v>
      </c>
      <c r="K721" s="706">
        <v>3090</v>
      </c>
      <c r="L721" s="706">
        <v>3090</v>
      </c>
      <c r="M721" s="706">
        <v>3720.5</v>
      </c>
      <c r="N721" s="706">
        <v>4470.5</v>
      </c>
      <c r="O721" s="706">
        <v>4470.5</v>
      </c>
      <c r="P721" s="706">
        <v>0</v>
      </c>
      <c r="Q721" s="706">
        <v>0</v>
      </c>
      <c r="R721" s="706">
        <v>0</v>
      </c>
      <c r="S721" s="706">
        <v>558.80999999999995</v>
      </c>
      <c r="T721" s="706">
        <v>558.80999999999995</v>
      </c>
      <c r="U721" s="706">
        <v>0</v>
      </c>
      <c r="V721" s="706">
        <v>13</v>
      </c>
      <c r="W721" s="706">
        <v>15</v>
      </c>
      <c r="X721" s="706">
        <v>17</v>
      </c>
      <c r="Y721" s="706">
        <v>18</v>
      </c>
      <c r="Z721" s="706">
        <v>21</v>
      </c>
      <c r="AA721" s="706">
        <v>21</v>
      </c>
      <c r="AB721" s="706">
        <v>26</v>
      </c>
      <c r="AC721" s="706">
        <v>31</v>
      </c>
      <c r="AD721" s="706">
        <v>31</v>
      </c>
      <c r="AE721" s="706">
        <v>0</v>
      </c>
      <c r="AF721" s="706">
        <v>0</v>
      </c>
      <c r="AG721" s="706">
        <v>0</v>
      </c>
      <c r="AH721" s="706">
        <v>4</v>
      </c>
      <c r="AI721" s="706">
        <v>4</v>
      </c>
      <c r="AJ721" s="905" t="str">
        <f t="shared" si="68"/>
        <v>G46320</v>
      </c>
      <c r="AK721" s="905" t="str">
        <f t="shared" si="69"/>
        <v>VTES-MO INTERN S.A.A.Q.</v>
      </c>
      <c r="AL721" s="905">
        <f>IFERROR(INDEX(G721:R721,1,MATCH(Parametres!$B$3,G$1:R$1,0)-1)*IF(OR(F721="L",F721="S",F721="I"),-1,1),"")</f>
        <v>-3720.5</v>
      </c>
      <c r="AM721" s="905">
        <f t="shared" si="70"/>
        <v>-750</v>
      </c>
      <c r="AN721" s="905">
        <f>INDEX(G721:R721,1,MATCH(Parametres!$B$3,G$1:R$1,0))*IF(OR(F721="L",F721="S",F721="I"),-1,1)</f>
        <v>-4470.5</v>
      </c>
      <c r="AO721" s="487" t="str">
        <f>+VLOOKUP($AJ721,Data_Validation!$A:$D,1,0)</f>
        <v>G46320</v>
      </c>
      <c r="AP721" s="487" t="str">
        <f>+VLOOKUP($AJ721,Data_Validation!$A:$D,3,0)</f>
        <v>SAAQ</v>
      </c>
      <c r="AQ721" s="487" t="str">
        <f>+VLOOKUP($AJ721,Data_Validation!$A:$D,4,0)</f>
        <v>Inspection - Véhicules Interne</v>
      </c>
      <c r="AR721" s="487" t="s">
        <v>299</v>
      </c>
      <c r="AS721" s="487" t="str">
        <f>+VLOOKUP($AJ721,Data_Validation!$A:$E,5,0)</f>
        <v>Oui</v>
      </c>
      <c r="AT721" s="904" t="str">
        <f t="shared" si="71"/>
        <v>G46320</v>
      </c>
      <c r="AU721" s="488" t="str">
        <f t="shared" si="72"/>
        <v>VTES-MO INTERN S.A.A.Q.</v>
      </c>
      <c r="AV721" s="899">
        <f>IFERROR(INDEX(V721:AG721,1,MATCH(Parametres!$B$3,V$1:AG$1,0)-1)*IF(OR(C721="L",C721="S",C721="I"),-1,1),"")</f>
        <v>26</v>
      </c>
      <c r="AW721" s="899">
        <f t="shared" si="73"/>
        <v>5</v>
      </c>
      <c r="AX721" s="899">
        <f>INDEX(V721:AG721,1,MATCH(Parametres!$B$3,V$1:AG$1,0))*IF(OR(C721="L",C721="S",C721="I"),-1,1)</f>
        <v>31</v>
      </c>
      <c r="AY721" s="487" t="s">
        <v>337</v>
      </c>
      <c r="AZ721" s="487" t="str">
        <f>+VLOOKUP($AJ721,Data_Validation!$A:$E,5,0)</f>
        <v>Oui</v>
      </c>
    </row>
    <row r="722" spans="1:52" ht="15" hidden="1" customHeight="1">
      <c r="A722" s="706" t="s">
        <v>1148</v>
      </c>
      <c r="B722" s="706">
        <v>2026</v>
      </c>
      <c r="C722" s="706" t="s">
        <v>2462</v>
      </c>
      <c r="D722" s="706" t="s">
        <v>2463</v>
      </c>
      <c r="E722" s="706" t="s">
        <v>1151</v>
      </c>
      <c r="F722" s="706" t="s">
        <v>1149</v>
      </c>
      <c r="G722" s="706">
        <v>22291</v>
      </c>
      <c r="H722" s="706">
        <v>51476.32</v>
      </c>
      <c r="I722" s="706">
        <v>93858.59</v>
      </c>
      <c r="J722" s="706">
        <v>115408.32000000001</v>
      </c>
      <c r="K722" s="706">
        <v>135246.35999999999</v>
      </c>
      <c r="L722" s="706">
        <v>156298.54</v>
      </c>
      <c r="M722" s="706">
        <v>171043.12</v>
      </c>
      <c r="N722" s="706">
        <v>190097.4</v>
      </c>
      <c r="O722" s="706">
        <v>192020.95</v>
      </c>
      <c r="P722" s="706">
        <v>0</v>
      </c>
      <c r="Q722" s="706">
        <v>0</v>
      </c>
      <c r="R722" s="706">
        <v>0</v>
      </c>
      <c r="S722" s="706">
        <v>23762.18</v>
      </c>
      <c r="T722" s="706">
        <v>23762.18</v>
      </c>
      <c r="U722" s="706">
        <v>0</v>
      </c>
      <c r="V722" s="706">
        <v>149</v>
      </c>
      <c r="W722" s="706">
        <v>337</v>
      </c>
      <c r="X722" s="706">
        <v>620</v>
      </c>
      <c r="Y722" s="706">
        <v>762</v>
      </c>
      <c r="Z722" s="706">
        <v>894</v>
      </c>
      <c r="AA722" s="706">
        <v>1036</v>
      </c>
      <c r="AB722" s="706">
        <v>1136</v>
      </c>
      <c r="AC722" s="706">
        <v>1271</v>
      </c>
      <c r="AD722" s="706">
        <v>1284</v>
      </c>
      <c r="AE722" s="706">
        <v>0</v>
      </c>
      <c r="AF722" s="706">
        <v>0</v>
      </c>
      <c r="AG722" s="706">
        <v>0</v>
      </c>
      <c r="AH722" s="706">
        <v>159</v>
      </c>
      <c r="AI722" s="706">
        <v>159</v>
      </c>
      <c r="AJ722" s="905" t="str">
        <f t="shared" si="68"/>
        <v>G46400</v>
      </c>
      <c r="AK722" s="905" t="str">
        <f t="shared" si="69"/>
        <v>VTES-M.D. INSPECTION</v>
      </c>
      <c r="AL722" s="905">
        <f>IFERROR(INDEX(G722:R722,1,MATCH(Parametres!$B$3,G$1:R$1,0)-1)*IF(OR(F722="L",F722="S",F722="I"),-1,1),"")</f>
        <v>-171043.12</v>
      </c>
      <c r="AM722" s="905">
        <f t="shared" si="70"/>
        <v>-19054.28</v>
      </c>
      <c r="AN722" s="905">
        <f>INDEX(G722:R722,1,MATCH(Parametres!$B$3,G$1:R$1,0))*IF(OR(F722="L",F722="S",F722="I"),-1,1)</f>
        <v>-190097.4</v>
      </c>
      <c r="AO722" s="487" t="str">
        <f>+VLOOKUP($AJ722,Data_Validation!$A:$D,1,0)</f>
        <v>G46400</v>
      </c>
      <c r="AP722" s="487" t="str">
        <f>+VLOOKUP($AJ722,Data_Validation!$A:$D,3,0)</f>
        <v>Service</v>
      </c>
      <c r="AQ722" s="487" t="str">
        <f>+VLOOKUP($AJ722,Data_Validation!$A:$D,4,0)</f>
        <v>M/O Interne</v>
      </c>
      <c r="AR722" s="487" t="s">
        <v>299</v>
      </c>
      <c r="AS722" s="487" t="str">
        <f>+VLOOKUP($AJ722,Data_Validation!$A:$E,5,0)</f>
        <v>Oui</v>
      </c>
      <c r="AT722" s="904" t="str">
        <f t="shared" si="71"/>
        <v>G46400</v>
      </c>
      <c r="AU722" s="488" t="str">
        <f t="shared" si="72"/>
        <v>VTES-M.D. INSPECTION</v>
      </c>
      <c r="AV722" s="899">
        <f>IFERROR(INDEX(V722:AG722,1,MATCH(Parametres!$B$3,V$1:AG$1,0)-1)*IF(OR(C722="L",C722="S",C722="I"),-1,1),"")</f>
        <v>1136</v>
      </c>
      <c r="AW722" s="899">
        <f t="shared" si="73"/>
        <v>135</v>
      </c>
      <c r="AX722" s="899">
        <f>INDEX(V722:AG722,1,MATCH(Parametres!$B$3,V$1:AG$1,0))*IF(OR(C722="L",C722="S",C722="I"),-1,1)</f>
        <v>1271</v>
      </c>
      <c r="AY722" s="487" t="s">
        <v>337</v>
      </c>
      <c r="AZ722" s="487" t="str">
        <f>+VLOOKUP($AJ722,Data_Validation!$A:$E,5,0)</f>
        <v>Oui</v>
      </c>
    </row>
    <row r="723" spans="1:52" ht="15" hidden="1" customHeight="1">
      <c r="A723" s="706" t="s">
        <v>1148</v>
      </c>
      <c r="B723" s="706">
        <v>2026</v>
      </c>
      <c r="C723" s="706" t="s">
        <v>2464</v>
      </c>
      <c r="D723" s="706" t="s">
        <v>2465</v>
      </c>
      <c r="E723" s="706" t="s">
        <v>1151</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G46420</v>
      </c>
      <c r="AK723" s="905" t="str">
        <f t="shared" si="69"/>
        <v>VTES-MO PDI CAM MOYEN</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G46420</v>
      </c>
      <c r="AU723" s="488" t="str">
        <f t="shared" si="72"/>
        <v>VTES-MO PDI CAM MOYEN</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2466</v>
      </c>
      <c r="D724" s="706" t="s">
        <v>2467</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G46500</v>
      </c>
      <c r="AK724" s="905" t="str">
        <f t="shared" si="69"/>
        <v>*TEMPS PERDU SERVICE</v>
      </c>
      <c r="AL724" s="905">
        <f>IFERROR(INDEX(G724:R724,1,MATCH(Parametres!$B$3,G$1:R$1,0)-1)*IF(OR(F724="L",F724="S",F724="I"),-1,1),"")</f>
        <v>0</v>
      </c>
      <c r="AM724" s="905">
        <f t="shared" si="70"/>
        <v>0</v>
      </c>
      <c r="AN724" s="905">
        <f>INDEX(G724:R724,1,MATCH(Parametres!$B$3,G$1:R$1,0))*IF(OR(F724="L",F724="S",F724="I"),-1,1)</f>
        <v>0</v>
      </c>
      <c r="AO724" s="487" t="str">
        <f>+VLOOKUP($AJ724,Data_Validation!$A:$D,1,0)</f>
        <v>G46500</v>
      </c>
      <c r="AP724" s="487">
        <f>+VLOOKUP($AJ724,Data_Validation!$A:$D,3,0)</f>
        <v>0</v>
      </c>
      <c r="AQ724" s="487">
        <f>+VLOOKUP($AJ724,Data_Validation!$A:$D,4,0)</f>
        <v>0</v>
      </c>
      <c r="AR724" s="487" t="s">
        <v>299</v>
      </c>
      <c r="AS724" s="487">
        <f>+VLOOKUP($AJ724,Data_Validation!$A:$E,5,0)</f>
        <v>0</v>
      </c>
      <c r="AT724" s="904" t="str">
        <f t="shared" si="71"/>
        <v>G46500</v>
      </c>
      <c r="AU724" s="488" t="str">
        <f t="shared" si="72"/>
        <v>*TEMPS PERDU SERVICE</v>
      </c>
      <c r="AV724" s="899">
        <f>IFERROR(INDEX(V724:AG724,1,MATCH(Parametres!$B$3,V$1:AG$1,0)-1)*IF(OR(C724="L",C724="S",C724="I"),-1,1),"")</f>
        <v>0</v>
      </c>
      <c r="AW724" s="899">
        <f t="shared" si="73"/>
        <v>0</v>
      </c>
      <c r="AX724" s="899">
        <f>INDEX(V724:AG724,1,MATCH(Parametres!$B$3,V$1:AG$1,0))*IF(OR(C724="L",C724="S",C724="I"),-1,1)</f>
        <v>0</v>
      </c>
      <c r="AY724" s="487" t="s">
        <v>337</v>
      </c>
      <c r="AZ724" s="487">
        <f>+VLOOKUP($AJ724,Data_Validation!$A:$E,5,0)</f>
        <v>0</v>
      </c>
    </row>
    <row r="725" spans="1:52" ht="15" hidden="1" customHeight="1">
      <c r="A725" s="706" t="s">
        <v>1148</v>
      </c>
      <c r="B725" s="706">
        <v>2026</v>
      </c>
      <c r="C725" s="706" t="s">
        <v>3364</v>
      </c>
      <c r="D725" s="706" t="s">
        <v>3365</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G46507</v>
      </c>
      <c r="AK725" s="905" t="str">
        <f t="shared" si="69"/>
        <v>*TEMPS PERDU SAAQ</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G46507</v>
      </c>
      <c r="AU725" s="488" t="str">
        <f t="shared" si="72"/>
        <v>*TEMPS PERDU SAAQ</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2468</v>
      </c>
      <c r="D726" s="706" t="s">
        <v>2469</v>
      </c>
      <c r="E726" s="706" t="s">
        <v>1151</v>
      </c>
      <c r="F726" s="706" t="s">
        <v>1149</v>
      </c>
      <c r="G726" s="706">
        <v>4849.09</v>
      </c>
      <c r="H726" s="706">
        <v>20619.18</v>
      </c>
      <c r="I726" s="706">
        <v>38598.06</v>
      </c>
      <c r="J726" s="706">
        <v>48780.08</v>
      </c>
      <c r="K726" s="706">
        <v>63022.97</v>
      </c>
      <c r="L726" s="706">
        <v>74558.77</v>
      </c>
      <c r="M726" s="706">
        <v>84699.56</v>
      </c>
      <c r="N726" s="706">
        <v>101547.02</v>
      </c>
      <c r="O726" s="706">
        <v>101877.02</v>
      </c>
      <c r="P726" s="706">
        <v>0</v>
      </c>
      <c r="Q726" s="706">
        <v>0</v>
      </c>
      <c r="R726" s="706">
        <v>0</v>
      </c>
      <c r="S726" s="706">
        <v>12693.38</v>
      </c>
      <c r="T726" s="706">
        <v>12693.38</v>
      </c>
      <c r="U726" s="706">
        <v>0</v>
      </c>
      <c r="V726" s="706">
        <v>19</v>
      </c>
      <c r="W726" s="706">
        <v>56</v>
      </c>
      <c r="X726" s="706">
        <v>90</v>
      </c>
      <c r="Y726" s="706">
        <v>127</v>
      </c>
      <c r="Z726" s="706">
        <v>168</v>
      </c>
      <c r="AA726" s="706">
        <v>207</v>
      </c>
      <c r="AB726" s="706">
        <v>241</v>
      </c>
      <c r="AC726" s="706">
        <v>273</v>
      </c>
      <c r="AD726" s="706">
        <v>274</v>
      </c>
      <c r="AE726" s="706">
        <v>0</v>
      </c>
      <c r="AF726" s="706">
        <v>0</v>
      </c>
      <c r="AG726" s="706">
        <v>0</v>
      </c>
      <c r="AH726" s="706">
        <v>34</v>
      </c>
      <c r="AI726" s="706">
        <v>34</v>
      </c>
      <c r="AJ726" s="905" t="str">
        <f t="shared" si="68"/>
        <v>G46600</v>
      </c>
      <c r="AK726" s="905" t="str">
        <f t="shared" si="69"/>
        <v>VTES-REPARAT.SOUS-TRAITES</v>
      </c>
      <c r="AL726" s="905">
        <f>IFERROR(INDEX(G726:R726,1,MATCH(Parametres!$B$3,G$1:R$1,0)-1)*IF(OR(F726="L",F726="S",F726="I"),-1,1),"")</f>
        <v>-84699.56</v>
      </c>
      <c r="AM726" s="905">
        <f t="shared" si="70"/>
        <v>-16847.460000000006</v>
      </c>
      <c r="AN726" s="905">
        <f>INDEX(G726:R726,1,MATCH(Parametres!$B$3,G$1:R$1,0))*IF(OR(F726="L",F726="S",F726="I"),-1,1)</f>
        <v>-101547.02</v>
      </c>
      <c r="AO726" s="487" t="str">
        <f>+VLOOKUP($AJ726,Data_Validation!$A:$D,1,0)</f>
        <v>G46600</v>
      </c>
      <c r="AP726" s="487" t="str">
        <f>+VLOOKUP($AJ726,Data_Validation!$A:$D,3,0)</f>
        <v>Service</v>
      </c>
      <c r="AQ726" s="487" t="str">
        <f>+VLOOKUP($AJ726,Data_Validation!$A:$D,4,0)</f>
        <v>Sous-traitement</v>
      </c>
      <c r="AR726" s="487" t="s">
        <v>299</v>
      </c>
      <c r="AS726" s="487" t="str">
        <f>+VLOOKUP($AJ726,Data_Validation!$A:$E,5,0)</f>
        <v>Oui</v>
      </c>
      <c r="AT726" s="904" t="str">
        <f t="shared" si="71"/>
        <v>G46600</v>
      </c>
      <c r="AU726" s="488" t="str">
        <f t="shared" si="72"/>
        <v>VTES-REPARAT.SOUS-TRAITES</v>
      </c>
      <c r="AV726" s="899">
        <f>IFERROR(INDEX(V726:AG726,1,MATCH(Parametres!$B$3,V$1:AG$1,0)-1)*IF(OR(C726="L",C726="S",C726="I"),-1,1),"")</f>
        <v>241</v>
      </c>
      <c r="AW726" s="899">
        <f t="shared" si="73"/>
        <v>32</v>
      </c>
      <c r="AX726" s="899">
        <f>INDEX(V726:AG726,1,MATCH(Parametres!$B$3,V$1:AG$1,0))*IF(OR(C726="L",C726="S",C726="I"),-1,1)</f>
        <v>273</v>
      </c>
      <c r="AY726" s="487" t="s">
        <v>337</v>
      </c>
      <c r="AZ726" s="487" t="str">
        <f>+VLOOKUP($AJ726,Data_Validation!$A:$E,5,0)</f>
        <v>Oui</v>
      </c>
    </row>
    <row r="727" spans="1:52" ht="15" hidden="1" customHeight="1">
      <c r="A727" s="706" t="s">
        <v>1148</v>
      </c>
      <c r="B727" s="706">
        <v>2026</v>
      </c>
      <c r="C727" s="706" t="s">
        <v>2470</v>
      </c>
      <c r="D727" s="706" t="s">
        <v>3134</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G46610</v>
      </c>
      <c r="AK727" s="905" t="str">
        <f t="shared" si="69"/>
        <v>VTES-SOUS-TRAITANCE SAAQ</v>
      </c>
      <c r="AL727" s="905">
        <f>IFERROR(INDEX(G727:R727,1,MATCH(Parametres!$B$3,G$1:R$1,0)-1)*IF(OR(F727="L",F727="S",F727="I"),-1,1),"")</f>
        <v>0</v>
      </c>
      <c r="AM727" s="905">
        <f t="shared" si="70"/>
        <v>0</v>
      </c>
      <c r="AN727" s="905">
        <f>INDEX(G727:R727,1,MATCH(Parametres!$B$3,G$1:R$1,0))*IF(OR(F727="L",F727="S",F727="I"),-1,1)</f>
        <v>0</v>
      </c>
      <c r="AO727" s="487" t="str">
        <f>+VLOOKUP($AJ727,Data_Validation!$A:$D,1,0)</f>
        <v>G46610</v>
      </c>
      <c r="AP727" s="487" t="str">
        <f>+VLOOKUP($AJ727,Data_Validation!$A:$D,3,0)</f>
        <v>SAAQ</v>
      </c>
      <c r="AQ727" s="487" t="str">
        <f>+VLOOKUP($AJ727,Data_Validation!$A:$D,4,0)</f>
        <v>Inspection - Véhicules Interne</v>
      </c>
      <c r="AR727" s="487" t="s">
        <v>299</v>
      </c>
      <c r="AS727" s="487" t="str">
        <f>+VLOOKUP($AJ727,Data_Validation!$A:$E,5,0)</f>
        <v>Oui</v>
      </c>
      <c r="AT727" s="904" t="str">
        <f t="shared" si="71"/>
        <v>G46610</v>
      </c>
      <c r="AU727" s="488" t="str">
        <f t="shared" si="72"/>
        <v>VTES-SOUS-TRAITANCE SAAQ</v>
      </c>
      <c r="AV727" s="899">
        <f>IFERROR(INDEX(V727:AG727,1,MATCH(Parametres!$B$3,V$1:AG$1,0)-1)*IF(OR(C727="L",C727="S",C727="I"),-1,1),"")</f>
        <v>0</v>
      </c>
      <c r="AW727" s="899">
        <f t="shared" si="73"/>
        <v>0</v>
      </c>
      <c r="AX727" s="899">
        <f>INDEX(V727:AG727,1,MATCH(Parametres!$B$3,V$1:AG$1,0))*IF(OR(C727="L",C727="S",C727="I"),-1,1)</f>
        <v>0</v>
      </c>
      <c r="AY727" s="487" t="s">
        <v>337</v>
      </c>
      <c r="AZ727" s="487" t="str">
        <f>+VLOOKUP($AJ727,Data_Validation!$A:$E,5,0)</f>
        <v>Oui</v>
      </c>
    </row>
    <row r="728" spans="1:52" ht="15" hidden="1" customHeight="1">
      <c r="A728" s="706" t="s">
        <v>1148</v>
      </c>
      <c r="B728" s="706">
        <v>2026</v>
      </c>
      <c r="C728" s="706" t="s">
        <v>2472</v>
      </c>
      <c r="D728" s="706" t="s">
        <v>2473</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G46611</v>
      </c>
      <c r="AK728" s="905" t="str">
        <f t="shared" ref="AK728:AK791" si="75">D728</f>
        <v>SUPER VITRE VENTE SUBLET</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G46611</v>
      </c>
      <c r="AU728" s="488" t="str">
        <f t="shared" ref="AU728:AU791" si="78">D728</f>
        <v>SUPER VITRE VENTE SUBLET</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2474</v>
      </c>
      <c r="D729" s="706" t="s">
        <v>2475</v>
      </c>
      <c r="E729" s="706" t="s">
        <v>1151</v>
      </c>
      <c r="F729" s="706" t="s">
        <v>1149</v>
      </c>
      <c r="G729" s="706">
        <v>41978.81</v>
      </c>
      <c r="H729" s="706">
        <v>103633.08</v>
      </c>
      <c r="I729" s="706">
        <v>149530.79</v>
      </c>
      <c r="J729" s="706">
        <v>192371.79</v>
      </c>
      <c r="K729" s="706">
        <v>220602.06</v>
      </c>
      <c r="L729" s="706">
        <v>281495.37</v>
      </c>
      <c r="M729" s="706">
        <v>333679.74</v>
      </c>
      <c r="N729" s="706">
        <v>383287.53</v>
      </c>
      <c r="O729" s="706">
        <v>396678.73</v>
      </c>
      <c r="P729" s="706">
        <v>0</v>
      </c>
      <c r="Q729" s="706">
        <v>0</v>
      </c>
      <c r="R729" s="706">
        <v>0</v>
      </c>
      <c r="S729" s="706">
        <v>47910.94</v>
      </c>
      <c r="T729" s="706">
        <v>47910.94</v>
      </c>
      <c r="U729" s="706">
        <v>0</v>
      </c>
      <c r="V729" s="706">
        <v>130</v>
      </c>
      <c r="W729" s="706">
        <v>275</v>
      </c>
      <c r="X729" s="706">
        <v>447</v>
      </c>
      <c r="Y729" s="706">
        <v>646</v>
      </c>
      <c r="Z729" s="706">
        <v>805</v>
      </c>
      <c r="AA729" s="706">
        <v>971</v>
      </c>
      <c r="AB729" s="706">
        <v>1145</v>
      </c>
      <c r="AC729" s="706">
        <v>1283</v>
      </c>
      <c r="AD729" s="706">
        <v>1297</v>
      </c>
      <c r="AE729" s="706">
        <v>0</v>
      </c>
      <c r="AF729" s="706">
        <v>0</v>
      </c>
      <c r="AG729" s="706">
        <v>0</v>
      </c>
      <c r="AH729" s="706">
        <v>160</v>
      </c>
      <c r="AI729" s="706">
        <v>160</v>
      </c>
      <c r="AJ729" s="905" t="str">
        <f t="shared" si="74"/>
        <v>G46710</v>
      </c>
      <c r="AK729" s="905" t="str">
        <f t="shared" si="75"/>
        <v>VTES PI SERV.VOIT&amp;CAM LEG</v>
      </c>
      <c r="AL729" s="905">
        <f>IFERROR(INDEX(G729:R729,1,MATCH(Parametres!$B$3,G$1:R$1,0)-1)*IF(OR(F729="L",F729="S",F729="I"),-1,1),"")</f>
        <v>-333679.74</v>
      </c>
      <c r="AM729" s="905">
        <f t="shared" si="76"/>
        <v>-49607.790000000037</v>
      </c>
      <c r="AN729" s="905">
        <f>INDEX(G729:R729,1,MATCH(Parametres!$B$3,G$1:R$1,0))*IF(OR(F729="L",F729="S",F729="I"),-1,1)</f>
        <v>-383287.53</v>
      </c>
      <c r="AO729" s="487" t="str">
        <f>+VLOOKUP($AJ729,Data_Validation!$A:$D,1,0)</f>
        <v>G46710</v>
      </c>
      <c r="AP729" s="487" t="str">
        <f>+VLOOKUP($AJ729,Data_Validation!$A:$D,3,0)</f>
        <v>Pièces</v>
      </c>
      <c r="AQ729" s="487" t="str">
        <f>+VLOOKUP($AJ729,Data_Validation!$A:$D,4,0)</f>
        <v>Pièces Ro Clients</v>
      </c>
      <c r="AR729" s="487" t="s">
        <v>299</v>
      </c>
      <c r="AS729" s="487" t="str">
        <f>+VLOOKUP($AJ729,Data_Validation!$A:$E,5,0)</f>
        <v>Oui</v>
      </c>
      <c r="AT729" s="904" t="str">
        <f t="shared" si="77"/>
        <v>G46710</v>
      </c>
      <c r="AU729" s="488" t="str">
        <f t="shared" si="78"/>
        <v>VTES PI SERV.VOIT&amp;CAM LEG</v>
      </c>
      <c r="AV729" s="899">
        <f>IFERROR(INDEX(V729:AG729,1,MATCH(Parametres!$B$3,V$1:AG$1,0)-1)*IF(OR(C729="L",C729="S",C729="I"),-1,1),"")</f>
        <v>1145</v>
      </c>
      <c r="AW729" s="899">
        <f t="shared" si="79"/>
        <v>138</v>
      </c>
      <c r="AX729" s="899">
        <f>INDEX(V729:AG729,1,MATCH(Parametres!$B$3,V$1:AG$1,0))*IF(OR(C729="L",C729="S",C729="I"),-1,1)</f>
        <v>1283</v>
      </c>
      <c r="AY729" s="487" t="s">
        <v>337</v>
      </c>
      <c r="AZ729" s="487" t="str">
        <f>+VLOOKUP($AJ729,Data_Validation!$A:$E,5,0)</f>
        <v>Oui</v>
      </c>
    </row>
    <row r="730" spans="1:52" ht="15" hidden="1" customHeight="1">
      <c r="A730" s="706" t="s">
        <v>1148</v>
      </c>
      <c r="B730" s="706">
        <v>2026</v>
      </c>
      <c r="C730" s="706" t="s">
        <v>2476</v>
      </c>
      <c r="D730" s="706" t="s">
        <v>2477</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G46720</v>
      </c>
      <c r="AK730" s="905" t="str">
        <f t="shared" si="75"/>
        <v>B.R PPC VOIT &amp; CAM LEG.</v>
      </c>
      <c r="AL730" s="905">
        <f>IFERROR(INDEX(G730:R730,1,MATCH(Parametres!$B$3,G$1:R$1,0)-1)*IF(OR(F730="L",F730="S",F730="I"),-1,1),"")</f>
        <v>0</v>
      </c>
      <c r="AM730" s="905">
        <f t="shared" si="76"/>
        <v>0</v>
      </c>
      <c r="AN730" s="905">
        <f>INDEX(G730:R730,1,MATCH(Parametres!$B$3,G$1:R$1,0))*IF(OR(F730="L",F730="S",F730="I"),-1,1)</f>
        <v>0</v>
      </c>
      <c r="AO730" s="487" t="str">
        <f>+VLOOKUP($AJ730,Data_Validation!$A:$D,1,0)</f>
        <v>G46720</v>
      </c>
      <c r="AP730" s="487" t="str">
        <f>+VLOOKUP($AJ730,Data_Validation!$A:$D,3,0)</f>
        <v>Pièces</v>
      </c>
      <c r="AQ730" s="487" t="str">
        <f>+VLOOKUP($AJ730,Data_Validation!$A:$D,4,0)</f>
        <v>Pièces Ro Clients</v>
      </c>
      <c r="AR730" s="487" t="s">
        <v>299</v>
      </c>
      <c r="AS730" s="487" t="str">
        <f>+VLOOKUP($AJ730,Data_Validation!$A:$E,5,0)</f>
        <v>Oui</v>
      </c>
      <c r="AT730" s="904" t="str">
        <f t="shared" si="77"/>
        <v>G46720</v>
      </c>
      <c r="AU730" s="488" t="str">
        <f t="shared" si="78"/>
        <v>B.R PPC VOIT &amp; CAM LEG.</v>
      </c>
      <c r="AV730" s="899">
        <f>IFERROR(INDEX(V730:AG730,1,MATCH(Parametres!$B$3,V$1:AG$1,0)-1)*IF(OR(C730="L",C730="S",C730="I"),-1,1),"")</f>
        <v>0</v>
      </c>
      <c r="AW730" s="899">
        <f t="shared" si="79"/>
        <v>0</v>
      </c>
      <c r="AX730" s="899">
        <f>INDEX(V730:AG730,1,MATCH(Parametres!$B$3,V$1:AG$1,0))*IF(OR(C730="L",C730="S",C730="I"),-1,1)</f>
        <v>0</v>
      </c>
      <c r="AY730" s="487" t="s">
        <v>337</v>
      </c>
      <c r="AZ730" s="487" t="str">
        <f>+VLOOKUP($AJ730,Data_Validation!$A:$E,5,0)</f>
        <v>Oui</v>
      </c>
    </row>
    <row r="731" spans="1:52" ht="15" hidden="1" customHeight="1">
      <c r="A731" s="706" t="s">
        <v>1148</v>
      </c>
      <c r="B731" s="706">
        <v>2026</v>
      </c>
      <c r="C731" s="706" t="s">
        <v>2478</v>
      </c>
      <c r="D731" s="706" t="s">
        <v>2479</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G46740</v>
      </c>
      <c r="AK731" s="905" t="str">
        <f t="shared" si="75"/>
        <v>SER.RAPIDE VOIT CAM LEG.</v>
      </c>
      <c r="AL731" s="905">
        <f>IFERROR(INDEX(G731:R731,1,MATCH(Parametres!$B$3,G$1:R$1,0)-1)*IF(OR(F731="L",F731="S",F731="I"),-1,1),"")</f>
        <v>0</v>
      </c>
      <c r="AM731" s="905">
        <f t="shared" si="76"/>
        <v>0</v>
      </c>
      <c r="AN731" s="905">
        <f>INDEX(G731:R731,1,MATCH(Parametres!$B$3,G$1:R$1,0))*IF(OR(F731="L",F731="S",F731="I"),-1,1)</f>
        <v>0</v>
      </c>
      <c r="AO731" s="487" t="str">
        <f>+VLOOKUP($AJ731,Data_Validation!$A:$D,1,0)</f>
        <v>G46740</v>
      </c>
      <c r="AP731" s="487">
        <f>+VLOOKUP($AJ731,Data_Validation!$A:$D,3,0)</f>
        <v>0</v>
      </c>
      <c r="AQ731" s="487">
        <f>+VLOOKUP($AJ731,Data_Validation!$A:$D,4,0)</f>
        <v>0</v>
      </c>
      <c r="AR731" s="487" t="s">
        <v>299</v>
      </c>
      <c r="AS731" s="487">
        <f>+VLOOKUP($AJ731,Data_Validation!$A:$E,5,0)</f>
        <v>0</v>
      </c>
      <c r="AT731" s="904" t="str">
        <f t="shared" si="77"/>
        <v>G46740</v>
      </c>
      <c r="AU731" s="488" t="str">
        <f t="shared" si="78"/>
        <v>SER.RAPIDE VOIT CAM LEG.</v>
      </c>
      <c r="AV731" s="899">
        <f>IFERROR(INDEX(V731:AG731,1,MATCH(Parametres!$B$3,V$1:AG$1,0)-1)*IF(OR(C731="L",C731="S",C731="I"),-1,1),"")</f>
        <v>0</v>
      </c>
      <c r="AW731" s="899">
        <f t="shared" si="79"/>
        <v>0</v>
      </c>
      <c r="AX731" s="899">
        <f>INDEX(V731:AG731,1,MATCH(Parametres!$B$3,V$1:AG$1,0))*IF(OR(C731="L",C731="S",C731="I"),-1,1)</f>
        <v>0</v>
      </c>
      <c r="AY731" s="487" t="s">
        <v>337</v>
      </c>
      <c r="AZ731" s="487">
        <f>+VLOOKUP($AJ731,Data_Validation!$A:$E,5,0)</f>
        <v>0</v>
      </c>
    </row>
    <row r="732" spans="1:52" ht="15" hidden="1" customHeight="1">
      <c r="A732" s="706" t="s">
        <v>1148</v>
      </c>
      <c r="B732" s="706">
        <v>2026</v>
      </c>
      <c r="C732" s="706" t="s">
        <v>2480</v>
      </c>
      <c r="D732" s="706" t="s">
        <v>2481</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G46800</v>
      </c>
      <c r="AK732" s="905" t="str">
        <f t="shared" si="75"/>
        <v>VTES-PCE CLIENT CAM MOYEN</v>
      </c>
      <c r="AL732" s="905">
        <f>IFERROR(INDEX(G732:R732,1,MATCH(Parametres!$B$3,G$1:R$1,0)-1)*IF(OR(F732="L",F732="S",F732="I"),-1,1),"")</f>
        <v>0</v>
      </c>
      <c r="AM732" s="905">
        <f t="shared" si="76"/>
        <v>0</v>
      </c>
      <c r="AN732" s="905">
        <f>INDEX(G732:R732,1,MATCH(Parametres!$B$3,G$1:R$1,0))*IF(OR(F732="L",F732="S",F732="I"),-1,1)</f>
        <v>0</v>
      </c>
      <c r="AO732" s="487" t="str">
        <f>+VLOOKUP($AJ732,Data_Validation!$A:$D,1,0)</f>
        <v>G46800</v>
      </c>
      <c r="AP732" s="487">
        <f>+VLOOKUP($AJ732,Data_Validation!$A:$D,3,0)</f>
        <v>0</v>
      </c>
      <c r="AQ732" s="487">
        <f>+VLOOKUP($AJ732,Data_Validation!$A:$D,4,0)</f>
        <v>0</v>
      </c>
      <c r="AR732" s="487" t="s">
        <v>299</v>
      </c>
      <c r="AS732" s="487">
        <f>+VLOOKUP($AJ732,Data_Validation!$A:$E,5,0)</f>
        <v>0</v>
      </c>
      <c r="AT732" s="904" t="str">
        <f t="shared" si="77"/>
        <v>G46800</v>
      </c>
      <c r="AU732" s="488" t="str">
        <f t="shared" si="78"/>
        <v>VTES-PCE CLIENT CAM MOYEN</v>
      </c>
      <c r="AV732" s="899">
        <f>IFERROR(INDEX(V732:AG732,1,MATCH(Parametres!$B$3,V$1:AG$1,0)-1)*IF(OR(C732="L",C732="S",C732="I"),-1,1),"")</f>
        <v>0</v>
      </c>
      <c r="AW732" s="899">
        <f t="shared" si="79"/>
        <v>0</v>
      </c>
      <c r="AX732" s="899">
        <f>INDEX(V732:AG732,1,MATCH(Parametres!$B$3,V$1:AG$1,0))*IF(OR(C732="L",C732="S",C732="I"),-1,1)</f>
        <v>0</v>
      </c>
      <c r="AY732" s="487" t="s">
        <v>337</v>
      </c>
      <c r="AZ732" s="487">
        <f>+VLOOKUP($AJ732,Data_Validation!$A:$E,5,0)</f>
        <v>0</v>
      </c>
    </row>
    <row r="733" spans="1:52" ht="15" hidden="1" customHeight="1">
      <c r="A733" s="706" t="s">
        <v>1148</v>
      </c>
      <c r="B733" s="706">
        <v>2026</v>
      </c>
      <c r="C733" s="706" t="s">
        <v>2482</v>
      </c>
      <c r="D733" s="706" t="s">
        <v>2483</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G46810</v>
      </c>
      <c r="AK733" s="905" t="str">
        <f t="shared" si="75"/>
        <v>VTES-PCE SERV.CLIENT CAM.</v>
      </c>
      <c r="AL733" s="905">
        <f>IFERROR(INDEX(G733:R733,1,MATCH(Parametres!$B$3,G$1:R$1,0)-1)*IF(OR(F733="L",F733="S",F733="I"),-1,1),"")</f>
        <v>0</v>
      </c>
      <c r="AM733" s="905">
        <f t="shared" si="76"/>
        <v>0</v>
      </c>
      <c r="AN733" s="905">
        <f>INDEX(G733:R733,1,MATCH(Parametres!$B$3,G$1:R$1,0))*IF(OR(F733="L",F733="S",F733="I"),-1,1)</f>
        <v>0</v>
      </c>
      <c r="AO733" s="487" t="str">
        <f>+VLOOKUP($AJ733,Data_Validation!$A:$D,1,0)</f>
        <v>G46810</v>
      </c>
      <c r="AP733" s="487">
        <f>+VLOOKUP($AJ733,Data_Validation!$A:$D,3,0)</f>
        <v>0</v>
      </c>
      <c r="AQ733" s="487">
        <f>+VLOOKUP($AJ733,Data_Validation!$A:$D,4,0)</f>
        <v>0</v>
      </c>
      <c r="AR733" s="487" t="s">
        <v>299</v>
      </c>
      <c r="AS733" s="487">
        <f>+VLOOKUP($AJ733,Data_Validation!$A:$E,5,0)</f>
        <v>0</v>
      </c>
      <c r="AT733" s="904" t="str">
        <f t="shared" si="77"/>
        <v>G46810</v>
      </c>
      <c r="AU733" s="488" t="str">
        <f t="shared" si="78"/>
        <v>VTES-PCE SERV.CLIENT CAM.</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hidden="1" customHeight="1">
      <c r="A734" s="706" t="s">
        <v>1148</v>
      </c>
      <c r="B734" s="706">
        <v>2026</v>
      </c>
      <c r="C734" s="706" t="s">
        <v>2484</v>
      </c>
      <c r="D734" s="706" t="s">
        <v>2485</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G46840</v>
      </c>
      <c r="AK734" s="905" t="str">
        <f t="shared" si="75"/>
        <v>VTES-PCE GOODWRENCH CAMIO</v>
      </c>
      <c r="AL734" s="905">
        <f>IFERROR(INDEX(G734:R734,1,MATCH(Parametres!$B$3,G$1:R$1,0)-1)*IF(OR(F734="L",F734="S",F734="I"),-1,1),"")</f>
        <v>0</v>
      </c>
      <c r="AM734" s="905">
        <f t="shared" si="76"/>
        <v>0</v>
      </c>
      <c r="AN734" s="905">
        <f>INDEX(G734:R734,1,MATCH(Parametres!$B$3,G$1:R$1,0))*IF(OR(F734="L",F734="S",F734="I"),-1,1)</f>
        <v>0</v>
      </c>
      <c r="AO734" s="487" t="e">
        <f>+VLOOKUP($AJ734,Data_Validation!$A:$D,1,0)</f>
        <v>#N/A</v>
      </c>
      <c r="AP734" s="487" t="e">
        <f>+VLOOKUP($AJ734,Data_Validation!$A:$D,3,0)</f>
        <v>#N/A</v>
      </c>
      <c r="AQ734" s="487" t="e">
        <f>+VLOOKUP($AJ734,Data_Validation!$A:$D,4,0)</f>
        <v>#N/A</v>
      </c>
      <c r="AR734" s="487" t="s">
        <v>299</v>
      </c>
      <c r="AS734" s="487" t="e">
        <f>+VLOOKUP($AJ734,Data_Validation!$A:$E,5,0)</f>
        <v>#N/A</v>
      </c>
      <c r="AT734" s="904" t="str">
        <f t="shared" si="77"/>
        <v>G46840</v>
      </c>
      <c r="AU734" s="488" t="str">
        <f t="shared" si="78"/>
        <v>VTES-PCE GOODWRENCH CAMIO</v>
      </c>
      <c r="AV734" s="899">
        <f>IFERROR(INDEX(V734:AG734,1,MATCH(Parametres!$B$3,V$1:AG$1,0)-1)*IF(OR(C734="L",C734="S",C734="I"),-1,1),"")</f>
        <v>0</v>
      </c>
      <c r="AW734" s="899">
        <f t="shared" si="79"/>
        <v>0</v>
      </c>
      <c r="AX734" s="899">
        <f>INDEX(V734:AG734,1,MATCH(Parametres!$B$3,V$1:AG$1,0))*IF(OR(C734="L",C734="S",C734="I"),-1,1)</f>
        <v>0</v>
      </c>
      <c r="AY734" s="487" t="s">
        <v>337</v>
      </c>
      <c r="AZ734" s="487" t="e">
        <f>+VLOOKUP($AJ734,Data_Validation!$A:$E,5,0)</f>
        <v>#N/A</v>
      </c>
    </row>
    <row r="735" spans="1:52" ht="15" hidden="1" customHeight="1">
      <c r="A735" s="706" t="s">
        <v>1148</v>
      </c>
      <c r="B735" s="706">
        <v>2026</v>
      </c>
      <c r="C735" s="706" t="s">
        <v>2486</v>
      </c>
      <c r="D735" s="706" t="s">
        <v>2487</v>
      </c>
      <c r="E735" s="706" t="s">
        <v>333</v>
      </c>
      <c r="F735" s="706" t="s">
        <v>1149</v>
      </c>
      <c r="G735" s="706">
        <v>2646.8</v>
      </c>
      <c r="H735" s="706">
        <v>5914.65</v>
      </c>
      <c r="I735" s="706">
        <v>9184.1</v>
      </c>
      <c r="J735" s="706">
        <v>13267.53</v>
      </c>
      <c r="K735" s="706">
        <v>17068.18</v>
      </c>
      <c r="L735" s="706">
        <v>20337.54</v>
      </c>
      <c r="M735" s="706">
        <v>22791.25</v>
      </c>
      <c r="N735" s="706">
        <v>25438.35</v>
      </c>
      <c r="O735" s="706">
        <v>25581.35</v>
      </c>
      <c r="P735" s="706">
        <v>0</v>
      </c>
      <c r="Q735" s="706">
        <v>0</v>
      </c>
      <c r="R735" s="706">
        <v>0</v>
      </c>
      <c r="S735" s="706">
        <v>3179.79</v>
      </c>
      <c r="T735" s="706">
        <v>3179.79</v>
      </c>
      <c r="U735" s="706">
        <v>0</v>
      </c>
      <c r="V735" s="706">
        <v>232</v>
      </c>
      <c r="W735" s="706">
        <v>521</v>
      </c>
      <c r="X735" s="706">
        <v>812</v>
      </c>
      <c r="Y735" s="706">
        <v>1191</v>
      </c>
      <c r="Z735" s="706">
        <v>1531</v>
      </c>
      <c r="AA735" s="706">
        <v>1824</v>
      </c>
      <c r="AB735" s="706">
        <v>2059</v>
      </c>
      <c r="AC735" s="706">
        <v>2267</v>
      </c>
      <c r="AD735" s="706">
        <v>2281</v>
      </c>
      <c r="AE735" s="706">
        <v>0</v>
      </c>
      <c r="AF735" s="706">
        <v>0</v>
      </c>
      <c r="AG735" s="706">
        <v>0</v>
      </c>
      <c r="AH735" s="706">
        <v>283</v>
      </c>
      <c r="AI735" s="706">
        <v>283</v>
      </c>
      <c r="AJ735" s="905" t="str">
        <f t="shared" si="74"/>
        <v>G46900</v>
      </c>
      <c r="AK735" s="905" t="str">
        <f t="shared" si="75"/>
        <v>VTES FOURNITURE ATELIER</v>
      </c>
      <c r="AL735" s="905">
        <f>IFERROR(INDEX(G735:R735,1,MATCH(Parametres!$B$3,G$1:R$1,0)-1)*IF(OR(F735="L",F735="S",F735="I"),-1,1),"")</f>
        <v>-22791.25</v>
      </c>
      <c r="AM735" s="905">
        <f t="shared" si="76"/>
        <v>-2647.0999999999985</v>
      </c>
      <c r="AN735" s="905">
        <f>INDEX(G735:R735,1,MATCH(Parametres!$B$3,G$1:R$1,0))*IF(OR(F735="L",F735="S",F735="I"),-1,1)</f>
        <v>-25438.35</v>
      </c>
      <c r="AO735" s="487" t="str">
        <f>+VLOOKUP($AJ735,Data_Validation!$A:$D,1,0)</f>
        <v>G46900</v>
      </c>
      <c r="AP735" s="487" t="str">
        <f>+VLOOKUP($AJ735,Data_Validation!$A:$D,3,0)</f>
        <v>Service</v>
      </c>
      <c r="AQ735" s="487" t="str">
        <f>+VLOOKUP($AJ735,Data_Validation!$A:$D,4,0)</f>
        <v>Sous-traitement</v>
      </c>
      <c r="AR735" s="487" t="s">
        <v>299</v>
      </c>
      <c r="AS735" s="487" t="str">
        <f>+VLOOKUP($AJ735,Data_Validation!$A:$E,5,0)</f>
        <v>Oui</v>
      </c>
      <c r="AT735" s="904" t="str">
        <f t="shared" si="77"/>
        <v>G46900</v>
      </c>
      <c r="AU735" s="488" t="str">
        <f t="shared" si="78"/>
        <v>VTES FOURNITURE ATELIER</v>
      </c>
      <c r="AV735" s="899">
        <f>IFERROR(INDEX(V735:AG735,1,MATCH(Parametres!$B$3,V$1:AG$1,0)-1)*IF(OR(C735="L",C735="S",C735="I"),-1,1),"")</f>
        <v>2059</v>
      </c>
      <c r="AW735" s="899">
        <f t="shared" si="79"/>
        <v>208</v>
      </c>
      <c r="AX735" s="899">
        <f>INDEX(V735:AG735,1,MATCH(Parametres!$B$3,V$1:AG$1,0))*IF(OR(C735="L",C735="S",C735="I"),-1,1)</f>
        <v>2267</v>
      </c>
      <c r="AY735" s="487" t="s">
        <v>337</v>
      </c>
      <c r="AZ735" s="487" t="str">
        <f>+VLOOKUP($AJ735,Data_Validation!$A:$E,5,0)</f>
        <v>Oui</v>
      </c>
    </row>
    <row r="736" spans="1:52" ht="15" hidden="1" customHeight="1">
      <c r="A736" s="706" t="s">
        <v>1148</v>
      </c>
      <c r="B736" s="706">
        <v>2026</v>
      </c>
      <c r="C736" s="706" t="s">
        <v>2488</v>
      </c>
      <c r="D736" s="706" t="s">
        <v>3366</v>
      </c>
      <c r="E736" s="706" t="s">
        <v>1151</v>
      </c>
      <c r="F736" s="706" t="s">
        <v>1149</v>
      </c>
      <c r="G736" s="706">
        <v>0</v>
      </c>
      <c r="H736" s="706">
        <v>0</v>
      </c>
      <c r="I736" s="706">
        <v>0</v>
      </c>
      <c r="J736" s="706">
        <v>0</v>
      </c>
      <c r="K736" s="706">
        <v>7647.4</v>
      </c>
      <c r="L736" s="706">
        <v>19811.75</v>
      </c>
      <c r="M736" s="706">
        <v>29506.6</v>
      </c>
      <c r="N736" s="706">
        <v>32925.629999999997</v>
      </c>
      <c r="O736" s="706">
        <v>33624.28</v>
      </c>
      <c r="P736" s="706">
        <v>0</v>
      </c>
      <c r="Q736" s="706">
        <v>0</v>
      </c>
      <c r="R736" s="706">
        <v>0</v>
      </c>
      <c r="S736" s="706">
        <v>4115.7</v>
      </c>
      <c r="T736" s="706">
        <v>4115.7</v>
      </c>
      <c r="U736" s="706">
        <v>0</v>
      </c>
      <c r="V736" s="706">
        <v>0</v>
      </c>
      <c r="W736" s="706">
        <v>0</v>
      </c>
      <c r="X736" s="706">
        <v>0</v>
      </c>
      <c r="Y736" s="706">
        <v>0</v>
      </c>
      <c r="Z736" s="706">
        <v>16</v>
      </c>
      <c r="AA736" s="706">
        <v>38</v>
      </c>
      <c r="AB736" s="706">
        <v>54</v>
      </c>
      <c r="AC736" s="706">
        <v>63</v>
      </c>
      <c r="AD736" s="706">
        <v>66</v>
      </c>
      <c r="AE736" s="706">
        <v>0</v>
      </c>
      <c r="AF736" s="706">
        <v>0</v>
      </c>
      <c r="AG736" s="706">
        <v>0</v>
      </c>
      <c r="AH736" s="706">
        <v>8</v>
      </c>
      <c r="AI736" s="706">
        <v>8</v>
      </c>
      <c r="AJ736" s="905" t="str">
        <f t="shared" si="74"/>
        <v>G47000</v>
      </c>
      <c r="AK736" s="905" t="str">
        <f t="shared" si="75"/>
        <v>VTES -MO .CLIENT-PEINTURE</v>
      </c>
      <c r="AL736" s="905">
        <f>IFERROR(INDEX(G736:R736,1,MATCH(Parametres!$B$3,G$1:R$1,0)-1)*IF(OR(F736="L",F736="S",F736="I"),-1,1),"")</f>
        <v>-29506.6</v>
      </c>
      <c r="AM736" s="905">
        <f t="shared" si="76"/>
        <v>-3419.0299999999988</v>
      </c>
      <c r="AN736" s="905">
        <f>INDEX(G736:R736,1,MATCH(Parametres!$B$3,G$1:R$1,0))*IF(OR(F736="L",F736="S",F736="I"),-1,1)</f>
        <v>-32925.629999999997</v>
      </c>
      <c r="AO736" s="487" t="str">
        <f>+VLOOKUP($AJ736,Data_Validation!$A:$D,1,0)</f>
        <v>G47000</v>
      </c>
      <c r="AP736" s="487" t="str">
        <f>+VLOOKUP($AJ736,Data_Validation!$A:$D,3,0)</f>
        <v>Carrosserie</v>
      </c>
      <c r="AQ736" s="487" t="str">
        <f>+VLOOKUP($AJ736,Data_Validation!$A:$D,4,0)</f>
        <v>Carrosserie Clients</v>
      </c>
      <c r="AR736" s="487" t="s">
        <v>299</v>
      </c>
      <c r="AS736" s="487" t="str">
        <f>+VLOOKUP($AJ736,Data_Validation!$A:$E,5,0)</f>
        <v>Oui</v>
      </c>
      <c r="AT736" s="904" t="str">
        <f t="shared" si="77"/>
        <v>G47000</v>
      </c>
      <c r="AU736" s="488" t="str">
        <f t="shared" si="78"/>
        <v>VTES -MO .CLIENT-PEINTURE</v>
      </c>
      <c r="AV736" s="899">
        <f>IFERROR(INDEX(V736:AG736,1,MATCH(Parametres!$B$3,V$1:AG$1,0)-1)*IF(OR(C736="L",C736="S",C736="I"),-1,1),"")</f>
        <v>54</v>
      </c>
      <c r="AW736" s="899">
        <f t="shared" si="79"/>
        <v>9</v>
      </c>
      <c r="AX736" s="899">
        <f>INDEX(V736:AG736,1,MATCH(Parametres!$B$3,V$1:AG$1,0))*IF(OR(C736="L",C736="S",C736="I"),-1,1)</f>
        <v>63</v>
      </c>
      <c r="AY736" s="487" t="s">
        <v>337</v>
      </c>
      <c r="AZ736" s="487" t="str">
        <f>+VLOOKUP($AJ736,Data_Validation!$A:$E,5,0)</f>
        <v>Oui</v>
      </c>
    </row>
    <row r="737" spans="1:52" ht="15" hidden="1" customHeight="1">
      <c r="A737" s="706" t="s">
        <v>1148</v>
      </c>
      <c r="B737" s="706">
        <v>2026</v>
      </c>
      <c r="C737" s="706" t="s">
        <v>2490</v>
      </c>
      <c r="D737" s="706" t="s">
        <v>3367</v>
      </c>
      <c r="E737" s="706" t="s">
        <v>1151</v>
      </c>
      <c r="F737" s="706" t="s">
        <v>1149</v>
      </c>
      <c r="G737" s="706">
        <v>0</v>
      </c>
      <c r="H737" s="706">
        <v>0</v>
      </c>
      <c r="I737" s="706">
        <v>0</v>
      </c>
      <c r="J737" s="706">
        <v>0</v>
      </c>
      <c r="K737" s="706">
        <v>10270.44</v>
      </c>
      <c r="L737" s="706">
        <v>23929.94</v>
      </c>
      <c r="M737" s="706">
        <v>33592.980000000003</v>
      </c>
      <c r="N737" s="706">
        <v>40487.51</v>
      </c>
      <c r="O737" s="706">
        <v>41145.51</v>
      </c>
      <c r="P737" s="706">
        <v>0</v>
      </c>
      <c r="Q737" s="706">
        <v>0</v>
      </c>
      <c r="R737" s="706">
        <v>0</v>
      </c>
      <c r="S737" s="706">
        <v>5060.9399999999996</v>
      </c>
      <c r="T737" s="706">
        <v>5060.9399999999996</v>
      </c>
      <c r="U737" s="706">
        <v>0</v>
      </c>
      <c r="V737" s="706">
        <v>0</v>
      </c>
      <c r="W737" s="706">
        <v>0</v>
      </c>
      <c r="X737" s="706">
        <v>0</v>
      </c>
      <c r="Y737" s="706">
        <v>0</v>
      </c>
      <c r="Z737" s="706">
        <v>17</v>
      </c>
      <c r="AA737" s="706">
        <v>36</v>
      </c>
      <c r="AB737" s="706">
        <v>55</v>
      </c>
      <c r="AC737" s="706">
        <v>65</v>
      </c>
      <c r="AD737" s="706">
        <v>69</v>
      </c>
      <c r="AE737" s="706">
        <v>0</v>
      </c>
      <c r="AF737" s="706">
        <v>0</v>
      </c>
      <c r="AG737" s="706">
        <v>0</v>
      </c>
      <c r="AH737" s="706">
        <v>8</v>
      </c>
      <c r="AI737" s="706">
        <v>8</v>
      </c>
      <c r="AJ737" s="905" t="str">
        <f t="shared" si="74"/>
        <v>G47005</v>
      </c>
      <c r="AK737" s="905" t="str">
        <f t="shared" si="75"/>
        <v>VTES -M.O CONCES. PEINTUR</v>
      </c>
      <c r="AL737" s="905">
        <f>IFERROR(INDEX(G737:R737,1,MATCH(Parametres!$B$3,G$1:R$1,0)-1)*IF(OR(F737="L",F737="S",F737="I"),-1,1),"")</f>
        <v>-33592.980000000003</v>
      </c>
      <c r="AM737" s="905">
        <f t="shared" si="76"/>
        <v>-6894.5299999999988</v>
      </c>
      <c r="AN737" s="905">
        <f>INDEX(G737:R737,1,MATCH(Parametres!$B$3,G$1:R$1,0))*IF(OR(F737="L",F737="S",F737="I"),-1,1)</f>
        <v>-40487.51</v>
      </c>
      <c r="AO737" s="487" t="str">
        <f>+VLOOKUP($AJ737,Data_Validation!$A:$D,1,0)</f>
        <v>G47005</v>
      </c>
      <c r="AP737" s="487" t="str">
        <f>+VLOOKUP($AJ737,Data_Validation!$A:$D,3,0)</f>
        <v>Carrosserie</v>
      </c>
      <c r="AQ737" s="487" t="str">
        <f>+VLOOKUP($AJ737,Data_Validation!$A:$D,4,0)</f>
        <v>Carrosserie Concessions</v>
      </c>
      <c r="AR737" s="487" t="s">
        <v>299</v>
      </c>
      <c r="AS737" s="487" t="str">
        <f>+VLOOKUP($AJ737,Data_Validation!$A:$E,5,0)</f>
        <v>Oui</v>
      </c>
      <c r="AT737" s="904" t="str">
        <f t="shared" si="77"/>
        <v>G47005</v>
      </c>
      <c r="AU737" s="488" t="str">
        <f t="shared" si="78"/>
        <v>VTES -M.O CONCES. PEINTUR</v>
      </c>
      <c r="AV737" s="899">
        <f>IFERROR(INDEX(V737:AG737,1,MATCH(Parametres!$B$3,V$1:AG$1,0)-1)*IF(OR(C737="L",C737="S",C737="I"),-1,1),"")</f>
        <v>55</v>
      </c>
      <c r="AW737" s="899">
        <f t="shared" si="79"/>
        <v>10</v>
      </c>
      <c r="AX737" s="899">
        <f>INDEX(V737:AG737,1,MATCH(Parametres!$B$3,V$1:AG$1,0))*IF(OR(C737="L",C737="S",C737="I"),-1,1)</f>
        <v>65</v>
      </c>
      <c r="AY737" s="487" t="s">
        <v>337</v>
      </c>
      <c r="AZ737" s="487" t="str">
        <f>+VLOOKUP($AJ737,Data_Validation!$A:$E,5,0)</f>
        <v>Oui</v>
      </c>
    </row>
    <row r="738" spans="1:52" ht="15" hidden="1" customHeight="1">
      <c r="A738" s="706" t="s">
        <v>1148</v>
      </c>
      <c r="B738" s="706">
        <v>2026</v>
      </c>
      <c r="C738" s="706" t="s">
        <v>2492</v>
      </c>
      <c r="D738" s="706" t="s">
        <v>2493</v>
      </c>
      <c r="E738" s="706" t="s">
        <v>1151</v>
      </c>
      <c r="F738" s="706" t="s">
        <v>1149</v>
      </c>
      <c r="G738" s="706">
        <v>56064.89</v>
      </c>
      <c r="H738" s="706">
        <v>121587.01</v>
      </c>
      <c r="I738" s="706">
        <v>174836.25</v>
      </c>
      <c r="J738" s="706">
        <v>279197.3</v>
      </c>
      <c r="K738" s="706">
        <v>298896.17</v>
      </c>
      <c r="L738" s="706">
        <v>317588.84999999998</v>
      </c>
      <c r="M738" s="706">
        <v>340882.88</v>
      </c>
      <c r="N738" s="706">
        <v>374868.99</v>
      </c>
      <c r="O738" s="706">
        <v>375751.69</v>
      </c>
      <c r="P738" s="706">
        <v>0</v>
      </c>
      <c r="Q738" s="706">
        <v>0</v>
      </c>
      <c r="R738" s="706">
        <v>0</v>
      </c>
      <c r="S738" s="706">
        <v>46858.62</v>
      </c>
      <c r="T738" s="706">
        <v>46858.62</v>
      </c>
      <c r="U738" s="706">
        <v>0</v>
      </c>
      <c r="V738" s="706">
        <v>45</v>
      </c>
      <c r="W738" s="706">
        <v>95</v>
      </c>
      <c r="X738" s="706">
        <v>146</v>
      </c>
      <c r="Y738" s="706">
        <v>210</v>
      </c>
      <c r="Z738" s="706">
        <v>237</v>
      </c>
      <c r="AA738" s="706">
        <v>266</v>
      </c>
      <c r="AB738" s="706">
        <v>293</v>
      </c>
      <c r="AC738" s="706">
        <v>315</v>
      </c>
      <c r="AD738" s="706">
        <v>319</v>
      </c>
      <c r="AE738" s="706">
        <v>0</v>
      </c>
      <c r="AF738" s="706">
        <v>0</v>
      </c>
      <c r="AG738" s="706">
        <v>0</v>
      </c>
      <c r="AH738" s="706">
        <v>39</v>
      </c>
      <c r="AI738" s="706">
        <v>39</v>
      </c>
      <c r="AJ738" s="905" t="str">
        <f t="shared" si="74"/>
        <v>G47100</v>
      </c>
      <c r="AK738" s="905" t="str">
        <f t="shared" si="75"/>
        <v>VTES-M.D. CLIENT CARROSS.</v>
      </c>
      <c r="AL738" s="905">
        <f>IFERROR(INDEX(G738:R738,1,MATCH(Parametres!$B$3,G$1:R$1,0)-1)*IF(OR(F738="L",F738="S",F738="I"),-1,1),"")</f>
        <v>-340882.88</v>
      </c>
      <c r="AM738" s="905">
        <f t="shared" si="76"/>
        <v>-33986.109999999986</v>
      </c>
      <c r="AN738" s="905">
        <f>INDEX(G738:R738,1,MATCH(Parametres!$B$3,G$1:R$1,0))*IF(OR(F738="L",F738="S",F738="I"),-1,1)</f>
        <v>-374868.99</v>
      </c>
      <c r="AO738" s="487" t="str">
        <f>+VLOOKUP($AJ738,Data_Validation!$A:$D,1,0)</f>
        <v>G47100</v>
      </c>
      <c r="AP738" s="487" t="str">
        <f>+VLOOKUP($AJ738,Data_Validation!$A:$D,3,0)</f>
        <v>Carrosserie</v>
      </c>
      <c r="AQ738" s="487" t="str">
        <f>+VLOOKUP($AJ738,Data_Validation!$A:$D,4,0)</f>
        <v>Carrosserie Clients</v>
      </c>
      <c r="AR738" s="487" t="s">
        <v>299</v>
      </c>
      <c r="AS738" s="487" t="str">
        <f>+VLOOKUP($AJ738,Data_Validation!$A:$E,5,0)</f>
        <v>Oui</v>
      </c>
      <c r="AT738" s="904" t="str">
        <f t="shared" si="77"/>
        <v>G47100</v>
      </c>
      <c r="AU738" s="488" t="str">
        <f t="shared" si="78"/>
        <v>VTES-M.D. CLIENT CARROSS.</v>
      </c>
      <c r="AV738" s="899">
        <f>IFERROR(INDEX(V738:AG738,1,MATCH(Parametres!$B$3,V$1:AG$1,0)-1)*IF(OR(C738="L",C738="S",C738="I"),-1,1),"")</f>
        <v>293</v>
      </c>
      <c r="AW738" s="899">
        <f t="shared" si="79"/>
        <v>22</v>
      </c>
      <c r="AX738" s="899">
        <f>INDEX(V738:AG738,1,MATCH(Parametres!$B$3,V$1:AG$1,0))*IF(OR(C738="L",C738="S",C738="I"),-1,1)</f>
        <v>315</v>
      </c>
      <c r="AY738" s="487" t="s">
        <v>337</v>
      </c>
      <c r="AZ738" s="487" t="str">
        <f>+VLOOKUP($AJ738,Data_Validation!$A:$E,5,0)</f>
        <v>Oui</v>
      </c>
    </row>
    <row r="739" spans="1:52" ht="15" hidden="1" customHeight="1">
      <c r="A739" s="706" t="s">
        <v>1148</v>
      </c>
      <c r="B739" s="706">
        <v>2026</v>
      </c>
      <c r="C739" s="706" t="s">
        <v>2494</v>
      </c>
      <c r="D739" s="706" t="s">
        <v>3368</v>
      </c>
      <c r="E739" s="706" t="s">
        <v>1151</v>
      </c>
      <c r="F739" s="706" t="s">
        <v>1149</v>
      </c>
      <c r="G739" s="706">
        <v>0</v>
      </c>
      <c r="H739" s="706">
        <v>0</v>
      </c>
      <c r="I739" s="706">
        <v>0</v>
      </c>
      <c r="J739" s="706">
        <v>0</v>
      </c>
      <c r="K739" s="706">
        <v>20289.45</v>
      </c>
      <c r="L739" s="706">
        <v>50705.96</v>
      </c>
      <c r="M739" s="706">
        <v>74569.38</v>
      </c>
      <c r="N739" s="706">
        <v>92193.01</v>
      </c>
      <c r="O739" s="706">
        <v>93769.41</v>
      </c>
      <c r="P739" s="706">
        <v>0</v>
      </c>
      <c r="Q739" s="706">
        <v>0</v>
      </c>
      <c r="R739" s="706">
        <v>0</v>
      </c>
      <c r="S739" s="706">
        <v>11524.13</v>
      </c>
      <c r="T739" s="706">
        <v>11524.13</v>
      </c>
      <c r="U739" s="706">
        <v>0</v>
      </c>
      <c r="V739" s="706">
        <v>0</v>
      </c>
      <c r="W739" s="706">
        <v>0</v>
      </c>
      <c r="X739" s="706">
        <v>0</v>
      </c>
      <c r="Y739" s="706">
        <v>0</v>
      </c>
      <c r="Z739" s="706">
        <v>19</v>
      </c>
      <c r="AA739" s="706">
        <v>43</v>
      </c>
      <c r="AB739" s="706">
        <v>64</v>
      </c>
      <c r="AC739" s="706">
        <v>77</v>
      </c>
      <c r="AD739" s="706">
        <v>81</v>
      </c>
      <c r="AE739" s="706">
        <v>0</v>
      </c>
      <c r="AF739" s="706">
        <v>0</v>
      </c>
      <c r="AG739" s="706">
        <v>0</v>
      </c>
      <c r="AH739" s="706">
        <v>10</v>
      </c>
      <c r="AI739" s="706">
        <v>10</v>
      </c>
      <c r="AJ739" s="905" t="str">
        <f t="shared" si="74"/>
        <v>G47105</v>
      </c>
      <c r="AK739" s="905" t="str">
        <f t="shared" si="75"/>
        <v>VTES -M.O CONCES. -BODY</v>
      </c>
      <c r="AL739" s="905">
        <f>IFERROR(INDEX(G739:R739,1,MATCH(Parametres!$B$3,G$1:R$1,0)-1)*IF(OR(F739="L",F739="S",F739="I"),-1,1),"")</f>
        <v>-74569.38</v>
      </c>
      <c r="AM739" s="905">
        <f t="shared" si="76"/>
        <v>-17623.62999999999</v>
      </c>
      <c r="AN739" s="905">
        <f>INDEX(G739:R739,1,MATCH(Parametres!$B$3,G$1:R$1,0))*IF(OR(F739="L",F739="S",F739="I"),-1,1)</f>
        <v>-92193.01</v>
      </c>
      <c r="AO739" s="487" t="str">
        <f>+VLOOKUP($AJ739,Data_Validation!$A:$D,1,0)</f>
        <v>G47105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G47105</v>
      </c>
      <c r="AU739" s="488" t="str">
        <f t="shared" si="78"/>
        <v>VTES -M.O CONCES. -BODY</v>
      </c>
      <c r="AV739" s="899">
        <f>IFERROR(INDEX(V739:AG739,1,MATCH(Parametres!$B$3,V$1:AG$1,0)-1)*IF(OR(C739="L",C739="S",C739="I"),-1,1),"")</f>
        <v>64</v>
      </c>
      <c r="AW739" s="899">
        <f t="shared" si="79"/>
        <v>13</v>
      </c>
      <c r="AX739" s="899">
        <f>INDEX(V739:AG739,1,MATCH(Parametres!$B$3,V$1:AG$1,0))*IF(OR(C739="L",C739="S",C739="I"),-1,1)</f>
        <v>77</v>
      </c>
      <c r="AY739" s="487" t="s">
        <v>337</v>
      </c>
      <c r="AZ739" s="487" t="str">
        <f>+VLOOKUP($AJ739,Data_Validation!$A:$E,5,0)</f>
        <v>Oui</v>
      </c>
    </row>
    <row r="740" spans="1:52" ht="15" hidden="1" customHeight="1">
      <c r="A740" s="706" t="s">
        <v>1148</v>
      </c>
      <c r="B740" s="706">
        <v>2026</v>
      </c>
      <c r="C740" s="706" t="s">
        <v>2496</v>
      </c>
      <c r="D740" s="706" t="s">
        <v>3369</v>
      </c>
      <c r="E740" s="706" t="s">
        <v>1151</v>
      </c>
      <c r="F740" s="706" t="s">
        <v>1149</v>
      </c>
      <c r="G740" s="706">
        <v>0</v>
      </c>
      <c r="H740" s="706">
        <v>0</v>
      </c>
      <c r="I740" s="706">
        <v>0</v>
      </c>
      <c r="J740" s="706">
        <v>0</v>
      </c>
      <c r="K740" s="706">
        <v>845.5</v>
      </c>
      <c r="L740" s="706">
        <v>4409.1000000000004</v>
      </c>
      <c r="M740" s="706">
        <v>7096.43</v>
      </c>
      <c r="N740" s="706">
        <v>7224.43</v>
      </c>
      <c r="O740" s="706">
        <v>7224.43</v>
      </c>
      <c r="P740" s="706">
        <v>0</v>
      </c>
      <c r="Q740" s="706">
        <v>0</v>
      </c>
      <c r="R740" s="706">
        <v>0</v>
      </c>
      <c r="S740" s="706">
        <v>903.05</v>
      </c>
      <c r="T740" s="706">
        <v>903.05</v>
      </c>
      <c r="U740" s="706">
        <v>0</v>
      </c>
      <c r="V740" s="706">
        <v>0</v>
      </c>
      <c r="W740" s="706">
        <v>0</v>
      </c>
      <c r="X740" s="706">
        <v>0</v>
      </c>
      <c r="Y740" s="706">
        <v>0</v>
      </c>
      <c r="Z740" s="706">
        <v>5</v>
      </c>
      <c r="AA740" s="706">
        <v>24</v>
      </c>
      <c r="AB740" s="706">
        <v>42</v>
      </c>
      <c r="AC740" s="706">
        <v>43</v>
      </c>
      <c r="AD740" s="706">
        <v>43</v>
      </c>
      <c r="AE740" s="706">
        <v>0</v>
      </c>
      <c r="AF740" s="706">
        <v>0</v>
      </c>
      <c r="AG740" s="706">
        <v>0</v>
      </c>
      <c r="AH740" s="706">
        <v>5</v>
      </c>
      <c r="AI740" s="706">
        <v>5</v>
      </c>
      <c r="AJ740" s="905" t="str">
        <f t="shared" si="74"/>
        <v>G47110</v>
      </c>
      <c r="AK740" s="905" t="str">
        <f t="shared" si="75"/>
        <v>VTES - M.O MEC CLT BODY</v>
      </c>
      <c r="AL740" s="905">
        <f>IFERROR(INDEX(G740:R740,1,MATCH(Parametres!$B$3,G$1:R$1,0)-1)*IF(OR(F740="L",F740="S",F740="I"),-1,1),"")</f>
        <v>-7096.43</v>
      </c>
      <c r="AM740" s="905">
        <f t="shared" si="76"/>
        <v>-128</v>
      </c>
      <c r="AN740" s="905">
        <f>INDEX(G740:R740,1,MATCH(Parametres!$B$3,G$1:R$1,0))*IF(OR(F740="L",F740="S",F740="I"),-1,1)</f>
        <v>-7224.43</v>
      </c>
      <c r="AO740" s="487" t="str">
        <f>+VLOOKUP($AJ740,Data_Validation!$A:$D,1,0)</f>
        <v>G47110</v>
      </c>
      <c r="AP740" s="487" t="str">
        <f>+VLOOKUP($AJ740,Data_Validation!$A:$D,3,0)</f>
        <v>Carrosserie</v>
      </c>
      <c r="AQ740" s="487" t="str">
        <f>+VLOOKUP($AJ740,Data_Validation!$A:$D,4,0)</f>
        <v>Carrosserie Clients</v>
      </c>
      <c r="AR740" s="487" t="s">
        <v>299</v>
      </c>
      <c r="AS740" s="487" t="str">
        <f>+VLOOKUP($AJ740,Data_Validation!$A:$E,5,0)</f>
        <v>Oui</v>
      </c>
      <c r="AT740" s="904" t="str">
        <f t="shared" si="77"/>
        <v>G47110</v>
      </c>
      <c r="AU740" s="488" t="str">
        <f t="shared" si="78"/>
        <v>VTES - M.O MEC CLT BODY</v>
      </c>
      <c r="AV740" s="899">
        <f>IFERROR(INDEX(V740:AG740,1,MATCH(Parametres!$B$3,V$1:AG$1,0)-1)*IF(OR(C740="L",C740="S",C740="I"),-1,1),"")</f>
        <v>42</v>
      </c>
      <c r="AW740" s="899">
        <f t="shared" si="79"/>
        <v>1</v>
      </c>
      <c r="AX740" s="899">
        <f>INDEX(V740:AG740,1,MATCH(Parametres!$B$3,V$1:AG$1,0))*IF(OR(C740="L",C740="S",C740="I"),-1,1)</f>
        <v>43</v>
      </c>
      <c r="AY740" s="487" t="s">
        <v>337</v>
      </c>
      <c r="AZ740" s="487" t="str">
        <f>+VLOOKUP($AJ740,Data_Validation!$A:$E,5,0)</f>
        <v>Oui</v>
      </c>
    </row>
    <row r="741" spans="1:52" ht="15" hidden="1" customHeight="1">
      <c r="A741" s="706" t="s">
        <v>1148</v>
      </c>
      <c r="B741" s="706">
        <v>2026</v>
      </c>
      <c r="C741" s="706" t="s">
        <v>2498</v>
      </c>
      <c r="D741" s="706" t="s">
        <v>3370</v>
      </c>
      <c r="E741" s="706" t="s">
        <v>1151</v>
      </c>
      <c r="F741" s="706" t="s">
        <v>1149</v>
      </c>
      <c r="G741" s="706">
        <v>0</v>
      </c>
      <c r="H741" s="706">
        <v>0</v>
      </c>
      <c r="I741" s="706">
        <v>0</v>
      </c>
      <c r="J741" s="706">
        <v>0</v>
      </c>
      <c r="K741" s="706">
        <v>386</v>
      </c>
      <c r="L741" s="706">
        <v>386</v>
      </c>
      <c r="M741" s="706">
        <v>386</v>
      </c>
      <c r="N741" s="706">
        <v>386</v>
      </c>
      <c r="O741" s="706">
        <v>386</v>
      </c>
      <c r="P741" s="706">
        <v>0</v>
      </c>
      <c r="Q741" s="706">
        <v>0</v>
      </c>
      <c r="R741" s="706">
        <v>0</v>
      </c>
      <c r="S741" s="706">
        <v>48.25</v>
      </c>
      <c r="T741" s="706">
        <v>48.25</v>
      </c>
      <c r="U741" s="706">
        <v>0</v>
      </c>
      <c r="V741" s="706">
        <v>0</v>
      </c>
      <c r="W741" s="706">
        <v>0</v>
      </c>
      <c r="X741" s="706">
        <v>0</v>
      </c>
      <c r="Y741" s="706">
        <v>0</v>
      </c>
      <c r="Z741" s="706">
        <v>1</v>
      </c>
      <c r="AA741" s="706">
        <v>1</v>
      </c>
      <c r="AB741" s="706">
        <v>1</v>
      </c>
      <c r="AC741" s="706">
        <v>1</v>
      </c>
      <c r="AD741" s="706">
        <v>1</v>
      </c>
      <c r="AE741" s="706">
        <v>0</v>
      </c>
      <c r="AF741" s="706">
        <v>0</v>
      </c>
      <c r="AG741" s="706">
        <v>0</v>
      </c>
      <c r="AH741" s="706">
        <v>0</v>
      </c>
      <c r="AI741" s="706">
        <v>0</v>
      </c>
      <c r="AJ741" s="905" t="str">
        <f t="shared" si="74"/>
        <v>G47115</v>
      </c>
      <c r="AK741" s="905" t="str">
        <f t="shared" si="75"/>
        <v>VTES -M.O CONCES MEC-BODY</v>
      </c>
      <c r="AL741" s="905">
        <f>IFERROR(INDEX(G741:R741,1,MATCH(Parametres!$B$3,G$1:R$1,0)-1)*IF(OR(F741="L",F741="S",F741="I"),-1,1),"")</f>
        <v>-386</v>
      </c>
      <c r="AM741" s="905">
        <f t="shared" si="76"/>
        <v>0</v>
      </c>
      <c r="AN741" s="905">
        <f>INDEX(G741:R741,1,MATCH(Parametres!$B$3,G$1:R$1,0))*IF(OR(F741="L",F741="S",F741="I"),-1,1)</f>
        <v>-386</v>
      </c>
      <c r="AO741" s="487" t="str">
        <f>+VLOOKUP($AJ741,Data_Validation!$A:$D,1,0)</f>
        <v>G47115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G47115</v>
      </c>
      <c r="AU741" s="488" t="str">
        <f t="shared" si="78"/>
        <v>VTES -M.O CONCES MEC-BODY</v>
      </c>
      <c r="AV741" s="899">
        <f>IFERROR(INDEX(V741:AG741,1,MATCH(Parametres!$B$3,V$1:AG$1,0)-1)*IF(OR(C741="L",C741="S",C741="I"),-1,1),"")</f>
        <v>1</v>
      </c>
      <c r="AW741" s="899">
        <f t="shared" si="79"/>
        <v>0</v>
      </c>
      <c r="AX741" s="899">
        <f>INDEX(V741:AG741,1,MATCH(Parametres!$B$3,V$1:AG$1,0))*IF(OR(C741="L",C741="S",C741="I"),-1,1)</f>
        <v>1</v>
      </c>
      <c r="AY741" s="487" t="s">
        <v>337</v>
      </c>
      <c r="AZ741" s="487" t="str">
        <f>+VLOOKUP($AJ741,Data_Validation!$A:$E,5,0)</f>
        <v>Oui</v>
      </c>
    </row>
    <row r="742" spans="1:52" ht="15" hidden="1" customHeight="1">
      <c r="A742" s="706" t="s">
        <v>1148</v>
      </c>
      <c r="B742" s="706">
        <v>2026</v>
      </c>
      <c r="C742" s="706" t="s">
        <v>2500</v>
      </c>
      <c r="D742" s="706" t="s">
        <v>2501</v>
      </c>
      <c r="E742" s="706" t="s">
        <v>333</v>
      </c>
      <c r="F742" s="706" t="s">
        <v>1149</v>
      </c>
      <c r="G742" s="706">
        <v>0</v>
      </c>
      <c r="H742" s="706">
        <v>0</v>
      </c>
      <c r="I742" s="706">
        <v>0</v>
      </c>
      <c r="J742" s="706">
        <v>0</v>
      </c>
      <c r="K742" s="706">
        <v>0</v>
      </c>
      <c r="L742" s="706">
        <v>-4238.93</v>
      </c>
      <c r="M742" s="706">
        <v>-9167.43</v>
      </c>
      <c r="N742" s="706">
        <v>-13864.6</v>
      </c>
      <c r="O742" s="706">
        <v>-13864.6</v>
      </c>
      <c r="P742" s="706">
        <v>0</v>
      </c>
      <c r="Q742" s="706">
        <v>0</v>
      </c>
      <c r="R742" s="706">
        <v>0</v>
      </c>
      <c r="S742" s="706">
        <v>-1733.08</v>
      </c>
      <c r="T742" s="706">
        <v>-1733.08</v>
      </c>
      <c r="U742" s="706">
        <v>0</v>
      </c>
      <c r="V742" s="706">
        <v>0</v>
      </c>
      <c r="W742" s="706">
        <v>0</v>
      </c>
      <c r="X742" s="706">
        <v>0</v>
      </c>
      <c r="Y742" s="706">
        <v>0</v>
      </c>
      <c r="Z742" s="706">
        <v>0</v>
      </c>
      <c r="AA742" s="706">
        <v>-1</v>
      </c>
      <c r="AB742" s="706">
        <v>-2</v>
      </c>
      <c r="AC742" s="706">
        <v>-3</v>
      </c>
      <c r="AD742" s="706">
        <v>-3</v>
      </c>
      <c r="AE742" s="706">
        <v>0</v>
      </c>
      <c r="AF742" s="706">
        <v>0</v>
      </c>
      <c r="AG742" s="706">
        <v>0</v>
      </c>
      <c r="AH742" s="706">
        <v>0</v>
      </c>
      <c r="AI742" s="706">
        <v>0</v>
      </c>
      <c r="AJ742" s="905" t="str">
        <f t="shared" si="74"/>
        <v>G47125</v>
      </c>
      <c r="AK742" s="905" t="str">
        <f t="shared" si="75"/>
        <v>RISTOURNE M.O CONC.BODY</v>
      </c>
      <c r="AL742" s="905">
        <f>IFERROR(INDEX(G742:R742,1,MATCH(Parametres!$B$3,G$1:R$1,0)-1)*IF(OR(F742="L",F742="S",F742="I"),-1,1),"")</f>
        <v>9167.43</v>
      </c>
      <c r="AM742" s="905">
        <f t="shared" si="76"/>
        <v>4697.17</v>
      </c>
      <c r="AN742" s="905">
        <f>INDEX(G742:R742,1,MATCH(Parametres!$B$3,G$1:R$1,0))*IF(OR(F742="L",F742="S",F742="I"),-1,1)</f>
        <v>13864.6</v>
      </c>
      <c r="AO742" s="487" t="str">
        <f>+VLOOKUP($AJ742,Data_Validation!$A:$D,1,0)</f>
        <v>G47125</v>
      </c>
      <c r="AP742" s="487" t="str">
        <f>+VLOOKUP($AJ742,Data_Validation!$A:$D,3,0)</f>
        <v>Carrosserie</v>
      </c>
      <c r="AQ742" s="487" t="str">
        <f>+VLOOKUP($AJ742,Data_Validation!$A:$D,4,0)</f>
        <v>Carrosserie Concessions</v>
      </c>
      <c r="AR742" s="487" t="s">
        <v>299</v>
      </c>
      <c r="AS742" s="487" t="str">
        <f>+VLOOKUP($AJ742,Data_Validation!$A:$E,5,0)</f>
        <v>Oui</v>
      </c>
      <c r="AT742" s="904" t="str">
        <f t="shared" si="77"/>
        <v>G47125</v>
      </c>
      <c r="AU742" s="488" t="str">
        <f t="shared" si="78"/>
        <v>RISTOURNE M.O CONC.BODY</v>
      </c>
      <c r="AV742" s="899">
        <f>IFERROR(INDEX(V742:AG742,1,MATCH(Parametres!$B$3,V$1:AG$1,0)-1)*IF(OR(C742="L",C742="S",C742="I"),-1,1),"")</f>
        <v>-2</v>
      </c>
      <c r="AW742" s="899">
        <f t="shared" si="79"/>
        <v>-1</v>
      </c>
      <c r="AX742" s="899">
        <f>INDEX(V742:AG742,1,MATCH(Parametres!$B$3,V$1:AG$1,0))*IF(OR(C742="L",C742="S",C742="I"),-1,1)</f>
        <v>-3</v>
      </c>
      <c r="AY742" s="487" t="s">
        <v>337</v>
      </c>
      <c r="AZ742" s="487" t="str">
        <f>+VLOOKUP($AJ742,Data_Validation!$A:$E,5,0)</f>
        <v>Oui</v>
      </c>
    </row>
    <row r="743" spans="1:52" ht="15" hidden="1" customHeight="1">
      <c r="A743" s="706" t="s">
        <v>1148</v>
      </c>
      <c r="B743" s="706">
        <v>2026</v>
      </c>
      <c r="C743" s="706" t="s">
        <v>2502</v>
      </c>
      <c r="D743" s="706" t="s">
        <v>2503</v>
      </c>
      <c r="E743" s="706" t="s">
        <v>1151</v>
      </c>
      <c r="F743" s="706" t="s">
        <v>1149</v>
      </c>
      <c r="G743" s="706">
        <v>176.85</v>
      </c>
      <c r="H743" s="706">
        <v>176.85</v>
      </c>
      <c r="I743" s="706">
        <v>176.85</v>
      </c>
      <c r="J743" s="706">
        <v>559.39</v>
      </c>
      <c r="K743" s="706">
        <v>559.39</v>
      </c>
      <c r="L743" s="706">
        <v>559.39</v>
      </c>
      <c r="M743" s="706">
        <v>559.39</v>
      </c>
      <c r="N743" s="706">
        <v>1598.72</v>
      </c>
      <c r="O743" s="706">
        <v>1598.72</v>
      </c>
      <c r="P743" s="706">
        <v>0</v>
      </c>
      <c r="Q743" s="706">
        <v>0</v>
      </c>
      <c r="R743" s="706">
        <v>0</v>
      </c>
      <c r="S743" s="706">
        <v>199.84</v>
      </c>
      <c r="T743" s="706">
        <v>199.84</v>
      </c>
      <c r="U743" s="706">
        <v>0</v>
      </c>
      <c r="V743" s="706">
        <v>1</v>
      </c>
      <c r="W743" s="706">
        <v>1</v>
      </c>
      <c r="X743" s="706">
        <v>1</v>
      </c>
      <c r="Y743" s="706">
        <v>2</v>
      </c>
      <c r="Z743" s="706">
        <v>2</v>
      </c>
      <c r="AA743" s="706">
        <v>2</v>
      </c>
      <c r="AB743" s="706">
        <v>2</v>
      </c>
      <c r="AC743" s="706">
        <v>3</v>
      </c>
      <c r="AD743" s="706">
        <v>3</v>
      </c>
      <c r="AE743" s="706">
        <v>0</v>
      </c>
      <c r="AF743" s="706">
        <v>0</v>
      </c>
      <c r="AG743" s="706">
        <v>0</v>
      </c>
      <c r="AH743" s="706">
        <v>0</v>
      </c>
      <c r="AI743" s="706">
        <v>0</v>
      </c>
      <c r="AJ743" s="905" t="str">
        <f t="shared" si="74"/>
        <v>G47200</v>
      </c>
      <c r="AK743" s="905" t="str">
        <f t="shared" si="75"/>
        <v>VTES-M.D. CARROS.GARANTIE</v>
      </c>
      <c r="AL743" s="905">
        <f>IFERROR(INDEX(G743:R743,1,MATCH(Parametres!$B$3,G$1:R$1,0)-1)*IF(OR(F743="L",F743="S",F743="I"),-1,1),"")</f>
        <v>-559.39</v>
      </c>
      <c r="AM743" s="905">
        <f t="shared" si="76"/>
        <v>-1039.33</v>
      </c>
      <c r="AN743" s="905">
        <f>INDEX(G743:R743,1,MATCH(Parametres!$B$3,G$1:R$1,0))*IF(OR(F743="L",F743="S",F743="I"),-1,1)</f>
        <v>-1598.72</v>
      </c>
      <c r="AO743" s="487" t="str">
        <f>+VLOOKUP($AJ743,Data_Validation!$A:$D,1,0)</f>
        <v>G47200</v>
      </c>
      <c r="AP743" s="487" t="str">
        <f>+VLOOKUP($AJ743,Data_Validation!$A:$D,3,0)</f>
        <v>Carrosserie</v>
      </c>
      <c r="AQ743" s="487" t="str">
        <f>+VLOOKUP($AJ743,Data_Validation!$A:$D,4,0)</f>
        <v>Carrosserie Interne</v>
      </c>
      <c r="AR743" s="487" t="s">
        <v>299</v>
      </c>
      <c r="AS743" s="487" t="str">
        <f>+VLOOKUP($AJ743,Data_Validation!$A:$E,5,0)</f>
        <v>Oui</v>
      </c>
      <c r="AT743" s="904" t="str">
        <f t="shared" si="77"/>
        <v>G47200</v>
      </c>
      <c r="AU743" s="488" t="str">
        <f t="shared" si="78"/>
        <v>VTES-M.D. CARROS.GARANTIE</v>
      </c>
      <c r="AV743" s="899">
        <f>IFERROR(INDEX(V743:AG743,1,MATCH(Parametres!$B$3,V$1:AG$1,0)-1)*IF(OR(C743="L",C743="S",C743="I"),-1,1),"")</f>
        <v>2</v>
      </c>
      <c r="AW743" s="899">
        <f t="shared" si="79"/>
        <v>1</v>
      </c>
      <c r="AX743" s="899">
        <f>INDEX(V743:AG743,1,MATCH(Parametres!$B$3,V$1:AG$1,0))*IF(OR(C743="L",C743="S",C743="I"),-1,1)</f>
        <v>3</v>
      </c>
      <c r="AY743" s="487" t="s">
        <v>337</v>
      </c>
      <c r="AZ743" s="487" t="str">
        <f>+VLOOKUP($AJ743,Data_Validation!$A:$E,5,0)</f>
        <v>Oui</v>
      </c>
    </row>
    <row r="744" spans="1:52" ht="15" hidden="1" customHeight="1">
      <c r="A744" s="706" t="s">
        <v>1148</v>
      </c>
      <c r="B744" s="706">
        <v>2026</v>
      </c>
      <c r="C744" s="706" t="s">
        <v>2504</v>
      </c>
      <c r="D744" s="706" t="s">
        <v>3371</v>
      </c>
      <c r="E744" s="706" t="s">
        <v>1151</v>
      </c>
      <c r="F744" s="706" t="s">
        <v>1149</v>
      </c>
      <c r="G744" s="706">
        <v>3884</v>
      </c>
      <c r="H744" s="706">
        <v>11349.2</v>
      </c>
      <c r="I744" s="706">
        <v>15516.7</v>
      </c>
      <c r="J744" s="706">
        <v>19788.2</v>
      </c>
      <c r="K744" s="706">
        <v>23844.5</v>
      </c>
      <c r="L744" s="706">
        <v>27952.25</v>
      </c>
      <c r="M744" s="706">
        <v>32587.84</v>
      </c>
      <c r="N744" s="706">
        <v>36754.839999999997</v>
      </c>
      <c r="O744" s="706">
        <v>39371.839999999997</v>
      </c>
      <c r="P744" s="706">
        <v>0</v>
      </c>
      <c r="Q744" s="706">
        <v>0</v>
      </c>
      <c r="R744" s="706">
        <v>0</v>
      </c>
      <c r="S744" s="706">
        <v>4594.3599999999997</v>
      </c>
      <c r="T744" s="706">
        <v>4594.3599999999997</v>
      </c>
      <c r="U744" s="706">
        <v>0</v>
      </c>
      <c r="V744" s="706">
        <v>4</v>
      </c>
      <c r="W744" s="706">
        <v>15</v>
      </c>
      <c r="X744" s="706">
        <v>27</v>
      </c>
      <c r="Y744" s="706">
        <v>33</v>
      </c>
      <c r="Z744" s="706">
        <v>40</v>
      </c>
      <c r="AA744" s="706">
        <v>48</v>
      </c>
      <c r="AB744" s="706">
        <v>56</v>
      </c>
      <c r="AC744" s="706">
        <v>63</v>
      </c>
      <c r="AD744" s="706">
        <v>67</v>
      </c>
      <c r="AE744" s="706">
        <v>0</v>
      </c>
      <c r="AF744" s="706">
        <v>0</v>
      </c>
      <c r="AG744" s="706">
        <v>0</v>
      </c>
      <c r="AH744" s="706">
        <v>8</v>
      </c>
      <c r="AI744" s="706">
        <v>8</v>
      </c>
      <c r="AJ744" s="905" t="str">
        <f t="shared" si="74"/>
        <v>G47300</v>
      </c>
      <c r="AK744" s="905" t="str">
        <f t="shared" si="75"/>
        <v>VTES -M.D. CARROS.INTERNE</v>
      </c>
      <c r="AL744" s="905">
        <f>IFERROR(INDEX(G744:R744,1,MATCH(Parametres!$B$3,G$1:R$1,0)-1)*IF(OR(F744="L",F744="S",F744="I"),-1,1),"")</f>
        <v>-32587.84</v>
      </c>
      <c r="AM744" s="905">
        <f t="shared" si="76"/>
        <v>-4166.9999999999964</v>
      </c>
      <c r="AN744" s="905">
        <f>INDEX(G744:R744,1,MATCH(Parametres!$B$3,G$1:R$1,0))*IF(OR(F744="L",F744="S",F744="I"),-1,1)</f>
        <v>-36754.839999999997</v>
      </c>
      <c r="AO744" s="487" t="str">
        <f>+VLOOKUP($AJ744,Data_Validation!$A:$D,1,0)</f>
        <v>G47300</v>
      </c>
      <c r="AP744" s="487" t="str">
        <f>+VLOOKUP($AJ744,Data_Validation!$A:$D,3,0)</f>
        <v>Carrosserie</v>
      </c>
      <c r="AQ744" s="487" t="str">
        <f>+VLOOKUP($AJ744,Data_Validation!$A:$D,4,0)</f>
        <v>Carrosserie Interne</v>
      </c>
      <c r="AR744" s="487" t="s">
        <v>299</v>
      </c>
      <c r="AS744" s="487" t="str">
        <f>+VLOOKUP($AJ744,Data_Validation!$A:$E,5,0)</f>
        <v>Oui</v>
      </c>
      <c r="AT744" s="904" t="str">
        <f t="shared" si="77"/>
        <v>G47300</v>
      </c>
      <c r="AU744" s="488" t="str">
        <f t="shared" si="78"/>
        <v>VTES -M.D. CARROS.INTERNE</v>
      </c>
      <c r="AV744" s="899">
        <f>IFERROR(INDEX(V744:AG744,1,MATCH(Parametres!$B$3,V$1:AG$1,0)-1)*IF(OR(C744="L",C744="S",C744="I"),-1,1),"")</f>
        <v>56</v>
      </c>
      <c r="AW744" s="899">
        <f t="shared" si="79"/>
        <v>7</v>
      </c>
      <c r="AX744" s="899">
        <f>INDEX(V744:AG744,1,MATCH(Parametres!$B$3,V$1:AG$1,0))*IF(OR(C744="L",C744="S",C744="I"),-1,1)</f>
        <v>63</v>
      </c>
      <c r="AY744" s="487" t="s">
        <v>337</v>
      </c>
      <c r="AZ744" s="487" t="str">
        <f>+VLOOKUP($AJ744,Data_Validation!$A:$E,5,0)</f>
        <v>Oui</v>
      </c>
    </row>
    <row r="745" spans="1:52" ht="15" hidden="1" customHeight="1">
      <c r="A745" s="706" t="s">
        <v>1148</v>
      </c>
      <c r="B745" s="706">
        <v>2026</v>
      </c>
      <c r="C745" s="706" t="s">
        <v>2506</v>
      </c>
      <c r="D745" s="706" t="s">
        <v>3372</v>
      </c>
      <c r="E745" s="706" t="s">
        <v>1151</v>
      </c>
      <c r="F745" s="706" t="s">
        <v>1149</v>
      </c>
      <c r="G745" s="706">
        <v>0</v>
      </c>
      <c r="H745" s="706">
        <v>0</v>
      </c>
      <c r="I745" s="706">
        <v>0</v>
      </c>
      <c r="J745" s="706">
        <v>0</v>
      </c>
      <c r="K745" s="706">
        <v>817.5</v>
      </c>
      <c r="L745" s="706">
        <v>1843.5</v>
      </c>
      <c r="M745" s="706">
        <v>2793</v>
      </c>
      <c r="N745" s="706">
        <v>3523.5</v>
      </c>
      <c r="O745" s="706">
        <v>4545</v>
      </c>
      <c r="P745" s="706">
        <v>0</v>
      </c>
      <c r="Q745" s="706">
        <v>0</v>
      </c>
      <c r="R745" s="706">
        <v>0</v>
      </c>
      <c r="S745" s="706">
        <v>440.44</v>
      </c>
      <c r="T745" s="706">
        <v>440.44</v>
      </c>
      <c r="U745" s="706">
        <v>0</v>
      </c>
      <c r="V745" s="706">
        <v>0</v>
      </c>
      <c r="W745" s="706">
        <v>0</v>
      </c>
      <c r="X745" s="706">
        <v>0</v>
      </c>
      <c r="Y745" s="706">
        <v>0</v>
      </c>
      <c r="Z745" s="706">
        <v>4</v>
      </c>
      <c r="AA745" s="706">
        <v>10</v>
      </c>
      <c r="AB745" s="706">
        <v>14</v>
      </c>
      <c r="AC745" s="706">
        <v>17</v>
      </c>
      <c r="AD745" s="706">
        <v>20</v>
      </c>
      <c r="AE745" s="706">
        <v>0</v>
      </c>
      <c r="AF745" s="706">
        <v>0</v>
      </c>
      <c r="AG745" s="706">
        <v>0</v>
      </c>
      <c r="AH745" s="706">
        <v>2</v>
      </c>
      <c r="AI745" s="706">
        <v>2</v>
      </c>
      <c r="AJ745" s="905" t="str">
        <f t="shared" si="74"/>
        <v>G47303</v>
      </c>
      <c r="AK745" s="905" t="str">
        <f t="shared" si="75"/>
        <v>VTES -M.D. PEINTURE INT</v>
      </c>
      <c r="AL745" s="905">
        <f>IFERROR(INDEX(G745:R745,1,MATCH(Parametres!$B$3,G$1:R$1,0)-1)*IF(OR(F745="L",F745="S",F745="I"),-1,1),"")</f>
        <v>-2793</v>
      </c>
      <c r="AM745" s="905">
        <f t="shared" si="76"/>
        <v>-730.5</v>
      </c>
      <c r="AN745" s="905">
        <f>INDEX(G745:R745,1,MATCH(Parametres!$B$3,G$1:R$1,0))*IF(OR(F745="L",F745="S",F745="I"),-1,1)</f>
        <v>-3523.5</v>
      </c>
      <c r="AO745" s="487" t="str">
        <f>+VLOOKUP($AJ745,Data_Validation!$A:$D,1,0)</f>
        <v>G47303</v>
      </c>
      <c r="AP745" s="487" t="str">
        <f>+VLOOKUP($AJ745,Data_Validation!$A:$D,3,0)</f>
        <v>Carrosserie</v>
      </c>
      <c r="AQ745" s="487" t="str">
        <f>+VLOOKUP($AJ745,Data_Validation!$A:$D,4,0)</f>
        <v>Carrosserie Interne</v>
      </c>
      <c r="AR745" s="487" t="s">
        <v>299</v>
      </c>
      <c r="AS745" s="487" t="str">
        <f>+VLOOKUP($AJ745,Data_Validation!$A:$E,5,0)</f>
        <v>Oui</v>
      </c>
      <c r="AT745" s="904" t="str">
        <f t="shared" si="77"/>
        <v>G47303</v>
      </c>
      <c r="AU745" s="488" t="str">
        <f t="shared" si="78"/>
        <v>VTES -M.D. PEINTURE INT</v>
      </c>
      <c r="AV745" s="899">
        <f>IFERROR(INDEX(V745:AG745,1,MATCH(Parametres!$B$3,V$1:AG$1,0)-1)*IF(OR(C745="L",C745="S",C745="I"),-1,1),"")</f>
        <v>14</v>
      </c>
      <c r="AW745" s="899">
        <f t="shared" si="79"/>
        <v>3</v>
      </c>
      <c r="AX745" s="899">
        <f>INDEX(V745:AG745,1,MATCH(Parametres!$B$3,V$1:AG$1,0))*IF(OR(C745="L",C745="S",C745="I"),-1,1)</f>
        <v>17</v>
      </c>
      <c r="AY745" s="487" t="s">
        <v>337</v>
      </c>
      <c r="AZ745" s="487" t="str">
        <f>+VLOOKUP($AJ745,Data_Validation!$A:$E,5,0)</f>
        <v>Oui</v>
      </c>
    </row>
    <row r="746" spans="1:52" ht="15" hidden="1" customHeight="1">
      <c r="A746" s="706" t="s">
        <v>1148</v>
      </c>
      <c r="B746" s="706">
        <v>2026</v>
      </c>
      <c r="C746" s="706" t="s">
        <v>2508</v>
      </c>
      <c r="D746" s="706" t="s">
        <v>2509</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G47313</v>
      </c>
      <c r="AK746" s="905" t="str">
        <f t="shared" si="75"/>
        <v>VTE -M.O MEC INTERN-BODY</v>
      </c>
      <c r="AL746" s="905">
        <f>IFERROR(INDEX(G746:R746,1,MATCH(Parametres!$B$3,G$1:R$1,0)-1)*IF(OR(F746="L",F746="S",F746="I"),-1,1),"")</f>
        <v>0</v>
      </c>
      <c r="AM746" s="905">
        <f t="shared" si="76"/>
        <v>0</v>
      </c>
      <c r="AN746" s="905">
        <f>INDEX(G746:R746,1,MATCH(Parametres!$B$3,G$1:R$1,0))*IF(OR(F746="L",F746="S",F746="I"),-1,1)</f>
        <v>0</v>
      </c>
      <c r="AO746" s="487" t="str">
        <f>+VLOOKUP($AJ746,Data_Validation!$A:$D,1,0)</f>
        <v>G47313</v>
      </c>
      <c r="AP746" s="487" t="str">
        <f>+VLOOKUP($AJ746,Data_Validation!$A:$D,3,0)</f>
        <v>Carrosserie</v>
      </c>
      <c r="AQ746" s="487" t="str">
        <f>+VLOOKUP($AJ746,Data_Validation!$A:$D,4,0)</f>
        <v>Carrosserie Interne</v>
      </c>
      <c r="AR746" s="487" t="s">
        <v>299</v>
      </c>
      <c r="AS746" s="487" t="str">
        <f>+VLOOKUP($AJ746,Data_Validation!$A:$E,5,0)</f>
        <v>Oui</v>
      </c>
      <c r="AT746" s="904" t="str">
        <f t="shared" si="77"/>
        <v>G47313</v>
      </c>
      <c r="AU746" s="488" t="str">
        <f t="shared" si="78"/>
        <v>VTE -M.O MEC INTERN-BODY</v>
      </c>
      <c r="AV746" s="899">
        <f>IFERROR(INDEX(V746:AG746,1,MATCH(Parametres!$B$3,V$1:AG$1,0)-1)*IF(OR(C746="L",C746="S",C746="I"),-1,1),"")</f>
        <v>0</v>
      </c>
      <c r="AW746" s="899">
        <f t="shared" si="79"/>
        <v>0</v>
      </c>
      <c r="AX746" s="899">
        <f>INDEX(V746:AG746,1,MATCH(Parametres!$B$3,V$1:AG$1,0))*IF(OR(C746="L",C746="S",C746="I"),-1,1)</f>
        <v>0</v>
      </c>
      <c r="AY746" s="487" t="s">
        <v>337</v>
      </c>
      <c r="AZ746" s="487" t="str">
        <f>+VLOOKUP($AJ746,Data_Validation!$A:$E,5,0)</f>
        <v>Oui</v>
      </c>
    </row>
    <row r="747" spans="1:52" ht="15" hidden="1" customHeight="1">
      <c r="A747" s="706" t="s">
        <v>1148</v>
      </c>
      <c r="B747" s="706">
        <v>2026</v>
      </c>
      <c r="C747" s="706" t="s">
        <v>2510</v>
      </c>
      <c r="D747" s="706" t="s">
        <v>2511</v>
      </c>
      <c r="E747" s="706" t="s">
        <v>333</v>
      </c>
      <c r="F747" s="706" t="s">
        <v>1149</v>
      </c>
      <c r="G747" s="706">
        <v>0</v>
      </c>
      <c r="H747" s="706">
        <v>0</v>
      </c>
      <c r="I747" s="706">
        <v>0</v>
      </c>
      <c r="J747" s="706">
        <v>0</v>
      </c>
      <c r="K747" s="706">
        <v>0</v>
      </c>
      <c r="L747" s="706">
        <v>0</v>
      </c>
      <c r="M747" s="706">
        <v>0</v>
      </c>
      <c r="N747" s="706">
        <v>0</v>
      </c>
      <c r="O747" s="706">
        <v>0</v>
      </c>
      <c r="P747" s="706">
        <v>0</v>
      </c>
      <c r="Q747" s="706">
        <v>0</v>
      </c>
      <c r="R747" s="706">
        <v>0</v>
      </c>
      <c r="S747" s="706">
        <v>0</v>
      </c>
      <c r="T747" s="706">
        <v>0</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905" t="str">
        <f t="shared" si="74"/>
        <v>G47500</v>
      </c>
      <c r="AK747" s="905" t="str">
        <f t="shared" si="75"/>
        <v>*TEMPS PERDU CARROSSERIE</v>
      </c>
      <c r="AL747" s="905">
        <f>IFERROR(INDEX(G747:R747,1,MATCH(Parametres!$B$3,G$1:R$1,0)-1)*IF(OR(F747="L",F747="S",F747="I"),-1,1),"")</f>
        <v>0</v>
      </c>
      <c r="AM747" s="905">
        <f t="shared" si="76"/>
        <v>0</v>
      </c>
      <c r="AN747" s="905">
        <f>INDEX(G747:R747,1,MATCH(Parametres!$B$3,G$1:R$1,0))*IF(OR(F747="L",F747="S",F747="I"),-1,1)</f>
        <v>0</v>
      </c>
      <c r="AO747" s="487" t="str">
        <f>+VLOOKUP($AJ747,Data_Validation!$A:$D,1,0)</f>
        <v>G47500</v>
      </c>
      <c r="AP747" s="487" t="str">
        <f>+VLOOKUP($AJ747,Data_Validation!$A:$D,3,0)</f>
        <v>Carrosserie</v>
      </c>
      <c r="AQ747" s="487" t="str">
        <f>+VLOOKUP($AJ747,Data_Validation!$A:$D,4,0)</f>
        <v>Ajustement M/O Carrosserie</v>
      </c>
      <c r="AR747" s="487" t="s">
        <v>299</v>
      </c>
      <c r="AS747" s="487" t="str">
        <f>+VLOOKUP($AJ747,Data_Validation!$A:$E,5,0)</f>
        <v>Oui</v>
      </c>
      <c r="AT747" s="904" t="str">
        <f t="shared" si="77"/>
        <v>G47500</v>
      </c>
      <c r="AU747" s="488" t="str">
        <f t="shared" si="78"/>
        <v>*TEMPS PERDU CARROSSERIE</v>
      </c>
      <c r="AV747" s="899">
        <f>IFERROR(INDEX(V747:AG747,1,MATCH(Parametres!$B$3,V$1:AG$1,0)-1)*IF(OR(C747="L",C747="S",C747="I"),-1,1),"")</f>
        <v>0</v>
      </c>
      <c r="AW747" s="899">
        <f t="shared" si="79"/>
        <v>0</v>
      </c>
      <c r="AX747" s="899">
        <f>INDEX(V747:AG747,1,MATCH(Parametres!$B$3,V$1:AG$1,0))*IF(OR(C747="L",C747="S",C747="I"),-1,1)</f>
        <v>0</v>
      </c>
      <c r="AY747" s="487" t="s">
        <v>337</v>
      </c>
      <c r="AZ747" s="487" t="str">
        <f>+VLOOKUP($AJ747,Data_Validation!$A:$E,5,0)</f>
        <v>Oui</v>
      </c>
    </row>
    <row r="748" spans="1:52" ht="15" hidden="1" customHeight="1">
      <c r="A748" s="706" t="s">
        <v>1148</v>
      </c>
      <c r="B748" s="706">
        <v>2026</v>
      </c>
      <c r="C748" s="706" t="s">
        <v>2512</v>
      </c>
      <c r="D748" s="706" t="s">
        <v>2513</v>
      </c>
      <c r="E748" s="706" t="s">
        <v>1151</v>
      </c>
      <c r="F748" s="706" t="s">
        <v>1149</v>
      </c>
      <c r="G748" s="706">
        <v>95129.18</v>
      </c>
      <c r="H748" s="706">
        <v>187039.21</v>
      </c>
      <c r="I748" s="706">
        <v>259663.73</v>
      </c>
      <c r="J748" s="706">
        <v>303769.32</v>
      </c>
      <c r="K748" s="706">
        <v>337800.91</v>
      </c>
      <c r="L748" s="706">
        <v>389901.01</v>
      </c>
      <c r="M748" s="706">
        <v>433867.16</v>
      </c>
      <c r="N748" s="706">
        <v>475247.57</v>
      </c>
      <c r="O748" s="706">
        <v>478225.43</v>
      </c>
      <c r="P748" s="706">
        <v>0</v>
      </c>
      <c r="Q748" s="706">
        <v>0</v>
      </c>
      <c r="R748" s="706">
        <v>0</v>
      </c>
      <c r="S748" s="706">
        <v>59405.95</v>
      </c>
      <c r="T748" s="706">
        <v>59405.95</v>
      </c>
      <c r="U748" s="706">
        <v>0</v>
      </c>
      <c r="V748" s="706">
        <v>30</v>
      </c>
      <c r="W748" s="706">
        <v>70</v>
      </c>
      <c r="X748" s="706">
        <v>108</v>
      </c>
      <c r="Y748" s="706">
        <v>135</v>
      </c>
      <c r="Z748" s="706">
        <v>157</v>
      </c>
      <c r="AA748" s="706">
        <v>188</v>
      </c>
      <c r="AB748" s="706">
        <v>213</v>
      </c>
      <c r="AC748" s="706">
        <v>235</v>
      </c>
      <c r="AD748" s="706">
        <v>241</v>
      </c>
      <c r="AE748" s="706">
        <v>0</v>
      </c>
      <c r="AF748" s="706">
        <v>0</v>
      </c>
      <c r="AG748" s="706">
        <v>0</v>
      </c>
      <c r="AH748" s="706">
        <v>29</v>
      </c>
      <c r="AI748" s="706">
        <v>29</v>
      </c>
      <c r="AJ748" s="905" t="str">
        <f t="shared" si="74"/>
        <v>G47600</v>
      </c>
      <c r="AK748" s="905" t="str">
        <f t="shared" si="75"/>
        <v>VTES-REP.SOUS-TRAITE BODY</v>
      </c>
      <c r="AL748" s="905">
        <f>IFERROR(INDEX(G748:R748,1,MATCH(Parametres!$B$3,G$1:R$1,0)-1)*IF(OR(F748="L",F748="S",F748="I"),-1,1),"")</f>
        <v>-433867.16</v>
      </c>
      <c r="AM748" s="905">
        <f t="shared" si="76"/>
        <v>-41380.410000000033</v>
      </c>
      <c r="AN748" s="905">
        <f>INDEX(G748:R748,1,MATCH(Parametres!$B$3,G$1:R$1,0))*IF(OR(F748="L",F748="S",F748="I"),-1,1)</f>
        <v>-475247.57</v>
      </c>
      <c r="AO748" s="487" t="str">
        <f>+VLOOKUP($AJ748,Data_Validation!$A:$D,1,0)</f>
        <v>G47600</v>
      </c>
      <c r="AP748" s="487" t="str">
        <f>+VLOOKUP($AJ748,Data_Validation!$A:$D,3,0)</f>
        <v>Carrosserie</v>
      </c>
      <c r="AQ748" s="487" t="str">
        <f>+VLOOKUP($AJ748,Data_Validation!$A:$D,4,0)</f>
        <v>Carrosserie Clients</v>
      </c>
      <c r="AR748" s="487" t="s">
        <v>299</v>
      </c>
      <c r="AS748" s="487" t="str">
        <f>+VLOOKUP($AJ748,Data_Validation!$A:$E,5,0)</f>
        <v>Oui</v>
      </c>
      <c r="AT748" s="904" t="str">
        <f t="shared" si="77"/>
        <v>G47600</v>
      </c>
      <c r="AU748" s="488" t="str">
        <f t="shared" si="78"/>
        <v>VTES-REP.SOUS-TRAITE BODY</v>
      </c>
      <c r="AV748" s="899">
        <f>IFERROR(INDEX(V748:AG748,1,MATCH(Parametres!$B$3,V$1:AG$1,0)-1)*IF(OR(C748="L",C748="S",C748="I"),-1,1),"")</f>
        <v>213</v>
      </c>
      <c r="AW748" s="899">
        <f t="shared" si="79"/>
        <v>22</v>
      </c>
      <c r="AX748" s="899">
        <f>INDEX(V748:AG748,1,MATCH(Parametres!$B$3,V$1:AG$1,0))*IF(OR(C748="L",C748="S",C748="I"),-1,1)</f>
        <v>235</v>
      </c>
      <c r="AY748" s="487" t="s">
        <v>337</v>
      </c>
      <c r="AZ748" s="487" t="str">
        <f>+VLOOKUP($AJ748,Data_Validation!$A:$E,5,0)</f>
        <v>Oui</v>
      </c>
    </row>
    <row r="749" spans="1:52" ht="15" hidden="1" customHeight="1">
      <c r="A749" s="706" t="s">
        <v>1148</v>
      </c>
      <c r="B749" s="706">
        <v>2026</v>
      </c>
      <c r="C749" s="706" t="s">
        <v>2514</v>
      </c>
      <c r="D749" s="706" t="s">
        <v>3373</v>
      </c>
      <c r="E749" s="706" t="s">
        <v>1151</v>
      </c>
      <c r="F749" s="706" t="s">
        <v>1149</v>
      </c>
      <c r="G749" s="706">
        <v>0</v>
      </c>
      <c r="H749" s="706">
        <v>0</v>
      </c>
      <c r="I749" s="706">
        <v>0</v>
      </c>
      <c r="J749" s="706">
        <v>0</v>
      </c>
      <c r="K749" s="706">
        <v>0</v>
      </c>
      <c r="L749" s="706">
        <v>331.62</v>
      </c>
      <c r="M749" s="706">
        <v>1036.33</v>
      </c>
      <c r="N749" s="706">
        <v>1451.84</v>
      </c>
      <c r="O749" s="706">
        <v>1451.84</v>
      </c>
      <c r="P749" s="706">
        <v>0</v>
      </c>
      <c r="Q749" s="706">
        <v>0</v>
      </c>
      <c r="R749" s="706">
        <v>0</v>
      </c>
      <c r="S749" s="706">
        <v>181.48</v>
      </c>
      <c r="T749" s="706">
        <v>181.48</v>
      </c>
      <c r="U749" s="706">
        <v>0</v>
      </c>
      <c r="V749" s="706">
        <v>0</v>
      </c>
      <c r="W749" s="706">
        <v>0</v>
      </c>
      <c r="X749" s="706">
        <v>0</v>
      </c>
      <c r="Y749" s="706">
        <v>0</v>
      </c>
      <c r="Z749" s="706">
        <v>0</v>
      </c>
      <c r="AA749" s="706">
        <v>3</v>
      </c>
      <c r="AB749" s="706">
        <v>8</v>
      </c>
      <c r="AC749" s="706">
        <v>10</v>
      </c>
      <c r="AD749" s="706">
        <v>10</v>
      </c>
      <c r="AE749" s="706">
        <v>0</v>
      </c>
      <c r="AF749" s="706">
        <v>0</v>
      </c>
      <c r="AG749" s="706">
        <v>0</v>
      </c>
      <c r="AH749" s="706">
        <v>1</v>
      </c>
      <c r="AI749" s="706">
        <v>1</v>
      </c>
      <c r="AJ749" s="905" t="str">
        <f t="shared" si="74"/>
        <v>G47603</v>
      </c>
      <c r="AK749" s="905" t="str">
        <f t="shared" si="75"/>
        <v>VTES - S.T. INTERN-BODY</v>
      </c>
      <c r="AL749" s="905">
        <f>IFERROR(INDEX(G749:R749,1,MATCH(Parametres!$B$3,G$1:R$1,0)-1)*IF(OR(F749="L",F749="S",F749="I"),-1,1),"")</f>
        <v>-1036.33</v>
      </c>
      <c r="AM749" s="905">
        <f t="shared" si="76"/>
        <v>-415.51</v>
      </c>
      <c r="AN749" s="905">
        <f>INDEX(G749:R749,1,MATCH(Parametres!$B$3,G$1:R$1,0))*IF(OR(F749="L",F749="S",F749="I"),-1,1)</f>
        <v>-1451.84</v>
      </c>
      <c r="AO749" s="487" t="str">
        <f>+VLOOKUP($AJ749,Data_Validation!$A:$D,1,0)</f>
        <v>G47603</v>
      </c>
      <c r="AP749" s="487" t="str">
        <f>+VLOOKUP($AJ749,Data_Validation!$A:$D,3,0)</f>
        <v>Carrosserie</v>
      </c>
      <c r="AQ749" s="487" t="str">
        <f>+VLOOKUP($AJ749,Data_Validation!$A:$D,4,0)</f>
        <v>Carrosserie Interne</v>
      </c>
      <c r="AR749" s="487" t="s">
        <v>299</v>
      </c>
      <c r="AS749" s="487" t="str">
        <f>+VLOOKUP($AJ749,Data_Validation!$A:$E,5,0)</f>
        <v>Oui</v>
      </c>
      <c r="AT749" s="904" t="str">
        <f t="shared" si="77"/>
        <v>G47603</v>
      </c>
      <c r="AU749" s="488" t="str">
        <f t="shared" si="78"/>
        <v>VTES - S.T. INTERN-BODY</v>
      </c>
      <c r="AV749" s="899">
        <f>IFERROR(INDEX(V749:AG749,1,MATCH(Parametres!$B$3,V$1:AG$1,0)-1)*IF(OR(C749="L",C749="S",C749="I"),-1,1),"")</f>
        <v>8</v>
      </c>
      <c r="AW749" s="899">
        <f t="shared" si="79"/>
        <v>2</v>
      </c>
      <c r="AX749" s="899">
        <f>INDEX(V749:AG749,1,MATCH(Parametres!$B$3,V$1:AG$1,0))*IF(OR(C749="L",C749="S",C749="I"),-1,1)</f>
        <v>10</v>
      </c>
      <c r="AY749" s="487" t="s">
        <v>337</v>
      </c>
      <c r="AZ749" s="487" t="str">
        <f>+VLOOKUP($AJ749,Data_Validation!$A:$E,5,0)</f>
        <v>Oui</v>
      </c>
    </row>
    <row r="750" spans="1:52" ht="15" hidden="1" customHeight="1">
      <c r="A750" s="706" t="s">
        <v>1148</v>
      </c>
      <c r="B750" s="706">
        <v>2026</v>
      </c>
      <c r="C750" s="706" t="s">
        <v>2516</v>
      </c>
      <c r="D750" s="706" t="s">
        <v>3374</v>
      </c>
      <c r="E750" s="706" t="s">
        <v>1151</v>
      </c>
      <c r="F750" s="706" t="s">
        <v>1149</v>
      </c>
      <c r="G750" s="706">
        <v>0</v>
      </c>
      <c r="H750" s="706">
        <v>0</v>
      </c>
      <c r="I750" s="706">
        <v>0</v>
      </c>
      <c r="J750" s="706">
        <v>0</v>
      </c>
      <c r="K750" s="706">
        <v>7087.7</v>
      </c>
      <c r="L750" s="706">
        <v>7357.7</v>
      </c>
      <c r="M750" s="706">
        <v>8017.7</v>
      </c>
      <c r="N750" s="706">
        <v>8182.7</v>
      </c>
      <c r="O750" s="706">
        <v>8380.7000000000007</v>
      </c>
      <c r="P750" s="706">
        <v>0</v>
      </c>
      <c r="Q750" s="706">
        <v>0</v>
      </c>
      <c r="R750" s="706">
        <v>0</v>
      </c>
      <c r="S750" s="706">
        <v>1022.84</v>
      </c>
      <c r="T750" s="706">
        <v>1022.84</v>
      </c>
      <c r="U750" s="706">
        <v>0</v>
      </c>
      <c r="V750" s="706">
        <v>0</v>
      </c>
      <c r="W750" s="706">
        <v>0</v>
      </c>
      <c r="X750" s="706">
        <v>0</v>
      </c>
      <c r="Y750" s="706">
        <v>0</v>
      </c>
      <c r="Z750" s="706">
        <v>2</v>
      </c>
      <c r="AA750" s="706">
        <v>4</v>
      </c>
      <c r="AB750" s="706">
        <v>6</v>
      </c>
      <c r="AC750" s="706">
        <v>7</v>
      </c>
      <c r="AD750" s="706">
        <v>8</v>
      </c>
      <c r="AE750" s="706">
        <v>0</v>
      </c>
      <c r="AF750" s="706">
        <v>0</v>
      </c>
      <c r="AG750" s="706">
        <v>0</v>
      </c>
      <c r="AH750" s="706">
        <v>1</v>
      </c>
      <c r="AI750" s="706">
        <v>1</v>
      </c>
      <c r="AJ750" s="905" t="str">
        <f t="shared" si="74"/>
        <v>G47605</v>
      </c>
      <c r="AK750" s="905" t="str">
        <f t="shared" si="75"/>
        <v>VTES -S.T CONCES. BODY</v>
      </c>
      <c r="AL750" s="905">
        <f>IFERROR(INDEX(G750:R750,1,MATCH(Parametres!$B$3,G$1:R$1,0)-1)*IF(OR(F750="L",F750="S",F750="I"),-1,1),"")</f>
        <v>-8017.7</v>
      </c>
      <c r="AM750" s="905">
        <f t="shared" si="76"/>
        <v>-165</v>
      </c>
      <c r="AN750" s="905">
        <f>INDEX(G750:R750,1,MATCH(Parametres!$B$3,G$1:R$1,0))*IF(OR(F750="L",F750="S",F750="I"),-1,1)</f>
        <v>-8182.7</v>
      </c>
      <c r="AO750" s="487" t="str">
        <f>+VLOOKUP($AJ750,Data_Validation!$A:$D,1,0)</f>
        <v>G47605</v>
      </c>
      <c r="AP750" s="487" t="str">
        <f>+VLOOKUP($AJ750,Data_Validation!$A:$D,3,0)</f>
        <v>Carrosserie</v>
      </c>
      <c r="AQ750" s="487" t="str">
        <f>+VLOOKUP($AJ750,Data_Validation!$A:$D,4,0)</f>
        <v>Carrosserie Concessions</v>
      </c>
      <c r="AR750" s="487" t="s">
        <v>299</v>
      </c>
      <c r="AS750" s="487" t="str">
        <f>+VLOOKUP($AJ750,Data_Validation!$A:$E,5,0)</f>
        <v>Oui</v>
      </c>
      <c r="AT750" s="904" t="str">
        <f t="shared" si="77"/>
        <v>G47605</v>
      </c>
      <c r="AU750" s="488" t="str">
        <f t="shared" si="78"/>
        <v>VTES -S.T CONCES. BODY</v>
      </c>
      <c r="AV750" s="899">
        <f>IFERROR(INDEX(V750:AG750,1,MATCH(Parametres!$B$3,V$1:AG$1,0)-1)*IF(OR(C750="L",C750="S",C750="I"),-1,1),"")</f>
        <v>6</v>
      </c>
      <c r="AW750" s="899">
        <f t="shared" si="79"/>
        <v>1</v>
      </c>
      <c r="AX750" s="899">
        <f>INDEX(V750:AG750,1,MATCH(Parametres!$B$3,V$1:AG$1,0))*IF(OR(C750="L",C750="S",C750="I"),-1,1)</f>
        <v>7</v>
      </c>
      <c r="AY750" s="487" t="s">
        <v>337</v>
      </c>
      <c r="AZ750" s="487" t="str">
        <f>+VLOOKUP($AJ750,Data_Validation!$A:$E,5,0)</f>
        <v>Oui</v>
      </c>
    </row>
    <row r="751" spans="1:52" ht="15" hidden="1" customHeight="1">
      <c r="A751" s="706" t="s">
        <v>1148</v>
      </c>
      <c r="B751" s="706">
        <v>2026</v>
      </c>
      <c r="C751" s="706" t="s">
        <v>2518</v>
      </c>
      <c r="D751" s="706" t="s">
        <v>2519</v>
      </c>
      <c r="E751" s="706" t="s">
        <v>1151</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G47610</v>
      </c>
      <c r="AK751" s="905" t="str">
        <f t="shared" si="75"/>
        <v>VTE -PCS.S-T BODY -CLIENT</v>
      </c>
      <c r="AL751" s="905">
        <f>IFERROR(INDEX(G751:R751,1,MATCH(Parametres!$B$3,G$1:R$1,0)-1)*IF(OR(F751="L",F751="S",F751="I"),-1,1),"")</f>
        <v>0</v>
      </c>
      <c r="AM751" s="905">
        <f t="shared" si="76"/>
        <v>0</v>
      </c>
      <c r="AN751" s="905">
        <f>INDEX(G751:R751,1,MATCH(Parametres!$B$3,G$1:R$1,0))*IF(OR(F751="L",F751="S",F751="I"),-1,1)</f>
        <v>0</v>
      </c>
      <c r="AO751" s="487" t="str">
        <f>+VLOOKUP($AJ751,Data_Validation!$A:$D,1,0)</f>
        <v>G47610</v>
      </c>
      <c r="AP751" s="487" t="str">
        <f>+VLOOKUP($AJ751,Data_Validation!$A:$D,3,0)</f>
        <v>Carrosserie</v>
      </c>
      <c r="AQ751" s="487" t="str">
        <f>+VLOOKUP($AJ751,Data_Validation!$A:$D,4,0)</f>
        <v>Carrosserie Clients</v>
      </c>
      <c r="AR751" s="487" t="s">
        <v>299</v>
      </c>
      <c r="AS751" s="487" t="str">
        <f>+VLOOKUP($AJ751,Data_Validation!$A:$E,5,0)</f>
        <v>Oui</v>
      </c>
      <c r="AT751" s="904" t="str">
        <f t="shared" si="77"/>
        <v>G47610</v>
      </c>
      <c r="AU751" s="488" t="str">
        <f t="shared" si="78"/>
        <v>VTE -PCS.S-T BODY -CLIENT</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hidden="1" customHeight="1">
      <c r="A752" s="706" t="s">
        <v>1148</v>
      </c>
      <c r="B752" s="706">
        <v>2026</v>
      </c>
      <c r="C752" s="706" t="s">
        <v>2520</v>
      </c>
      <c r="D752" s="706" t="s">
        <v>2521</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G47613</v>
      </c>
      <c r="AK752" s="905" t="str">
        <f t="shared" si="75"/>
        <v>VTE -PIECES INTERN -BODY</v>
      </c>
      <c r="AL752" s="905">
        <f>IFERROR(INDEX(G752:R752,1,MATCH(Parametres!$B$3,G$1:R$1,0)-1)*IF(OR(F752="L",F752="S",F752="I"),-1,1),"")</f>
        <v>0</v>
      </c>
      <c r="AM752" s="905">
        <f t="shared" si="76"/>
        <v>0</v>
      </c>
      <c r="AN752" s="905">
        <f>INDEX(G752:R752,1,MATCH(Parametres!$B$3,G$1:R$1,0))*IF(OR(F752="L",F752="S",F752="I"),-1,1)</f>
        <v>0</v>
      </c>
      <c r="AO752" s="487" t="str">
        <f>+VLOOKUP($AJ752,Data_Validation!$A:$D,1,0)</f>
        <v>G47613</v>
      </c>
      <c r="AP752" s="487" t="str">
        <f>+VLOOKUP($AJ752,Data_Validation!$A:$D,3,0)</f>
        <v>Carrosserie</v>
      </c>
      <c r="AQ752" s="487" t="str">
        <f>+VLOOKUP($AJ752,Data_Validation!$A:$D,4,0)</f>
        <v>Carrosserie Interne</v>
      </c>
      <c r="AR752" s="487" t="s">
        <v>299</v>
      </c>
      <c r="AS752" s="487" t="str">
        <f>+VLOOKUP($AJ752,Data_Validation!$A:$E,5,0)</f>
        <v>Oui</v>
      </c>
      <c r="AT752" s="904" t="str">
        <f t="shared" si="77"/>
        <v>G47613</v>
      </c>
      <c r="AU752" s="488" t="str">
        <f t="shared" si="78"/>
        <v>VTE -PIECES INTERN -BODY</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hidden="1" customHeight="1">
      <c r="A753" s="706" t="s">
        <v>1148</v>
      </c>
      <c r="B753" s="706">
        <v>2026</v>
      </c>
      <c r="C753" s="706" t="s">
        <v>2522</v>
      </c>
      <c r="D753" s="706" t="s">
        <v>2523</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G47615</v>
      </c>
      <c r="AK753" s="905" t="str">
        <f t="shared" si="75"/>
        <v>VTE - S-T PCS CONCES-BOD</v>
      </c>
      <c r="AL753" s="905">
        <f>IFERROR(INDEX(G753:R753,1,MATCH(Parametres!$B$3,G$1:R$1,0)-1)*IF(OR(F753="L",F753="S",F753="I"),-1,1),"")</f>
        <v>0</v>
      </c>
      <c r="AM753" s="905">
        <f t="shared" si="76"/>
        <v>0</v>
      </c>
      <c r="AN753" s="905">
        <f>INDEX(G753:R753,1,MATCH(Parametres!$B$3,G$1:R$1,0))*IF(OR(F753="L",F753="S",F753="I"),-1,1)</f>
        <v>0</v>
      </c>
      <c r="AO753" s="487" t="str">
        <f>+VLOOKUP($AJ753,Data_Validation!$A:$D,1,0)</f>
        <v>G47615</v>
      </c>
      <c r="AP753" s="487" t="str">
        <f>+VLOOKUP($AJ753,Data_Validation!$A:$D,3,0)</f>
        <v>Carrosserie</v>
      </c>
      <c r="AQ753" s="487" t="str">
        <f>+VLOOKUP($AJ753,Data_Validation!$A:$D,4,0)</f>
        <v>Carrosserie Concessions</v>
      </c>
      <c r="AR753" s="487" t="s">
        <v>299</v>
      </c>
      <c r="AS753" s="487" t="str">
        <f>+VLOOKUP($AJ753,Data_Validation!$A:$E,5,0)</f>
        <v>Oui</v>
      </c>
      <c r="AT753" s="904" t="str">
        <f t="shared" si="77"/>
        <v>G47615</v>
      </c>
      <c r="AU753" s="488" t="str">
        <f t="shared" si="78"/>
        <v>VTE - S-T PCS CONCES-BOD</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hidden="1" customHeight="1">
      <c r="A754" s="706" t="s">
        <v>1148</v>
      </c>
      <c r="B754" s="706">
        <v>2026</v>
      </c>
      <c r="C754" s="706" t="s">
        <v>2524</v>
      </c>
      <c r="D754" s="706" t="s">
        <v>3375</v>
      </c>
      <c r="E754" s="706" t="s">
        <v>1151</v>
      </c>
      <c r="F754" s="706" t="s">
        <v>1149</v>
      </c>
      <c r="G754" s="706">
        <v>0</v>
      </c>
      <c r="H754" s="706">
        <v>0</v>
      </c>
      <c r="I754" s="706">
        <v>0</v>
      </c>
      <c r="J754" s="706">
        <v>0</v>
      </c>
      <c r="K754" s="706">
        <v>0</v>
      </c>
      <c r="L754" s="706">
        <v>1486.33</v>
      </c>
      <c r="M754" s="706">
        <v>1486.33</v>
      </c>
      <c r="N754" s="706">
        <v>1486.33</v>
      </c>
      <c r="O754" s="706">
        <v>1486.33</v>
      </c>
      <c r="P754" s="706">
        <v>0</v>
      </c>
      <c r="Q754" s="706">
        <v>0</v>
      </c>
      <c r="R754" s="706">
        <v>0</v>
      </c>
      <c r="S754" s="706">
        <v>185.79</v>
      </c>
      <c r="T754" s="706">
        <v>185.79</v>
      </c>
      <c r="U754" s="706">
        <v>0</v>
      </c>
      <c r="V754" s="706">
        <v>0</v>
      </c>
      <c r="W754" s="706">
        <v>0</v>
      </c>
      <c r="X754" s="706">
        <v>0</v>
      </c>
      <c r="Y754" s="706">
        <v>0</v>
      </c>
      <c r="Z754" s="706">
        <v>12</v>
      </c>
      <c r="AA754" s="706">
        <v>18</v>
      </c>
      <c r="AB754" s="706">
        <v>18</v>
      </c>
      <c r="AC754" s="706">
        <v>18</v>
      </c>
      <c r="AD754" s="706">
        <v>18</v>
      </c>
      <c r="AE754" s="706">
        <v>0</v>
      </c>
      <c r="AF754" s="706">
        <v>0</v>
      </c>
      <c r="AG754" s="706">
        <v>0</v>
      </c>
      <c r="AH754" s="706">
        <v>2</v>
      </c>
      <c r="AI754" s="706">
        <v>2</v>
      </c>
      <c r="AJ754" s="905" t="str">
        <f t="shared" si="74"/>
        <v>G47620</v>
      </c>
      <c r="AK754" s="905" t="str">
        <f t="shared" si="75"/>
        <v>VTES -LOC.COURTOIS - BODY</v>
      </c>
      <c r="AL754" s="905">
        <f>IFERROR(INDEX(G754:R754,1,MATCH(Parametres!$B$3,G$1:R$1,0)-1)*IF(OR(F754="L",F754="S",F754="I"),-1,1),"")</f>
        <v>-1486.33</v>
      </c>
      <c r="AM754" s="905">
        <f t="shared" si="76"/>
        <v>0</v>
      </c>
      <c r="AN754" s="905">
        <f>INDEX(G754:R754,1,MATCH(Parametres!$B$3,G$1:R$1,0))*IF(OR(F754="L",F754="S",F754="I"),-1,1)</f>
        <v>-1486.33</v>
      </c>
      <c r="AO754" s="487" t="str">
        <f>+VLOOKUP($AJ754,Data_Validation!$A:$D,1,0)</f>
        <v>G47620</v>
      </c>
      <c r="AP754" s="487" t="str">
        <f>+VLOOKUP($AJ754,Data_Validation!$A:$D,3,0)</f>
        <v>Carrosserie</v>
      </c>
      <c r="AQ754" s="487" t="str">
        <f>+VLOOKUP($AJ754,Data_Validation!$A:$D,4,0)</f>
        <v>Carrosserie Clients</v>
      </c>
      <c r="AR754" s="487" t="s">
        <v>299</v>
      </c>
      <c r="AS754" s="487" t="str">
        <f>+VLOOKUP($AJ754,Data_Validation!$A:$E,5,0)</f>
        <v>Oui</v>
      </c>
      <c r="AT754" s="904" t="str">
        <f t="shared" si="77"/>
        <v>G47620</v>
      </c>
      <c r="AU754" s="488" t="str">
        <f t="shared" si="78"/>
        <v>VTES -LOC.COURTOIS - BODY</v>
      </c>
      <c r="AV754" s="899">
        <f>IFERROR(INDEX(V754:AG754,1,MATCH(Parametres!$B$3,V$1:AG$1,0)-1)*IF(OR(C754="L",C754="S",C754="I"),-1,1),"")</f>
        <v>18</v>
      </c>
      <c r="AW754" s="899">
        <f t="shared" si="79"/>
        <v>0</v>
      </c>
      <c r="AX754" s="899">
        <f>INDEX(V754:AG754,1,MATCH(Parametres!$B$3,V$1:AG$1,0))*IF(OR(C754="L",C754="S",C754="I"),-1,1)</f>
        <v>18</v>
      </c>
      <c r="AY754" s="487" t="s">
        <v>337</v>
      </c>
      <c r="AZ754" s="487" t="str">
        <f>+VLOOKUP($AJ754,Data_Validation!$A:$E,5,0)</f>
        <v>Oui</v>
      </c>
    </row>
    <row r="755" spans="1:52" ht="15" hidden="1" customHeight="1">
      <c r="A755" s="706" t="s">
        <v>1148</v>
      </c>
      <c r="B755" s="706">
        <v>2026</v>
      </c>
      <c r="C755" s="706" t="s">
        <v>2526</v>
      </c>
      <c r="D755" s="706" t="s">
        <v>2527</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G47623</v>
      </c>
      <c r="AK755" s="905" t="str">
        <f t="shared" si="75"/>
        <v>VTE -LOC COURT INT-BODY</v>
      </c>
      <c r="AL755" s="905">
        <f>IFERROR(INDEX(G755:R755,1,MATCH(Parametres!$B$3,G$1:R$1,0)-1)*IF(OR(F755="L",F755="S",F755="I"),-1,1),"")</f>
        <v>0</v>
      </c>
      <c r="AM755" s="905">
        <f t="shared" si="76"/>
        <v>0</v>
      </c>
      <c r="AN755" s="905">
        <f>INDEX(G755:R755,1,MATCH(Parametres!$B$3,G$1:R$1,0))*IF(OR(F755="L",F755="S",F755="I"),-1,1)</f>
        <v>0</v>
      </c>
      <c r="AO755" s="487" t="str">
        <f>+VLOOKUP($AJ755,Data_Validation!$A:$D,1,0)</f>
        <v>G47623</v>
      </c>
      <c r="AP755" s="487">
        <f>+VLOOKUP($AJ755,Data_Validation!$A:$D,3,0)</f>
        <v>0</v>
      </c>
      <c r="AQ755" s="487">
        <f>+VLOOKUP($AJ755,Data_Validation!$A:$D,4,0)</f>
        <v>0</v>
      </c>
      <c r="AR755" s="487" t="s">
        <v>299</v>
      </c>
      <c r="AS755" s="487">
        <f>+VLOOKUP($AJ755,Data_Validation!$A:$E,5,0)</f>
        <v>0</v>
      </c>
      <c r="AT755" s="904" t="str">
        <f t="shared" si="77"/>
        <v>G47623</v>
      </c>
      <c r="AU755" s="488" t="str">
        <f t="shared" si="78"/>
        <v>VTE -LOC COURT INT-BODY</v>
      </c>
      <c r="AV755" s="899">
        <f>IFERROR(INDEX(V755:AG755,1,MATCH(Parametres!$B$3,V$1:AG$1,0)-1)*IF(OR(C755="L",C755="S",C755="I"),-1,1),"")</f>
        <v>0</v>
      </c>
      <c r="AW755" s="899">
        <f t="shared" si="79"/>
        <v>0</v>
      </c>
      <c r="AX755" s="899">
        <f>INDEX(V755:AG755,1,MATCH(Parametres!$B$3,V$1:AG$1,0))*IF(OR(C755="L",C755="S",C755="I"),-1,1)</f>
        <v>0</v>
      </c>
      <c r="AY755" s="487" t="s">
        <v>337</v>
      </c>
      <c r="AZ755" s="487">
        <f>+VLOOKUP($AJ755,Data_Validation!$A:$E,5,0)</f>
        <v>0</v>
      </c>
    </row>
    <row r="756" spans="1:52" ht="15" hidden="1" customHeight="1">
      <c r="A756" s="706" t="s">
        <v>1148</v>
      </c>
      <c r="B756" s="706">
        <v>2026</v>
      </c>
      <c r="C756" s="706" t="s">
        <v>2528</v>
      </c>
      <c r="D756" s="706" t="s">
        <v>2529</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G47625</v>
      </c>
      <c r="AK756" s="905" t="str">
        <f t="shared" si="75"/>
        <v>VTE - LOC COURT CONCES B</v>
      </c>
      <c r="AL756" s="905">
        <f>IFERROR(INDEX(G756:R756,1,MATCH(Parametres!$B$3,G$1:R$1,0)-1)*IF(OR(F756="L",F756="S",F756="I"),-1,1),"")</f>
        <v>0</v>
      </c>
      <c r="AM756" s="905">
        <f t="shared" si="76"/>
        <v>0</v>
      </c>
      <c r="AN756" s="905">
        <f>INDEX(G756:R756,1,MATCH(Parametres!$B$3,G$1:R$1,0))*IF(OR(F756="L",F756="S",F756="I"),-1,1)</f>
        <v>0</v>
      </c>
      <c r="AO756" s="487" t="str">
        <f>+VLOOKUP($AJ756,Data_Validation!$A:$D,1,0)</f>
        <v>G47625</v>
      </c>
      <c r="AP756" s="487">
        <f>+VLOOKUP($AJ756,Data_Validation!$A:$D,3,0)</f>
        <v>0</v>
      </c>
      <c r="AQ756" s="487">
        <f>+VLOOKUP($AJ756,Data_Validation!$A:$D,4,0)</f>
        <v>0</v>
      </c>
      <c r="AR756" s="487" t="s">
        <v>299</v>
      </c>
      <c r="AS756" s="487">
        <f>+VLOOKUP($AJ756,Data_Validation!$A:$E,5,0)</f>
        <v>0</v>
      </c>
      <c r="AT756" s="904" t="str">
        <f t="shared" si="77"/>
        <v>G47625</v>
      </c>
      <c r="AU756" s="488" t="str">
        <f t="shared" si="78"/>
        <v>VTE - LOC COURT CONCES B</v>
      </c>
      <c r="AV756" s="899">
        <f>IFERROR(INDEX(V756:AG756,1,MATCH(Parametres!$B$3,V$1:AG$1,0)-1)*IF(OR(C756="L",C756="S",C756="I"),-1,1),"")</f>
        <v>0</v>
      </c>
      <c r="AW756" s="899">
        <f t="shared" si="79"/>
        <v>0</v>
      </c>
      <c r="AX756" s="899">
        <f>INDEX(V756:AG756,1,MATCH(Parametres!$B$3,V$1:AG$1,0))*IF(OR(C756="L",C756="S",C756="I"),-1,1)</f>
        <v>0</v>
      </c>
      <c r="AY756" s="487" t="s">
        <v>337</v>
      </c>
      <c r="AZ756" s="487">
        <f>+VLOOKUP($AJ756,Data_Validation!$A:$E,5,0)</f>
        <v>0</v>
      </c>
    </row>
    <row r="757" spans="1:52" ht="15" hidden="1" customHeight="1">
      <c r="A757" s="706" t="s">
        <v>1148</v>
      </c>
      <c r="B757" s="706">
        <v>2026</v>
      </c>
      <c r="C757" s="706" t="s">
        <v>2530</v>
      </c>
      <c r="D757" s="706" t="s">
        <v>2531</v>
      </c>
      <c r="E757" s="706" t="s">
        <v>1151</v>
      </c>
      <c r="F757" s="706" t="s">
        <v>1149</v>
      </c>
      <c r="G757" s="706">
        <v>0</v>
      </c>
      <c r="H757" s="706">
        <v>0</v>
      </c>
      <c r="I757" s="706">
        <v>0</v>
      </c>
      <c r="J757" s="706">
        <v>0</v>
      </c>
      <c r="K757" s="706">
        <v>100.64</v>
      </c>
      <c r="L757" s="706">
        <v>100.64</v>
      </c>
      <c r="M757" s="706">
        <v>100.64</v>
      </c>
      <c r="N757" s="706">
        <v>100.64</v>
      </c>
      <c r="O757" s="706">
        <v>100.64</v>
      </c>
      <c r="P757" s="706">
        <v>0</v>
      </c>
      <c r="Q757" s="706">
        <v>0</v>
      </c>
      <c r="R757" s="706">
        <v>0</v>
      </c>
      <c r="S757" s="706">
        <v>12.58</v>
      </c>
      <c r="T757" s="706">
        <v>12.58</v>
      </c>
      <c r="U757" s="706">
        <v>0</v>
      </c>
      <c r="V757" s="706">
        <v>0</v>
      </c>
      <c r="W757" s="706">
        <v>0</v>
      </c>
      <c r="X757" s="706">
        <v>0</v>
      </c>
      <c r="Y757" s="706">
        <v>0</v>
      </c>
      <c r="Z757" s="706">
        <v>1</v>
      </c>
      <c r="AA757" s="706">
        <v>1</v>
      </c>
      <c r="AB757" s="706">
        <v>1</v>
      </c>
      <c r="AC757" s="706">
        <v>1</v>
      </c>
      <c r="AD757" s="706">
        <v>1</v>
      </c>
      <c r="AE757" s="706">
        <v>0</v>
      </c>
      <c r="AF757" s="706">
        <v>0</v>
      </c>
      <c r="AG757" s="706">
        <v>0</v>
      </c>
      <c r="AH757" s="706">
        <v>0</v>
      </c>
      <c r="AI757" s="706">
        <v>0</v>
      </c>
      <c r="AJ757" s="905" t="str">
        <f t="shared" si="74"/>
        <v>G47700</v>
      </c>
      <c r="AK757" s="905" t="str">
        <f t="shared" si="75"/>
        <v>VENTE P&amp;A CLIENTS CAROSSE</v>
      </c>
      <c r="AL757" s="905">
        <f>IFERROR(INDEX(G757:R757,1,MATCH(Parametres!$B$3,G$1:R$1,0)-1)*IF(OR(F757="L",F757="S",F757="I"),-1,1),"")</f>
        <v>-100.64</v>
      </c>
      <c r="AM757" s="905">
        <f t="shared" si="76"/>
        <v>0</v>
      </c>
      <c r="AN757" s="905">
        <f>INDEX(G757:R757,1,MATCH(Parametres!$B$3,G$1:R$1,0))*IF(OR(F757="L",F757="S",F757="I"),-1,1)</f>
        <v>-100.64</v>
      </c>
      <c r="AO757" s="487" t="str">
        <f>+VLOOKUP($AJ757,Data_Validation!$A:$D,1,0)</f>
        <v>G47700</v>
      </c>
      <c r="AP757" s="487" t="str">
        <f>+VLOOKUP($AJ757,Data_Validation!$A:$D,3,0)</f>
        <v>Pièces</v>
      </c>
      <c r="AQ757" s="487" t="str">
        <f>+VLOOKUP($AJ757,Data_Validation!$A:$D,4,0)</f>
        <v>Pièces Ro Carrosserie</v>
      </c>
      <c r="AR757" s="487" t="s">
        <v>299</v>
      </c>
      <c r="AS757" s="487" t="str">
        <f>+VLOOKUP($AJ757,Data_Validation!$A:$E,5,0)</f>
        <v>Oui</v>
      </c>
      <c r="AT757" s="904" t="str">
        <f t="shared" si="77"/>
        <v>G47700</v>
      </c>
      <c r="AU757" s="488" t="str">
        <f t="shared" si="78"/>
        <v>VENTE P&amp;A CLIENTS CAROSSE</v>
      </c>
      <c r="AV757" s="899">
        <f>IFERROR(INDEX(V757:AG757,1,MATCH(Parametres!$B$3,V$1:AG$1,0)-1)*IF(OR(C757="L",C757="S",C757="I"),-1,1),"")</f>
        <v>1</v>
      </c>
      <c r="AW757" s="899">
        <f t="shared" si="79"/>
        <v>0</v>
      </c>
      <c r="AX757" s="899">
        <f>INDEX(V757:AG757,1,MATCH(Parametres!$B$3,V$1:AG$1,0))*IF(OR(C757="L",C757="S",C757="I"),-1,1)</f>
        <v>1</v>
      </c>
      <c r="AY757" s="487" t="s">
        <v>337</v>
      </c>
      <c r="AZ757" s="487" t="str">
        <f>+VLOOKUP($AJ757,Data_Validation!$A:$E,5,0)</f>
        <v>Oui</v>
      </c>
    </row>
    <row r="758" spans="1:52" ht="15" hidden="1" customHeight="1">
      <c r="A758" s="706" t="s">
        <v>1148</v>
      </c>
      <c r="B758" s="706">
        <v>2026</v>
      </c>
      <c r="C758" s="706" t="s">
        <v>2532</v>
      </c>
      <c r="D758" s="706" t="s">
        <v>3376</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G47800</v>
      </c>
      <c r="AK758" s="905" t="str">
        <f t="shared" si="75"/>
        <v>VTE -PCE CARR.CLIENT.CAM.</v>
      </c>
      <c r="AL758" s="905">
        <f>IFERROR(INDEX(G758:R758,1,MATCH(Parametres!$B$3,G$1:R$1,0)-1)*IF(OR(F758="L",F758="S",F758="I"),-1,1),"")</f>
        <v>0</v>
      </c>
      <c r="AM758" s="905">
        <f t="shared" si="76"/>
        <v>0</v>
      </c>
      <c r="AN758" s="905">
        <f>INDEX(G758:R758,1,MATCH(Parametres!$B$3,G$1:R$1,0))*IF(OR(F758="L",F758="S",F758="I"),-1,1)</f>
        <v>0</v>
      </c>
      <c r="AO758" s="487" t="str">
        <f>+VLOOKUP($AJ758,Data_Validation!$A:$D,1,0)</f>
        <v>G47800</v>
      </c>
      <c r="AP758" s="487">
        <f>+VLOOKUP($AJ758,Data_Validation!$A:$D,3,0)</f>
        <v>0</v>
      </c>
      <c r="AQ758" s="487">
        <f>+VLOOKUP($AJ758,Data_Validation!$A:$D,4,0)</f>
        <v>0</v>
      </c>
      <c r="AR758" s="487" t="s">
        <v>299</v>
      </c>
      <c r="AS758" s="487">
        <f>+VLOOKUP($AJ758,Data_Validation!$A:$E,5,0)</f>
        <v>0</v>
      </c>
      <c r="AT758" s="904" t="str">
        <f t="shared" si="77"/>
        <v>G47800</v>
      </c>
      <c r="AU758" s="488" t="str">
        <f t="shared" si="78"/>
        <v>VTE -PCE CARR.CLIENT.CAM.</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hidden="1" customHeight="1">
      <c r="A759" s="706" t="s">
        <v>1148</v>
      </c>
      <c r="B759" s="706">
        <v>2026</v>
      </c>
      <c r="C759" s="706" t="s">
        <v>2534</v>
      </c>
      <c r="D759" s="706" t="s">
        <v>2535</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G47840</v>
      </c>
      <c r="AK759" s="905" t="str">
        <f t="shared" si="75"/>
        <v>VTES-PCE GOODW.CAM MOYEN</v>
      </c>
      <c r="AL759" s="905">
        <f>IFERROR(INDEX(G759:R759,1,MATCH(Parametres!$B$3,G$1:R$1,0)-1)*IF(OR(F759="L",F759="S",F759="I"),-1,1),"")</f>
        <v>0</v>
      </c>
      <c r="AM759" s="905">
        <f t="shared" si="76"/>
        <v>0</v>
      </c>
      <c r="AN759" s="905">
        <f>INDEX(G759:R759,1,MATCH(Parametres!$B$3,G$1:R$1,0))*IF(OR(F759="L",F759="S",F759="I"),-1,1)</f>
        <v>0</v>
      </c>
      <c r="AO759" s="487" t="str">
        <f>+VLOOKUP($AJ759,Data_Validation!$A:$D,1,0)</f>
        <v>G47840</v>
      </c>
      <c r="AP759" s="487">
        <f>+VLOOKUP($AJ759,Data_Validation!$A:$D,3,0)</f>
        <v>0</v>
      </c>
      <c r="AQ759" s="487">
        <f>+VLOOKUP($AJ759,Data_Validation!$A:$D,4,0)</f>
        <v>0</v>
      </c>
      <c r="AR759" s="487" t="s">
        <v>299</v>
      </c>
      <c r="AS759" s="487">
        <f>+VLOOKUP($AJ759,Data_Validation!$A:$E,5,0)</f>
        <v>0</v>
      </c>
      <c r="AT759" s="904" t="str">
        <f t="shared" si="77"/>
        <v>G47840</v>
      </c>
      <c r="AU759" s="488" t="str">
        <f t="shared" si="78"/>
        <v>VTES-PCE GOODW.CAM MOYEN</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hidden="1" customHeight="1">
      <c r="A760" s="706" t="s">
        <v>1148</v>
      </c>
      <c r="B760" s="706">
        <v>2026</v>
      </c>
      <c r="C760" s="706" t="s">
        <v>2536</v>
      </c>
      <c r="D760" s="706" t="s">
        <v>3377</v>
      </c>
      <c r="E760" s="706" t="s">
        <v>1151</v>
      </c>
      <c r="F760" s="706" t="s">
        <v>1149</v>
      </c>
      <c r="G760" s="706">
        <v>22035.39</v>
      </c>
      <c r="H760" s="706">
        <v>51692.06</v>
      </c>
      <c r="I760" s="706">
        <v>74713.48</v>
      </c>
      <c r="J760" s="706">
        <v>118736.54</v>
      </c>
      <c r="K760" s="706">
        <v>128979.54</v>
      </c>
      <c r="L760" s="706">
        <v>139535.45000000001</v>
      </c>
      <c r="M760" s="706">
        <v>149579.29</v>
      </c>
      <c r="N760" s="706">
        <v>159325.34</v>
      </c>
      <c r="O760" s="706">
        <v>159781.75</v>
      </c>
      <c r="P760" s="706">
        <v>0</v>
      </c>
      <c r="Q760" s="706">
        <v>0</v>
      </c>
      <c r="R760" s="706">
        <v>0</v>
      </c>
      <c r="S760" s="706">
        <v>19915.669999999998</v>
      </c>
      <c r="T760" s="706">
        <v>19915.669999999998</v>
      </c>
      <c r="U760" s="706">
        <v>0</v>
      </c>
      <c r="V760" s="706">
        <v>48</v>
      </c>
      <c r="W760" s="706">
        <v>106</v>
      </c>
      <c r="X760" s="706">
        <v>170</v>
      </c>
      <c r="Y760" s="706">
        <v>245</v>
      </c>
      <c r="Z760" s="706">
        <v>272</v>
      </c>
      <c r="AA760" s="706">
        <v>297</v>
      </c>
      <c r="AB760" s="706">
        <v>314</v>
      </c>
      <c r="AC760" s="706">
        <v>333</v>
      </c>
      <c r="AD760" s="706">
        <v>336</v>
      </c>
      <c r="AE760" s="706">
        <v>0</v>
      </c>
      <c r="AF760" s="706">
        <v>0</v>
      </c>
      <c r="AG760" s="706">
        <v>0</v>
      </c>
      <c r="AH760" s="706">
        <v>42</v>
      </c>
      <c r="AI760" s="706">
        <v>42</v>
      </c>
      <c r="AJ760" s="905" t="str">
        <f t="shared" si="74"/>
        <v>G47900</v>
      </c>
      <c r="AK760" s="905" t="str">
        <f t="shared" si="75"/>
        <v>VTES -PEINTURE CARROSS.</v>
      </c>
      <c r="AL760" s="905">
        <f>IFERROR(INDEX(G760:R760,1,MATCH(Parametres!$B$3,G$1:R$1,0)-1)*IF(OR(F760="L",F760="S",F760="I"),-1,1),"")</f>
        <v>-149579.29</v>
      </c>
      <c r="AM760" s="905">
        <f t="shared" si="76"/>
        <v>-9746.0499999999884</v>
      </c>
      <c r="AN760" s="905">
        <f>INDEX(G760:R760,1,MATCH(Parametres!$B$3,G$1:R$1,0))*IF(OR(F760="L",F760="S",F760="I"),-1,1)</f>
        <v>-159325.34</v>
      </c>
      <c r="AO760" s="487" t="str">
        <f>+VLOOKUP($AJ760,Data_Validation!$A:$D,1,0)</f>
        <v>G47900</v>
      </c>
      <c r="AP760" s="487" t="str">
        <f>+VLOOKUP($AJ760,Data_Validation!$A:$D,3,0)</f>
        <v>Carrosserie</v>
      </c>
      <c r="AQ760" s="487" t="str">
        <f>+VLOOKUP($AJ760,Data_Validation!$A:$D,4,0)</f>
        <v>Carrosserie Clients</v>
      </c>
      <c r="AR760" s="487" t="s">
        <v>299</v>
      </c>
      <c r="AS760" s="487" t="str">
        <f>+VLOOKUP($AJ760,Data_Validation!$A:$E,5,0)</f>
        <v>Oui</v>
      </c>
      <c r="AT760" s="904" t="str">
        <f t="shared" si="77"/>
        <v>G47900</v>
      </c>
      <c r="AU760" s="488" t="str">
        <f t="shared" si="78"/>
        <v>VTES -PEINTURE CARROSS.</v>
      </c>
      <c r="AV760" s="899">
        <f>IFERROR(INDEX(V760:AG760,1,MATCH(Parametres!$B$3,V$1:AG$1,0)-1)*IF(OR(C760="L",C760="S",C760="I"),-1,1),"")</f>
        <v>314</v>
      </c>
      <c r="AW760" s="899">
        <f t="shared" si="79"/>
        <v>19</v>
      </c>
      <c r="AX760" s="899">
        <f>INDEX(V760:AG760,1,MATCH(Parametres!$B$3,V$1:AG$1,0))*IF(OR(C760="L",C760="S",C760="I"),-1,1)</f>
        <v>333</v>
      </c>
      <c r="AY760" s="487" t="s">
        <v>337</v>
      </c>
      <c r="AZ760" s="487" t="str">
        <f>+VLOOKUP($AJ760,Data_Validation!$A:$E,5,0)</f>
        <v>Oui</v>
      </c>
    </row>
    <row r="761" spans="1:52" ht="15" hidden="1" customHeight="1">
      <c r="A761" s="706" t="s">
        <v>1148</v>
      </c>
      <c r="B761" s="706">
        <v>2026</v>
      </c>
      <c r="C761" s="706" t="s">
        <v>2538</v>
      </c>
      <c r="D761" s="706" t="s">
        <v>3378</v>
      </c>
      <c r="E761" s="706" t="s">
        <v>1151</v>
      </c>
      <c r="F761" s="706" t="s">
        <v>1149</v>
      </c>
      <c r="G761" s="706">
        <v>0</v>
      </c>
      <c r="H761" s="706">
        <v>0</v>
      </c>
      <c r="I761" s="706">
        <v>0</v>
      </c>
      <c r="J761" s="706">
        <v>0</v>
      </c>
      <c r="K761" s="706">
        <v>337.04</v>
      </c>
      <c r="L761" s="706">
        <v>1138.58</v>
      </c>
      <c r="M761" s="706">
        <v>1857.02</v>
      </c>
      <c r="N761" s="706">
        <v>3592.59</v>
      </c>
      <c r="O761" s="706">
        <v>4384.82</v>
      </c>
      <c r="P761" s="706">
        <v>0</v>
      </c>
      <c r="Q761" s="706">
        <v>0</v>
      </c>
      <c r="R761" s="706">
        <v>0</v>
      </c>
      <c r="S761" s="706">
        <v>449.07</v>
      </c>
      <c r="T761" s="706">
        <v>449.07</v>
      </c>
      <c r="U761" s="706">
        <v>0</v>
      </c>
      <c r="V761" s="706">
        <v>0</v>
      </c>
      <c r="W761" s="706">
        <v>0</v>
      </c>
      <c r="X761" s="706">
        <v>0</v>
      </c>
      <c r="Y761" s="706">
        <v>0</v>
      </c>
      <c r="Z761" s="706">
        <v>2</v>
      </c>
      <c r="AA761" s="706">
        <v>7</v>
      </c>
      <c r="AB761" s="706">
        <v>11</v>
      </c>
      <c r="AC761" s="706">
        <v>17</v>
      </c>
      <c r="AD761" s="706">
        <v>20</v>
      </c>
      <c r="AE761" s="706">
        <v>0</v>
      </c>
      <c r="AF761" s="706">
        <v>0</v>
      </c>
      <c r="AG761" s="706">
        <v>0</v>
      </c>
      <c r="AH761" s="706">
        <v>2</v>
      </c>
      <c r="AI761" s="706">
        <v>2</v>
      </c>
      <c r="AJ761" s="905" t="str">
        <f t="shared" si="74"/>
        <v>G47903</v>
      </c>
      <c r="AK761" s="905" t="str">
        <f t="shared" si="75"/>
        <v>VTES -PEINT. INTERN-BODY</v>
      </c>
      <c r="AL761" s="905">
        <f>IFERROR(INDEX(G761:R761,1,MATCH(Parametres!$B$3,G$1:R$1,0)-1)*IF(OR(F761="L",F761="S",F761="I"),-1,1),"")</f>
        <v>-1857.02</v>
      </c>
      <c r="AM761" s="905">
        <f t="shared" si="76"/>
        <v>-1735.5700000000002</v>
      </c>
      <c r="AN761" s="905">
        <f>INDEX(G761:R761,1,MATCH(Parametres!$B$3,G$1:R$1,0))*IF(OR(F761="L",F761="S",F761="I"),-1,1)</f>
        <v>-3592.59</v>
      </c>
      <c r="AO761" s="487" t="str">
        <f>+VLOOKUP($AJ761,Data_Validation!$A:$D,1,0)</f>
        <v>G47903</v>
      </c>
      <c r="AP761" s="487" t="str">
        <f>+VLOOKUP($AJ761,Data_Validation!$A:$D,3,0)</f>
        <v>Carrosserie</v>
      </c>
      <c r="AQ761" s="487" t="str">
        <f>+VLOOKUP($AJ761,Data_Validation!$A:$D,4,0)</f>
        <v>Carrosserie Interne</v>
      </c>
      <c r="AR761" s="487" t="s">
        <v>299</v>
      </c>
      <c r="AS761" s="487" t="str">
        <f>+VLOOKUP($AJ761,Data_Validation!$A:$E,5,0)</f>
        <v>Oui</v>
      </c>
      <c r="AT761" s="904" t="str">
        <f t="shared" si="77"/>
        <v>G47903</v>
      </c>
      <c r="AU761" s="488" t="str">
        <f t="shared" si="78"/>
        <v>VTES -PEINT. INTERN-BODY</v>
      </c>
      <c r="AV761" s="899">
        <f>IFERROR(INDEX(V761:AG761,1,MATCH(Parametres!$B$3,V$1:AG$1,0)-1)*IF(OR(C761="L",C761="S",C761="I"),-1,1),"")</f>
        <v>11</v>
      </c>
      <c r="AW761" s="899">
        <f t="shared" si="79"/>
        <v>6</v>
      </c>
      <c r="AX761" s="899">
        <f>INDEX(V761:AG761,1,MATCH(Parametres!$B$3,V$1:AG$1,0))*IF(OR(C761="L",C761="S",C761="I"),-1,1)</f>
        <v>17</v>
      </c>
      <c r="AY761" s="487" t="s">
        <v>337</v>
      </c>
      <c r="AZ761" s="487" t="str">
        <f>+VLOOKUP($AJ761,Data_Validation!$A:$E,5,0)</f>
        <v>Oui</v>
      </c>
    </row>
    <row r="762" spans="1:52" ht="15" hidden="1" customHeight="1">
      <c r="A762" s="706" t="s">
        <v>1148</v>
      </c>
      <c r="B762" s="706">
        <v>2026</v>
      </c>
      <c r="C762" s="706" t="s">
        <v>2540</v>
      </c>
      <c r="D762" s="706" t="s">
        <v>3379</v>
      </c>
      <c r="E762" s="706" t="s">
        <v>1151</v>
      </c>
      <c r="F762" s="706" t="s">
        <v>1149</v>
      </c>
      <c r="G762" s="706">
        <v>0</v>
      </c>
      <c r="H762" s="706">
        <v>0</v>
      </c>
      <c r="I762" s="706">
        <v>0</v>
      </c>
      <c r="J762" s="706">
        <v>0</v>
      </c>
      <c r="K762" s="706">
        <v>8325.6200000000008</v>
      </c>
      <c r="L762" s="706">
        <v>18909.43</v>
      </c>
      <c r="M762" s="706">
        <v>25496.63</v>
      </c>
      <c r="N762" s="706">
        <v>31833.25</v>
      </c>
      <c r="O762" s="706">
        <v>32327.71</v>
      </c>
      <c r="P762" s="706">
        <v>0</v>
      </c>
      <c r="Q762" s="706">
        <v>0</v>
      </c>
      <c r="R762" s="706">
        <v>0</v>
      </c>
      <c r="S762" s="706">
        <v>3979.16</v>
      </c>
      <c r="T762" s="706">
        <v>3979.16</v>
      </c>
      <c r="U762" s="706">
        <v>0</v>
      </c>
      <c r="V762" s="706">
        <v>0</v>
      </c>
      <c r="W762" s="706">
        <v>0</v>
      </c>
      <c r="X762" s="706">
        <v>0</v>
      </c>
      <c r="Y762" s="706">
        <v>0</v>
      </c>
      <c r="Z762" s="706">
        <v>18</v>
      </c>
      <c r="AA762" s="706">
        <v>40</v>
      </c>
      <c r="AB762" s="706">
        <v>57</v>
      </c>
      <c r="AC762" s="706">
        <v>71</v>
      </c>
      <c r="AD762" s="706">
        <v>76</v>
      </c>
      <c r="AE762" s="706">
        <v>0</v>
      </c>
      <c r="AF762" s="706">
        <v>0</v>
      </c>
      <c r="AG762" s="706">
        <v>0</v>
      </c>
      <c r="AH762" s="706">
        <v>9</v>
      </c>
      <c r="AI762" s="706">
        <v>9</v>
      </c>
      <c r="AJ762" s="905" t="str">
        <f t="shared" si="74"/>
        <v>G47905</v>
      </c>
      <c r="AK762" s="905" t="str">
        <f t="shared" si="75"/>
        <v>VTES -PEINT CONC-BODY</v>
      </c>
      <c r="AL762" s="905">
        <f>IFERROR(INDEX(G762:R762,1,MATCH(Parametres!$B$3,G$1:R$1,0)-1)*IF(OR(F762="L",F762="S",F762="I"),-1,1),"")</f>
        <v>-25496.63</v>
      </c>
      <c r="AM762" s="905">
        <f t="shared" si="76"/>
        <v>-6336.619999999999</v>
      </c>
      <c r="AN762" s="905">
        <f>INDEX(G762:R762,1,MATCH(Parametres!$B$3,G$1:R$1,0))*IF(OR(F762="L",F762="S",F762="I"),-1,1)</f>
        <v>-31833.25</v>
      </c>
      <c r="AO762" s="487" t="str">
        <f>+VLOOKUP($AJ762,Data_Validation!$A:$D,1,0)</f>
        <v>G47905</v>
      </c>
      <c r="AP762" s="487" t="str">
        <f>+VLOOKUP($AJ762,Data_Validation!$A:$D,3,0)</f>
        <v>Carrosserie</v>
      </c>
      <c r="AQ762" s="487" t="str">
        <f>+VLOOKUP($AJ762,Data_Validation!$A:$D,4,0)</f>
        <v>Carrosserie Concessions</v>
      </c>
      <c r="AR762" s="487" t="s">
        <v>299</v>
      </c>
      <c r="AS762" s="487" t="str">
        <f>+VLOOKUP($AJ762,Data_Validation!$A:$E,5,0)</f>
        <v>Oui</v>
      </c>
      <c r="AT762" s="904" t="str">
        <f t="shared" si="77"/>
        <v>G47905</v>
      </c>
      <c r="AU762" s="488" t="str">
        <f t="shared" si="78"/>
        <v>VTES -PEINT CONC-BODY</v>
      </c>
      <c r="AV762" s="899">
        <f>IFERROR(INDEX(V762:AG762,1,MATCH(Parametres!$B$3,V$1:AG$1,0)-1)*IF(OR(C762="L",C762="S",C762="I"),-1,1),"")</f>
        <v>57</v>
      </c>
      <c r="AW762" s="899">
        <f t="shared" si="79"/>
        <v>14</v>
      </c>
      <c r="AX762" s="899">
        <f>INDEX(V762:AG762,1,MATCH(Parametres!$B$3,V$1:AG$1,0))*IF(OR(C762="L",C762="S",C762="I"),-1,1)</f>
        <v>71</v>
      </c>
      <c r="AY762" s="487" t="s">
        <v>337</v>
      </c>
      <c r="AZ762" s="487" t="str">
        <f>+VLOOKUP($AJ762,Data_Validation!$A:$E,5,0)</f>
        <v>Oui</v>
      </c>
    </row>
    <row r="763" spans="1:52" ht="15" hidden="1" customHeight="1">
      <c r="A763" s="706" t="s">
        <v>1148</v>
      </c>
      <c r="B763" s="706">
        <v>2026</v>
      </c>
      <c r="C763" s="706" t="s">
        <v>2542</v>
      </c>
      <c r="D763" s="706" t="s">
        <v>3380</v>
      </c>
      <c r="E763" s="706" t="s">
        <v>1151</v>
      </c>
      <c r="F763" s="706" t="s">
        <v>1149</v>
      </c>
      <c r="G763" s="706">
        <v>0</v>
      </c>
      <c r="H763" s="706">
        <v>0</v>
      </c>
      <c r="I763" s="706">
        <v>0</v>
      </c>
      <c r="J763" s="706">
        <v>0</v>
      </c>
      <c r="K763" s="706">
        <v>2666.08</v>
      </c>
      <c r="L763" s="706">
        <v>9429.58</v>
      </c>
      <c r="M763" s="706">
        <v>13724.29</v>
      </c>
      <c r="N763" s="706">
        <v>17889.93</v>
      </c>
      <c r="O763" s="706">
        <v>18127.68</v>
      </c>
      <c r="P763" s="706">
        <v>0</v>
      </c>
      <c r="Q763" s="706">
        <v>0</v>
      </c>
      <c r="R763" s="706">
        <v>0</v>
      </c>
      <c r="S763" s="706">
        <v>2236.2399999999998</v>
      </c>
      <c r="T763" s="706">
        <v>2236.2399999999998</v>
      </c>
      <c r="U763" s="706">
        <v>0</v>
      </c>
      <c r="V763" s="706">
        <v>0</v>
      </c>
      <c r="W763" s="706">
        <v>0</v>
      </c>
      <c r="X763" s="706">
        <v>0</v>
      </c>
      <c r="Y763" s="706">
        <v>0</v>
      </c>
      <c r="Z763" s="706">
        <v>12</v>
      </c>
      <c r="AA763" s="706">
        <v>42</v>
      </c>
      <c r="AB763" s="706">
        <v>67</v>
      </c>
      <c r="AC763" s="706">
        <v>88</v>
      </c>
      <c r="AD763" s="706">
        <v>91</v>
      </c>
      <c r="AE763" s="706">
        <v>0</v>
      </c>
      <c r="AF763" s="706">
        <v>0</v>
      </c>
      <c r="AG763" s="706">
        <v>0</v>
      </c>
      <c r="AH763" s="706">
        <v>11</v>
      </c>
      <c r="AI763" s="706">
        <v>11</v>
      </c>
      <c r="AJ763" s="905" t="str">
        <f t="shared" si="74"/>
        <v>G47910</v>
      </c>
      <c r="AK763" s="905" t="str">
        <f t="shared" si="75"/>
        <v>VTES -M-ATELIER CLT-BODY</v>
      </c>
      <c r="AL763" s="905">
        <f>IFERROR(INDEX(G763:R763,1,MATCH(Parametres!$B$3,G$1:R$1,0)-1)*IF(OR(F763="L",F763="S",F763="I"),-1,1),"")</f>
        <v>-13724.29</v>
      </c>
      <c r="AM763" s="905">
        <f t="shared" si="76"/>
        <v>-4165.6399999999994</v>
      </c>
      <c r="AN763" s="905">
        <f>INDEX(G763:R763,1,MATCH(Parametres!$B$3,G$1:R$1,0))*IF(OR(F763="L",F763="S",F763="I"),-1,1)</f>
        <v>-17889.93</v>
      </c>
      <c r="AO763" s="487" t="str">
        <f>+VLOOKUP($AJ763,Data_Validation!$A:$D,1,0)</f>
        <v>G47910</v>
      </c>
      <c r="AP763" s="487" t="str">
        <f>+VLOOKUP($AJ763,Data_Validation!$A:$D,3,0)</f>
        <v>Carrosserie</v>
      </c>
      <c r="AQ763" s="487" t="str">
        <f>+VLOOKUP($AJ763,Data_Validation!$A:$D,4,0)</f>
        <v>Carrosserie Clients</v>
      </c>
      <c r="AR763" s="487" t="s">
        <v>299</v>
      </c>
      <c r="AS763" s="487" t="str">
        <f>+VLOOKUP($AJ763,Data_Validation!$A:$E,5,0)</f>
        <v>Oui</v>
      </c>
      <c r="AT763" s="904" t="str">
        <f t="shared" si="77"/>
        <v>G47910</v>
      </c>
      <c r="AU763" s="488" t="str">
        <f t="shared" si="78"/>
        <v>VTES -M-ATELIER CLT-BODY</v>
      </c>
      <c r="AV763" s="899">
        <f>IFERROR(INDEX(V763:AG763,1,MATCH(Parametres!$B$3,V$1:AG$1,0)-1)*IF(OR(C763="L",C763="S",C763="I"),-1,1),"")</f>
        <v>67</v>
      </c>
      <c r="AW763" s="899">
        <f t="shared" si="79"/>
        <v>21</v>
      </c>
      <c r="AX763" s="899">
        <f>INDEX(V763:AG763,1,MATCH(Parametres!$B$3,V$1:AG$1,0))*IF(OR(C763="L",C763="S",C763="I"),-1,1)</f>
        <v>88</v>
      </c>
      <c r="AY763" s="487" t="s">
        <v>337</v>
      </c>
      <c r="AZ763" s="487" t="str">
        <f>+VLOOKUP($AJ763,Data_Validation!$A:$E,5,0)</f>
        <v>Oui</v>
      </c>
    </row>
    <row r="764" spans="1:52" ht="15" hidden="1" customHeight="1">
      <c r="A764" s="706" t="s">
        <v>1148</v>
      </c>
      <c r="B764" s="706">
        <v>2026</v>
      </c>
      <c r="C764" s="706" t="s">
        <v>2544</v>
      </c>
      <c r="D764" s="706" t="s">
        <v>3381</v>
      </c>
      <c r="E764" s="706" t="s">
        <v>1151</v>
      </c>
      <c r="F764" s="706" t="s">
        <v>1149</v>
      </c>
      <c r="G764" s="706">
        <v>0</v>
      </c>
      <c r="H764" s="706">
        <v>0</v>
      </c>
      <c r="I764" s="706">
        <v>0</v>
      </c>
      <c r="J764" s="706">
        <v>0</v>
      </c>
      <c r="K764" s="706">
        <v>180.84</v>
      </c>
      <c r="L764" s="706">
        <v>510.43</v>
      </c>
      <c r="M764" s="706">
        <v>744.91</v>
      </c>
      <c r="N764" s="706">
        <v>1529.1</v>
      </c>
      <c r="O764" s="706">
        <v>1866.51</v>
      </c>
      <c r="P764" s="706">
        <v>0</v>
      </c>
      <c r="Q764" s="706">
        <v>0</v>
      </c>
      <c r="R764" s="706">
        <v>0</v>
      </c>
      <c r="S764" s="706">
        <v>191.14</v>
      </c>
      <c r="T764" s="706">
        <v>191.14</v>
      </c>
      <c r="U764" s="706">
        <v>0</v>
      </c>
      <c r="V764" s="706">
        <v>0</v>
      </c>
      <c r="W764" s="706">
        <v>0</v>
      </c>
      <c r="X764" s="706">
        <v>0</v>
      </c>
      <c r="Y764" s="706">
        <v>0</v>
      </c>
      <c r="Z764" s="706">
        <v>2</v>
      </c>
      <c r="AA764" s="706">
        <v>6</v>
      </c>
      <c r="AB764" s="706">
        <v>9</v>
      </c>
      <c r="AC764" s="706">
        <v>14</v>
      </c>
      <c r="AD764" s="706">
        <v>17</v>
      </c>
      <c r="AE764" s="706">
        <v>0</v>
      </c>
      <c r="AF764" s="706">
        <v>0</v>
      </c>
      <c r="AG764" s="706">
        <v>0</v>
      </c>
      <c r="AH764" s="706">
        <v>2</v>
      </c>
      <c r="AI764" s="706">
        <v>2</v>
      </c>
      <c r="AJ764" s="905" t="str">
        <f t="shared" si="74"/>
        <v>G47913</v>
      </c>
      <c r="AK764" s="905" t="str">
        <f t="shared" si="75"/>
        <v>VTES -M. ATEL.INTERN-BODY</v>
      </c>
      <c r="AL764" s="905">
        <f>IFERROR(INDEX(G764:R764,1,MATCH(Parametres!$B$3,G$1:R$1,0)-1)*IF(OR(F764="L",F764="S",F764="I"),-1,1),"")</f>
        <v>-744.91</v>
      </c>
      <c r="AM764" s="905">
        <f t="shared" si="76"/>
        <v>-784.18999999999994</v>
      </c>
      <c r="AN764" s="905">
        <f>INDEX(G764:R764,1,MATCH(Parametres!$B$3,G$1:R$1,0))*IF(OR(F764="L",F764="S",F764="I"),-1,1)</f>
        <v>-1529.1</v>
      </c>
      <c r="AO764" s="487" t="str">
        <f>+VLOOKUP($AJ764,Data_Validation!$A:$D,1,0)</f>
        <v>G47913</v>
      </c>
      <c r="AP764" s="487" t="str">
        <f>+VLOOKUP($AJ764,Data_Validation!$A:$D,3,0)</f>
        <v>Carrosserie</v>
      </c>
      <c r="AQ764" s="487" t="str">
        <f>+VLOOKUP($AJ764,Data_Validation!$A:$D,4,0)</f>
        <v>Carrosserie Interne</v>
      </c>
      <c r="AR764" s="487" t="s">
        <v>299</v>
      </c>
      <c r="AS764" s="487" t="str">
        <f>+VLOOKUP($AJ764,Data_Validation!$A:$E,5,0)</f>
        <v>Oui</v>
      </c>
      <c r="AT764" s="904" t="str">
        <f t="shared" si="77"/>
        <v>G47913</v>
      </c>
      <c r="AU764" s="488" t="str">
        <f t="shared" si="78"/>
        <v>VTES -M. ATEL.INTERN-BODY</v>
      </c>
      <c r="AV764" s="899">
        <f>IFERROR(INDEX(V764:AG764,1,MATCH(Parametres!$B$3,V$1:AG$1,0)-1)*IF(OR(C764="L",C764="S",C764="I"),-1,1),"")</f>
        <v>9</v>
      </c>
      <c r="AW764" s="899">
        <f t="shared" si="79"/>
        <v>5</v>
      </c>
      <c r="AX764" s="899">
        <f>INDEX(V764:AG764,1,MATCH(Parametres!$B$3,V$1:AG$1,0))*IF(OR(C764="L",C764="S",C764="I"),-1,1)</f>
        <v>14</v>
      </c>
      <c r="AY764" s="487" t="s">
        <v>337</v>
      </c>
      <c r="AZ764" s="487" t="str">
        <f>+VLOOKUP($AJ764,Data_Validation!$A:$E,5,0)</f>
        <v>Oui</v>
      </c>
    </row>
    <row r="765" spans="1:52" ht="15" hidden="1" customHeight="1">
      <c r="A765" s="706" t="s">
        <v>1148</v>
      </c>
      <c r="B765" s="706">
        <v>2026</v>
      </c>
      <c r="C765" s="706" t="s">
        <v>2546</v>
      </c>
      <c r="D765" s="706" t="s">
        <v>3382</v>
      </c>
      <c r="E765" s="706" t="s">
        <v>1151</v>
      </c>
      <c r="F765" s="706" t="s">
        <v>1149</v>
      </c>
      <c r="G765" s="706">
        <v>0</v>
      </c>
      <c r="H765" s="706">
        <v>0</v>
      </c>
      <c r="I765" s="706">
        <v>0</v>
      </c>
      <c r="J765" s="706">
        <v>0</v>
      </c>
      <c r="K765" s="706">
        <v>1133.0999999999999</v>
      </c>
      <c r="L765" s="706">
        <v>5151.83</v>
      </c>
      <c r="M765" s="706">
        <v>7518.17</v>
      </c>
      <c r="N765" s="706">
        <v>10303.77</v>
      </c>
      <c r="O765" s="706">
        <v>10455.959999999999</v>
      </c>
      <c r="P765" s="706">
        <v>0</v>
      </c>
      <c r="Q765" s="706">
        <v>0</v>
      </c>
      <c r="R765" s="706">
        <v>0</v>
      </c>
      <c r="S765" s="706">
        <v>1287.97</v>
      </c>
      <c r="T765" s="706">
        <v>1287.97</v>
      </c>
      <c r="U765" s="706">
        <v>0</v>
      </c>
      <c r="V765" s="706">
        <v>0</v>
      </c>
      <c r="W765" s="706">
        <v>0</v>
      </c>
      <c r="X765" s="706">
        <v>0</v>
      </c>
      <c r="Y765" s="706">
        <v>0</v>
      </c>
      <c r="Z765" s="706">
        <v>12</v>
      </c>
      <c r="AA765" s="706">
        <v>32</v>
      </c>
      <c r="AB765" s="706">
        <v>49</v>
      </c>
      <c r="AC765" s="706">
        <v>62</v>
      </c>
      <c r="AD765" s="706">
        <v>66</v>
      </c>
      <c r="AE765" s="706">
        <v>0</v>
      </c>
      <c r="AF765" s="706">
        <v>0</v>
      </c>
      <c r="AG765" s="706">
        <v>0</v>
      </c>
      <c r="AH765" s="706">
        <v>8</v>
      </c>
      <c r="AI765" s="706">
        <v>8</v>
      </c>
      <c r="AJ765" s="905" t="str">
        <f t="shared" si="74"/>
        <v>G47915</v>
      </c>
      <c r="AK765" s="905" t="str">
        <f t="shared" si="75"/>
        <v>VTES -M.A CONCES. BODY</v>
      </c>
      <c r="AL765" s="905">
        <f>IFERROR(INDEX(G765:R765,1,MATCH(Parametres!$B$3,G$1:R$1,0)-1)*IF(OR(F765="L",F765="S",F765="I"),-1,1),"")</f>
        <v>-7518.17</v>
      </c>
      <c r="AM765" s="905">
        <f t="shared" si="76"/>
        <v>-2785.6000000000004</v>
      </c>
      <c r="AN765" s="905">
        <f>INDEX(G765:R765,1,MATCH(Parametres!$B$3,G$1:R$1,0))*IF(OR(F765="L",F765="S",F765="I"),-1,1)</f>
        <v>-10303.77</v>
      </c>
      <c r="AO765" s="487" t="str">
        <f>+VLOOKUP($AJ765,Data_Validation!$A:$D,1,0)</f>
        <v>G47915</v>
      </c>
      <c r="AP765" s="487" t="str">
        <f>+VLOOKUP($AJ765,Data_Validation!$A:$D,3,0)</f>
        <v>Carrosserie</v>
      </c>
      <c r="AQ765" s="487" t="str">
        <f>+VLOOKUP($AJ765,Data_Validation!$A:$D,4,0)</f>
        <v>Carrosserie Concessions</v>
      </c>
      <c r="AR765" s="487" t="s">
        <v>299</v>
      </c>
      <c r="AS765" s="487" t="str">
        <f>+VLOOKUP($AJ765,Data_Validation!$A:$E,5,0)</f>
        <v>Oui</v>
      </c>
      <c r="AT765" s="904" t="str">
        <f t="shared" si="77"/>
        <v>G47915</v>
      </c>
      <c r="AU765" s="488" t="str">
        <f t="shared" si="78"/>
        <v>VTES -M.A CONCES. BODY</v>
      </c>
      <c r="AV765" s="899">
        <f>IFERROR(INDEX(V765:AG765,1,MATCH(Parametres!$B$3,V$1:AG$1,0)-1)*IF(OR(C765="L",C765="S",C765="I"),-1,1),"")</f>
        <v>49</v>
      </c>
      <c r="AW765" s="899">
        <f t="shared" si="79"/>
        <v>13</v>
      </c>
      <c r="AX765" s="899">
        <f>INDEX(V765:AG765,1,MATCH(Parametres!$B$3,V$1:AG$1,0))*IF(OR(C765="L",C765="S",C765="I"),-1,1)</f>
        <v>62</v>
      </c>
      <c r="AY765" s="487" t="s">
        <v>337</v>
      </c>
      <c r="AZ765" s="487" t="str">
        <f>+VLOOKUP($AJ765,Data_Validation!$A:$E,5,0)</f>
        <v>Oui</v>
      </c>
    </row>
    <row r="766" spans="1:52" ht="15" hidden="1" customHeight="1">
      <c r="A766" s="706" t="s">
        <v>1148</v>
      </c>
      <c r="B766" s="706">
        <v>2026</v>
      </c>
      <c r="C766" s="706" t="s">
        <v>2548</v>
      </c>
      <c r="D766" s="706" t="s">
        <v>2549</v>
      </c>
      <c r="E766" s="706" t="s">
        <v>1151</v>
      </c>
      <c r="F766" s="706" t="s">
        <v>1149</v>
      </c>
      <c r="G766" s="706">
        <v>55197.67</v>
      </c>
      <c r="H766" s="706">
        <v>107368.4</v>
      </c>
      <c r="I766" s="706">
        <v>183959.93</v>
      </c>
      <c r="J766" s="706">
        <v>242239.2</v>
      </c>
      <c r="K766" s="706">
        <v>269829.43</v>
      </c>
      <c r="L766" s="706">
        <v>360086.9</v>
      </c>
      <c r="M766" s="706">
        <v>413980.82</v>
      </c>
      <c r="N766" s="706">
        <v>500886.21</v>
      </c>
      <c r="O766" s="706">
        <v>503301.37</v>
      </c>
      <c r="P766" s="706">
        <v>0</v>
      </c>
      <c r="Q766" s="706">
        <v>0</v>
      </c>
      <c r="R766" s="706">
        <v>0</v>
      </c>
      <c r="S766" s="706">
        <v>62610.78</v>
      </c>
      <c r="T766" s="706">
        <v>62610.78</v>
      </c>
      <c r="U766" s="706">
        <v>0</v>
      </c>
      <c r="V766" s="706">
        <v>202</v>
      </c>
      <c r="W766" s="706">
        <v>387</v>
      </c>
      <c r="X766" s="706">
        <v>642</v>
      </c>
      <c r="Y766" s="706">
        <v>833</v>
      </c>
      <c r="Z766" s="706">
        <v>992</v>
      </c>
      <c r="AA766" s="706">
        <v>1258</v>
      </c>
      <c r="AB766" s="706">
        <v>1410</v>
      </c>
      <c r="AC766" s="706">
        <v>1611</v>
      </c>
      <c r="AD766" s="706">
        <v>1618</v>
      </c>
      <c r="AE766" s="706">
        <v>0</v>
      </c>
      <c r="AF766" s="706">
        <v>0</v>
      </c>
      <c r="AG766" s="706">
        <v>0</v>
      </c>
      <c r="AH766" s="706">
        <v>201</v>
      </c>
      <c r="AI766" s="706">
        <v>201</v>
      </c>
      <c r="AJ766" s="905" t="str">
        <f t="shared" si="74"/>
        <v>G48000</v>
      </c>
      <c r="AK766" s="905" t="str">
        <f t="shared" si="75"/>
        <v>VTES-PIECES GARANTIES</v>
      </c>
      <c r="AL766" s="905">
        <f>IFERROR(INDEX(G766:R766,1,MATCH(Parametres!$B$3,G$1:R$1,0)-1)*IF(OR(F766="L",F766="S",F766="I"),-1,1),"")</f>
        <v>-413980.82</v>
      </c>
      <c r="AM766" s="905">
        <f t="shared" si="76"/>
        <v>-86905.390000000014</v>
      </c>
      <c r="AN766" s="905">
        <f>INDEX(G766:R766,1,MATCH(Parametres!$B$3,G$1:R$1,0))*IF(OR(F766="L",F766="S",F766="I"),-1,1)</f>
        <v>-500886.21</v>
      </c>
      <c r="AO766" s="487" t="str">
        <f>+VLOOKUP($AJ766,Data_Validation!$A:$D,1,0)</f>
        <v>G48000</v>
      </c>
      <c r="AP766" s="487" t="str">
        <f>+VLOOKUP($AJ766,Data_Validation!$A:$D,3,0)</f>
        <v>Pièces</v>
      </c>
      <c r="AQ766" s="487" t="str">
        <f>+VLOOKUP($AJ766,Data_Validation!$A:$D,4,0)</f>
        <v>P/A Garantie</v>
      </c>
      <c r="AR766" s="487" t="s">
        <v>299</v>
      </c>
      <c r="AS766" s="487" t="str">
        <f>+VLOOKUP($AJ766,Data_Validation!$A:$E,5,0)</f>
        <v>Oui</v>
      </c>
      <c r="AT766" s="904" t="str">
        <f t="shared" si="77"/>
        <v>G48000</v>
      </c>
      <c r="AU766" s="488" t="str">
        <f t="shared" si="78"/>
        <v>VTES-PIECES GARANTIES</v>
      </c>
      <c r="AV766" s="899">
        <f>IFERROR(INDEX(V766:AG766,1,MATCH(Parametres!$B$3,V$1:AG$1,0)-1)*IF(OR(C766="L",C766="S",C766="I"),-1,1),"")</f>
        <v>1410</v>
      </c>
      <c r="AW766" s="899">
        <f t="shared" si="79"/>
        <v>201</v>
      </c>
      <c r="AX766" s="899">
        <f>INDEX(V766:AG766,1,MATCH(Parametres!$B$3,V$1:AG$1,0))*IF(OR(C766="L",C766="S",C766="I"),-1,1)</f>
        <v>1611</v>
      </c>
      <c r="AY766" s="487" t="s">
        <v>337</v>
      </c>
      <c r="AZ766" s="487" t="str">
        <f>+VLOOKUP($AJ766,Data_Validation!$A:$E,5,0)</f>
        <v>Oui</v>
      </c>
    </row>
    <row r="767" spans="1:52" ht="15" hidden="1" customHeight="1">
      <c r="A767" s="706" t="s">
        <v>1148</v>
      </c>
      <c r="B767" s="706">
        <v>2026</v>
      </c>
      <c r="C767" s="706" t="s">
        <v>2550</v>
      </c>
      <c r="D767" s="706" t="s">
        <v>2551</v>
      </c>
      <c r="E767" s="706" t="s">
        <v>1151</v>
      </c>
      <c r="F767" s="706" t="s">
        <v>1149</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905" t="str">
        <f t="shared" si="74"/>
        <v>G48020</v>
      </c>
      <c r="AK767" s="905" t="str">
        <f t="shared" si="75"/>
        <v>VTES-PCE RECLAM.CAM MOYEN</v>
      </c>
      <c r="AL767" s="905">
        <f>IFERROR(INDEX(G767:R767,1,MATCH(Parametres!$B$3,G$1:R$1,0)-1)*IF(OR(F767="L",F767="S",F767="I"),-1,1),"")</f>
        <v>0</v>
      </c>
      <c r="AM767" s="905">
        <f t="shared" si="76"/>
        <v>0</v>
      </c>
      <c r="AN767" s="905">
        <f>INDEX(G767:R767,1,MATCH(Parametres!$B$3,G$1:R$1,0))*IF(OR(F767="L",F767="S",F767="I"),-1,1)</f>
        <v>0</v>
      </c>
      <c r="AO767" s="487" t="str">
        <f>+VLOOKUP($AJ767,Data_Validation!$A:$D,1,0)</f>
        <v>G48020</v>
      </c>
      <c r="AP767" s="487" t="str">
        <f>+VLOOKUP($AJ767,Data_Validation!$A:$D,3,0)</f>
        <v>Pièces</v>
      </c>
      <c r="AQ767" s="487" t="str">
        <f>+VLOOKUP($AJ767,Data_Validation!$A:$D,4,0)</f>
        <v>P/A Garantie</v>
      </c>
      <c r="AR767" s="487" t="s">
        <v>299</v>
      </c>
      <c r="AS767" s="487" t="str">
        <f>+VLOOKUP($AJ767,Data_Validation!$A:$E,5,0)</f>
        <v>Oui</v>
      </c>
      <c r="AT767" s="904" t="str">
        <f t="shared" si="77"/>
        <v>G48020</v>
      </c>
      <c r="AU767" s="488" t="str">
        <f t="shared" si="78"/>
        <v>VTES-PCE RECLAM.CAM MOYEN</v>
      </c>
      <c r="AV767" s="899">
        <f>IFERROR(INDEX(V767:AG767,1,MATCH(Parametres!$B$3,V$1:AG$1,0)-1)*IF(OR(C767="L",C767="S",C767="I"),-1,1),"")</f>
        <v>0</v>
      </c>
      <c r="AW767" s="899">
        <f t="shared" si="79"/>
        <v>0</v>
      </c>
      <c r="AX767" s="899">
        <f>INDEX(V767:AG767,1,MATCH(Parametres!$B$3,V$1:AG$1,0))*IF(OR(C767="L",C767="S",C767="I"),-1,1)</f>
        <v>0</v>
      </c>
      <c r="AY767" s="487" t="s">
        <v>337</v>
      </c>
      <c r="AZ767" s="487" t="str">
        <f>+VLOOKUP($AJ767,Data_Validation!$A:$E,5,0)</f>
        <v>Oui</v>
      </c>
    </row>
    <row r="768" spans="1:52" ht="15" hidden="1" customHeight="1">
      <c r="A768" s="706" t="s">
        <v>1148</v>
      </c>
      <c r="B768" s="706">
        <v>2026</v>
      </c>
      <c r="C768" s="706" t="s">
        <v>2552</v>
      </c>
      <c r="D768" s="706" t="s">
        <v>2553</v>
      </c>
      <c r="E768" s="706" t="s">
        <v>1151</v>
      </c>
      <c r="F768" s="706" t="s">
        <v>1149</v>
      </c>
      <c r="G768" s="706">
        <v>45959.51</v>
      </c>
      <c r="H768" s="706">
        <v>105251.2</v>
      </c>
      <c r="I768" s="706">
        <v>165218.51999999999</v>
      </c>
      <c r="J768" s="706">
        <v>233121.15</v>
      </c>
      <c r="K768" s="706">
        <v>275045.87</v>
      </c>
      <c r="L768" s="706">
        <v>322913.62</v>
      </c>
      <c r="M768" s="706">
        <v>365310.89</v>
      </c>
      <c r="N768" s="706">
        <v>402264.33</v>
      </c>
      <c r="O768" s="706">
        <v>404196.9</v>
      </c>
      <c r="P768" s="706">
        <v>0</v>
      </c>
      <c r="Q768" s="706">
        <v>0</v>
      </c>
      <c r="R768" s="706">
        <v>0</v>
      </c>
      <c r="S768" s="706">
        <v>50283.040000000001</v>
      </c>
      <c r="T768" s="706">
        <v>50283.040000000001</v>
      </c>
      <c r="U768" s="706">
        <v>0</v>
      </c>
      <c r="V768" s="706">
        <v>170</v>
      </c>
      <c r="W768" s="706">
        <v>328</v>
      </c>
      <c r="X768" s="706">
        <v>544</v>
      </c>
      <c r="Y768" s="706">
        <v>750</v>
      </c>
      <c r="Z768" s="706">
        <v>898</v>
      </c>
      <c r="AA768" s="706">
        <v>1083</v>
      </c>
      <c r="AB768" s="706">
        <v>1239</v>
      </c>
      <c r="AC768" s="706">
        <v>1398</v>
      </c>
      <c r="AD768" s="706">
        <v>1411</v>
      </c>
      <c r="AE768" s="706">
        <v>0</v>
      </c>
      <c r="AF768" s="706">
        <v>0</v>
      </c>
      <c r="AG768" s="706">
        <v>0</v>
      </c>
      <c r="AH768" s="706">
        <v>175</v>
      </c>
      <c r="AI768" s="706">
        <v>175</v>
      </c>
      <c r="AJ768" s="905" t="str">
        <f t="shared" si="74"/>
        <v>G48100</v>
      </c>
      <c r="AK768" s="905" t="str">
        <f t="shared" si="75"/>
        <v>VTES-PIECES INTERNE</v>
      </c>
      <c r="AL768" s="905">
        <f>IFERROR(INDEX(G768:R768,1,MATCH(Parametres!$B$3,G$1:R$1,0)-1)*IF(OR(F768="L",F768="S",F768="I"),-1,1),"")</f>
        <v>-365310.89</v>
      </c>
      <c r="AM768" s="905">
        <f t="shared" si="76"/>
        <v>-36953.440000000002</v>
      </c>
      <c r="AN768" s="905">
        <f>INDEX(G768:R768,1,MATCH(Parametres!$B$3,G$1:R$1,0))*IF(OR(F768="L",F768="S",F768="I"),-1,1)</f>
        <v>-402264.33</v>
      </c>
      <c r="AO768" s="487" t="str">
        <f>+VLOOKUP($AJ768,Data_Validation!$A:$D,1,0)</f>
        <v>G48100</v>
      </c>
      <c r="AP768" s="487" t="str">
        <f>+VLOOKUP($AJ768,Data_Validation!$A:$D,3,0)</f>
        <v>Pièces</v>
      </c>
      <c r="AQ768" s="487" t="str">
        <f>+VLOOKUP($AJ768,Data_Validation!$A:$D,4,0)</f>
        <v>Ventes Internes</v>
      </c>
      <c r="AR768" s="487" t="s">
        <v>299</v>
      </c>
      <c r="AS768" s="487" t="str">
        <f>+VLOOKUP($AJ768,Data_Validation!$A:$E,5,0)</f>
        <v>Oui</v>
      </c>
      <c r="AT768" s="904" t="str">
        <f t="shared" si="77"/>
        <v>G48100</v>
      </c>
      <c r="AU768" s="488" t="str">
        <f t="shared" si="78"/>
        <v>VTES-PIECES INTERNE</v>
      </c>
      <c r="AV768" s="899">
        <f>IFERROR(INDEX(V768:AG768,1,MATCH(Parametres!$B$3,V$1:AG$1,0)-1)*IF(OR(C768="L",C768="S",C768="I"),-1,1),"")</f>
        <v>1239</v>
      </c>
      <c r="AW768" s="899">
        <f t="shared" si="79"/>
        <v>159</v>
      </c>
      <c r="AX768" s="899">
        <f>INDEX(V768:AG768,1,MATCH(Parametres!$B$3,V$1:AG$1,0))*IF(OR(C768="L",C768="S",C768="I"),-1,1)</f>
        <v>1398</v>
      </c>
      <c r="AY768" s="487" t="s">
        <v>337</v>
      </c>
      <c r="AZ768" s="487" t="str">
        <f>+VLOOKUP($AJ768,Data_Validation!$A:$E,5,0)</f>
        <v>Oui</v>
      </c>
    </row>
    <row r="769" spans="1:52" ht="15" hidden="1" customHeight="1">
      <c r="A769" s="706" t="s">
        <v>1148</v>
      </c>
      <c r="B769" s="706">
        <v>2026</v>
      </c>
      <c r="C769" s="706" t="s">
        <v>2554</v>
      </c>
      <c r="D769" s="706" t="s">
        <v>2555</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G48120</v>
      </c>
      <c r="AK769" s="905" t="str">
        <f t="shared" si="75"/>
        <v>VTES-PCE INTERN CAM MOYEN</v>
      </c>
      <c r="AL769" s="905">
        <f>IFERROR(INDEX(G769:R769,1,MATCH(Parametres!$B$3,G$1:R$1,0)-1)*IF(OR(F769="L",F769="S",F769="I"),-1,1),"")</f>
        <v>0</v>
      </c>
      <c r="AM769" s="905">
        <f t="shared" si="76"/>
        <v>0</v>
      </c>
      <c r="AN769" s="905">
        <f>INDEX(G769:R769,1,MATCH(Parametres!$B$3,G$1:R$1,0))*IF(OR(F769="L",F769="S",F769="I"),-1,1)</f>
        <v>0</v>
      </c>
      <c r="AO769" s="487" t="str">
        <f>+VLOOKUP($AJ769,Data_Validation!$A:$D,1,0)</f>
        <v>G48120</v>
      </c>
      <c r="AP769" s="487" t="str">
        <f>+VLOOKUP($AJ769,Data_Validation!$A:$D,3,0)</f>
        <v>Pièces</v>
      </c>
      <c r="AQ769" s="487" t="str">
        <f>+VLOOKUP($AJ769,Data_Validation!$A:$D,4,0)</f>
        <v>Ventes Internes</v>
      </c>
      <c r="AR769" s="487" t="s">
        <v>299</v>
      </c>
      <c r="AS769" s="487" t="str">
        <f>+VLOOKUP($AJ769,Data_Validation!$A:$E,5,0)</f>
        <v>Oui</v>
      </c>
      <c r="AT769" s="904" t="str">
        <f t="shared" si="77"/>
        <v>G48120</v>
      </c>
      <c r="AU769" s="488" t="str">
        <f t="shared" si="78"/>
        <v>VTES-PCE INTERN 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hidden="1" customHeight="1">
      <c r="A770" s="706" t="s">
        <v>1148</v>
      </c>
      <c r="B770" s="706">
        <v>2026</v>
      </c>
      <c r="C770" s="706" t="s">
        <v>2556</v>
      </c>
      <c r="D770" s="706" t="s">
        <v>2557</v>
      </c>
      <c r="E770" s="706" t="s">
        <v>1151</v>
      </c>
      <c r="F770" s="706" t="s">
        <v>1149</v>
      </c>
      <c r="G770" s="706">
        <v>28409.34</v>
      </c>
      <c r="H770" s="706">
        <v>49297.1</v>
      </c>
      <c r="I770" s="706">
        <v>91732.95</v>
      </c>
      <c r="J770" s="706">
        <v>130796.36</v>
      </c>
      <c r="K770" s="706">
        <v>168162.88</v>
      </c>
      <c r="L770" s="706">
        <v>218773.9</v>
      </c>
      <c r="M770" s="706">
        <v>272745.53999999998</v>
      </c>
      <c r="N770" s="706">
        <v>304187.03000000003</v>
      </c>
      <c r="O770" s="706">
        <v>307198.34999999998</v>
      </c>
      <c r="P770" s="706">
        <v>0</v>
      </c>
      <c r="Q770" s="706">
        <v>0</v>
      </c>
      <c r="R770" s="706">
        <v>0</v>
      </c>
      <c r="S770" s="706">
        <v>38023.379999999997</v>
      </c>
      <c r="T770" s="706">
        <v>38023.379999999997</v>
      </c>
      <c r="U770" s="706">
        <v>0</v>
      </c>
      <c r="V770" s="706">
        <v>134</v>
      </c>
      <c r="W770" s="706">
        <v>265</v>
      </c>
      <c r="X770" s="706">
        <v>477</v>
      </c>
      <c r="Y770" s="706">
        <v>673</v>
      </c>
      <c r="Z770" s="706">
        <v>858</v>
      </c>
      <c r="AA770" s="706">
        <v>1080</v>
      </c>
      <c r="AB770" s="706">
        <v>1291</v>
      </c>
      <c r="AC770" s="706">
        <v>1485</v>
      </c>
      <c r="AD770" s="706">
        <v>1510</v>
      </c>
      <c r="AE770" s="706">
        <v>0</v>
      </c>
      <c r="AF770" s="706">
        <v>0</v>
      </c>
      <c r="AG770" s="706">
        <v>0</v>
      </c>
      <c r="AH770" s="706">
        <v>186</v>
      </c>
      <c r="AI770" s="706">
        <v>186</v>
      </c>
      <c r="AJ770" s="905" t="str">
        <f t="shared" si="74"/>
        <v>G48200</v>
      </c>
      <c r="AK770" s="905" t="str">
        <f t="shared" si="75"/>
        <v>VTES-PIECES AU DETAIL</v>
      </c>
      <c r="AL770" s="905">
        <f>IFERROR(INDEX(G770:R770,1,MATCH(Parametres!$B$3,G$1:R$1,0)-1)*IF(OR(F770="L",F770="S",F770="I"),-1,1),"")</f>
        <v>-272745.53999999998</v>
      </c>
      <c r="AM770" s="905">
        <f t="shared" si="76"/>
        <v>-31441.490000000049</v>
      </c>
      <c r="AN770" s="905">
        <f>INDEX(G770:R770,1,MATCH(Parametres!$B$3,G$1:R$1,0))*IF(OR(F770="L",F770="S",F770="I"),-1,1)</f>
        <v>-304187.03000000003</v>
      </c>
      <c r="AO770" s="487" t="str">
        <f>+VLOOKUP($AJ770,Data_Validation!$A:$D,1,0)</f>
        <v>G48200</v>
      </c>
      <c r="AP770" s="487" t="str">
        <f>+VLOOKUP($AJ770,Data_Validation!$A:$D,3,0)</f>
        <v>Pièces</v>
      </c>
      <c r="AQ770" s="487" t="str">
        <f>+VLOOKUP($AJ770,Data_Validation!$A:$D,4,0)</f>
        <v>Ventes Détails</v>
      </c>
      <c r="AR770" s="487" t="s">
        <v>299</v>
      </c>
      <c r="AS770" s="487" t="str">
        <f>+VLOOKUP($AJ770,Data_Validation!$A:$E,5,0)</f>
        <v>Oui</v>
      </c>
      <c r="AT770" s="904" t="str">
        <f t="shared" si="77"/>
        <v>G48200</v>
      </c>
      <c r="AU770" s="488" t="str">
        <f t="shared" si="78"/>
        <v>VTES-PIECES AU DETAIL</v>
      </c>
      <c r="AV770" s="899">
        <f>IFERROR(INDEX(V770:AG770,1,MATCH(Parametres!$B$3,V$1:AG$1,0)-1)*IF(OR(C770="L",C770="S",C770="I"),-1,1),"")</f>
        <v>1291</v>
      </c>
      <c r="AW770" s="899">
        <f t="shared" si="79"/>
        <v>194</v>
      </c>
      <c r="AX770" s="899">
        <f>INDEX(V770:AG770,1,MATCH(Parametres!$B$3,V$1:AG$1,0))*IF(OR(C770="L",C770="S",C770="I"),-1,1)</f>
        <v>1485</v>
      </c>
      <c r="AY770" s="487" t="s">
        <v>337</v>
      </c>
      <c r="AZ770" s="487" t="str">
        <f>+VLOOKUP($AJ770,Data_Validation!$A:$E,5,0)</f>
        <v>Oui</v>
      </c>
    </row>
    <row r="771" spans="1:52" ht="15" hidden="1" customHeight="1">
      <c r="A771" s="706" t="s">
        <v>1148</v>
      </c>
      <c r="B771" s="706">
        <v>2026</v>
      </c>
      <c r="C771" s="706" t="s">
        <v>2558</v>
      </c>
      <c r="D771" s="706" t="s">
        <v>2559</v>
      </c>
      <c r="E771" s="706" t="s">
        <v>1151</v>
      </c>
      <c r="F771" s="706" t="s">
        <v>1149</v>
      </c>
      <c r="G771" s="706">
        <v>177580.69</v>
      </c>
      <c r="H771" s="706">
        <v>320434.94</v>
      </c>
      <c r="I771" s="706">
        <v>444997.62</v>
      </c>
      <c r="J771" s="706">
        <v>542722.81000000006</v>
      </c>
      <c r="K771" s="706">
        <v>669745.9</v>
      </c>
      <c r="L771" s="706">
        <v>794379.49</v>
      </c>
      <c r="M771" s="706">
        <v>932468.11</v>
      </c>
      <c r="N771" s="706">
        <v>1048595.52</v>
      </c>
      <c r="O771" s="706">
        <v>1063867.17</v>
      </c>
      <c r="P771" s="706">
        <v>0</v>
      </c>
      <c r="Q771" s="706">
        <v>0</v>
      </c>
      <c r="R771" s="706">
        <v>0</v>
      </c>
      <c r="S771" s="706">
        <v>131074.44</v>
      </c>
      <c r="T771" s="706">
        <v>131074.44</v>
      </c>
      <c r="U771" s="706">
        <v>0</v>
      </c>
      <c r="V771" s="706">
        <v>410</v>
      </c>
      <c r="W771" s="706">
        <v>772</v>
      </c>
      <c r="X771" s="706">
        <v>1157</v>
      </c>
      <c r="Y771" s="706">
        <v>1447</v>
      </c>
      <c r="Z771" s="706">
        <v>1762</v>
      </c>
      <c r="AA771" s="706">
        <v>2090</v>
      </c>
      <c r="AB771" s="706">
        <v>2411</v>
      </c>
      <c r="AC771" s="706">
        <v>2709</v>
      </c>
      <c r="AD771" s="706">
        <v>2750</v>
      </c>
      <c r="AE771" s="706">
        <v>0</v>
      </c>
      <c r="AF771" s="706">
        <v>0</v>
      </c>
      <c r="AG771" s="706">
        <v>0</v>
      </c>
      <c r="AH771" s="706">
        <v>339</v>
      </c>
      <c r="AI771" s="706">
        <v>339</v>
      </c>
      <c r="AJ771" s="905" t="str">
        <f t="shared" si="74"/>
        <v>G48300</v>
      </c>
      <c r="AK771" s="905" t="str">
        <f t="shared" si="75"/>
        <v>VTES-PIECES EN GROS</v>
      </c>
      <c r="AL771" s="905">
        <f>IFERROR(INDEX(G771:R771,1,MATCH(Parametres!$B$3,G$1:R$1,0)-1)*IF(OR(F771="L",F771="S",F771="I"),-1,1),"")</f>
        <v>-932468.11</v>
      </c>
      <c r="AM771" s="905">
        <f t="shared" si="76"/>
        <v>-116127.41000000003</v>
      </c>
      <c r="AN771" s="905">
        <f>INDEX(G771:R771,1,MATCH(Parametres!$B$3,G$1:R$1,0))*IF(OR(F771="L",F771="S",F771="I"),-1,1)</f>
        <v>-1048595.52</v>
      </c>
      <c r="AO771" s="487" t="str">
        <f>+VLOOKUP($AJ771,Data_Validation!$A:$D,1,0)</f>
        <v>G48300</v>
      </c>
      <c r="AP771" s="487" t="str">
        <f>+VLOOKUP($AJ771,Data_Validation!$A:$D,3,0)</f>
        <v>Pièces</v>
      </c>
      <c r="AQ771" s="487" t="str">
        <f>+VLOOKUP($AJ771,Data_Validation!$A:$D,4,0)</f>
        <v>Ventes de Gros</v>
      </c>
      <c r="AR771" s="487" t="s">
        <v>299</v>
      </c>
      <c r="AS771" s="487" t="str">
        <f>+VLOOKUP($AJ771,Data_Validation!$A:$E,5,0)</f>
        <v>Oui</v>
      </c>
      <c r="AT771" s="904" t="str">
        <f t="shared" si="77"/>
        <v>G48300</v>
      </c>
      <c r="AU771" s="488" t="str">
        <f t="shared" si="78"/>
        <v>VTES-PIECES EN GROS</v>
      </c>
      <c r="AV771" s="899">
        <f>IFERROR(INDEX(V771:AG771,1,MATCH(Parametres!$B$3,V$1:AG$1,0)-1)*IF(OR(C771="L",C771="S",C771="I"),-1,1),"")</f>
        <v>2411</v>
      </c>
      <c r="AW771" s="899">
        <f t="shared" si="79"/>
        <v>298</v>
      </c>
      <c r="AX771" s="899">
        <f>INDEX(V771:AG771,1,MATCH(Parametres!$B$3,V$1:AG$1,0))*IF(OR(C771="L",C771="S",C771="I"),-1,1)</f>
        <v>2709</v>
      </c>
      <c r="AY771" s="487" t="s">
        <v>337</v>
      </c>
      <c r="AZ771" s="487" t="str">
        <f>+VLOOKUP($AJ771,Data_Validation!$A:$E,5,0)</f>
        <v>Oui</v>
      </c>
    </row>
    <row r="772" spans="1:52" ht="15" hidden="1" customHeight="1">
      <c r="A772" s="706" t="s">
        <v>1148</v>
      </c>
      <c r="B772" s="706">
        <v>2026</v>
      </c>
      <c r="C772" s="706" t="s">
        <v>2560</v>
      </c>
      <c r="D772" s="706" t="s">
        <v>2561</v>
      </c>
      <c r="E772" s="706" t="s">
        <v>333</v>
      </c>
      <c r="F772" s="706" t="s">
        <v>1149</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905" t="str">
        <f t="shared" si="74"/>
        <v>G48700</v>
      </c>
      <c r="AK772" s="905" t="str">
        <f t="shared" si="75"/>
        <v>*ESCOMPTES DE VOLUME</v>
      </c>
      <c r="AL772" s="905">
        <f>IFERROR(INDEX(G772:R772,1,MATCH(Parametres!$B$3,G$1:R$1,0)-1)*IF(OR(F772="L",F772="S",F772="I"),-1,1),"")</f>
        <v>0</v>
      </c>
      <c r="AM772" s="905">
        <f t="shared" si="76"/>
        <v>0</v>
      </c>
      <c r="AN772" s="905">
        <f>INDEX(G772:R772,1,MATCH(Parametres!$B$3,G$1:R$1,0))*IF(OR(F772="L",F772="S",F772="I"),-1,1)</f>
        <v>0</v>
      </c>
      <c r="AO772" s="487" t="str">
        <f>+VLOOKUP($AJ772,Data_Validation!$A:$D,1,0)</f>
        <v>G48700</v>
      </c>
      <c r="AP772" s="487">
        <f>+VLOOKUP($AJ772,Data_Validation!$A:$D,3,0)</f>
        <v>0</v>
      </c>
      <c r="AQ772" s="487">
        <f>+VLOOKUP($AJ772,Data_Validation!$A:$D,4,0)</f>
        <v>0</v>
      </c>
      <c r="AR772" s="487" t="s">
        <v>299</v>
      </c>
      <c r="AS772" s="487">
        <f>+VLOOKUP($AJ772,Data_Validation!$A:$E,5,0)</f>
        <v>0</v>
      </c>
      <c r="AT772" s="904" t="str">
        <f t="shared" si="77"/>
        <v>G48700</v>
      </c>
      <c r="AU772" s="488" t="str">
        <f t="shared" si="78"/>
        <v>*ESCOMPTES DE VOLUME</v>
      </c>
      <c r="AV772" s="899">
        <f>IFERROR(INDEX(V772:AG772,1,MATCH(Parametres!$B$3,V$1:AG$1,0)-1)*IF(OR(C772="L",C772="S",C772="I"),-1,1),"")</f>
        <v>0</v>
      </c>
      <c r="AW772" s="899">
        <f t="shared" si="79"/>
        <v>0</v>
      </c>
      <c r="AX772" s="899">
        <f>INDEX(V772:AG772,1,MATCH(Parametres!$B$3,V$1:AG$1,0))*IF(OR(C772="L",C772="S",C772="I"),-1,1)</f>
        <v>0</v>
      </c>
      <c r="AY772" s="487" t="s">
        <v>337</v>
      </c>
      <c r="AZ772" s="487">
        <f>+VLOOKUP($AJ772,Data_Validation!$A:$E,5,0)</f>
        <v>0</v>
      </c>
    </row>
    <row r="773" spans="1:52" ht="15" hidden="1" customHeight="1">
      <c r="A773" s="706" t="s">
        <v>1148</v>
      </c>
      <c r="B773" s="706">
        <v>2026</v>
      </c>
      <c r="C773" s="706" t="s">
        <v>2562</v>
      </c>
      <c r="D773" s="706" t="s">
        <v>2563</v>
      </c>
      <c r="E773" s="706" t="s">
        <v>333</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G48800</v>
      </c>
      <c r="AK773" s="905" t="str">
        <f t="shared" si="75"/>
        <v>*RECTIFIC.STOCK PIECES</v>
      </c>
      <c r="AL773" s="905">
        <f>IFERROR(INDEX(G773:R773,1,MATCH(Parametres!$B$3,G$1:R$1,0)-1)*IF(OR(F773="L",F773="S",F773="I"),-1,1),"")</f>
        <v>0</v>
      </c>
      <c r="AM773" s="905">
        <f t="shared" si="76"/>
        <v>0</v>
      </c>
      <c r="AN773" s="905">
        <f>INDEX(G773:R773,1,MATCH(Parametres!$B$3,G$1:R$1,0))*IF(OR(F773="L",F773="S",F773="I"),-1,1)</f>
        <v>0</v>
      </c>
      <c r="AO773" s="487" t="str">
        <f>+VLOOKUP($AJ773,Data_Validation!$A:$D,1,0)</f>
        <v>G48800</v>
      </c>
      <c r="AP773" s="487">
        <f>+VLOOKUP($AJ773,Data_Validation!$A:$D,3,0)</f>
        <v>0</v>
      </c>
      <c r="AQ773" s="487">
        <f>+VLOOKUP($AJ773,Data_Validation!$A:$D,4,0)</f>
        <v>0</v>
      </c>
      <c r="AR773" s="487" t="s">
        <v>299</v>
      </c>
      <c r="AS773" s="487">
        <f>+VLOOKUP($AJ773,Data_Validation!$A:$E,5,0)</f>
        <v>0</v>
      </c>
      <c r="AT773" s="904" t="str">
        <f t="shared" si="77"/>
        <v>G48800</v>
      </c>
      <c r="AU773" s="488" t="str">
        <f t="shared" si="78"/>
        <v>*RECTIFIC.STOCK PIECES</v>
      </c>
      <c r="AV773" s="899">
        <f>IFERROR(INDEX(V773:AG773,1,MATCH(Parametres!$B$3,V$1:AG$1,0)-1)*IF(OR(C773="L",C773="S",C773="I"),-1,1),"")</f>
        <v>0</v>
      </c>
      <c r="AW773" s="899">
        <f t="shared" si="79"/>
        <v>0</v>
      </c>
      <c r="AX773" s="899">
        <f>INDEX(V773:AG773,1,MATCH(Parametres!$B$3,V$1:AG$1,0))*IF(OR(C773="L",C773="S",C773="I"),-1,1)</f>
        <v>0</v>
      </c>
      <c r="AY773" s="487" t="s">
        <v>337</v>
      </c>
      <c r="AZ773" s="487">
        <f>+VLOOKUP($AJ773,Data_Validation!$A:$E,5,0)</f>
        <v>0</v>
      </c>
    </row>
    <row r="774" spans="1:52" ht="15" hidden="1" customHeight="1">
      <c r="A774" s="706" t="s">
        <v>1148</v>
      </c>
      <c r="B774" s="706">
        <v>2026</v>
      </c>
      <c r="C774" s="706" t="s">
        <v>2564</v>
      </c>
      <c r="D774" s="706" t="s">
        <v>2565</v>
      </c>
      <c r="E774" s="706" t="s">
        <v>1151</v>
      </c>
      <c r="F774" s="706" t="s">
        <v>1149</v>
      </c>
      <c r="G774" s="706">
        <v>40036.18</v>
      </c>
      <c r="H774" s="706">
        <v>70738.16</v>
      </c>
      <c r="I774" s="706">
        <v>87648.34</v>
      </c>
      <c r="J774" s="706">
        <v>113298.18</v>
      </c>
      <c r="K774" s="706">
        <v>128407.36</v>
      </c>
      <c r="L774" s="706">
        <v>147040.26999999999</v>
      </c>
      <c r="M774" s="706">
        <v>159645.31</v>
      </c>
      <c r="N774" s="706">
        <v>178315.33</v>
      </c>
      <c r="O774" s="706">
        <v>183485.05</v>
      </c>
      <c r="P774" s="706">
        <v>0</v>
      </c>
      <c r="Q774" s="706">
        <v>0</v>
      </c>
      <c r="R774" s="706">
        <v>0</v>
      </c>
      <c r="S774" s="706">
        <v>22289.42</v>
      </c>
      <c r="T774" s="706">
        <v>22289.42</v>
      </c>
      <c r="U774" s="706">
        <v>0</v>
      </c>
      <c r="V774" s="706">
        <v>39</v>
      </c>
      <c r="W774" s="706">
        <v>72</v>
      </c>
      <c r="X774" s="706">
        <v>86</v>
      </c>
      <c r="Y774" s="706">
        <v>115</v>
      </c>
      <c r="Z774" s="706">
        <v>132</v>
      </c>
      <c r="AA774" s="706">
        <v>152</v>
      </c>
      <c r="AB774" s="706">
        <v>167</v>
      </c>
      <c r="AC774" s="706">
        <v>191</v>
      </c>
      <c r="AD774" s="706">
        <v>197</v>
      </c>
      <c r="AE774" s="706">
        <v>0</v>
      </c>
      <c r="AF774" s="706">
        <v>0</v>
      </c>
      <c r="AG774" s="706">
        <v>0</v>
      </c>
      <c r="AH774" s="706">
        <v>24</v>
      </c>
      <c r="AI774" s="706">
        <v>24</v>
      </c>
      <c r="AJ774" s="905" t="str">
        <f t="shared" si="74"/>
        <v>G49000</v>
      </c>
      <c r="AK774" s="905" t="str">
        <f t="shared" si="75"/>
        <v>VTES-DE PNEUS</v>
      </c>
      <c r="AL774" s="905">
        <f>IFERROR(INDEX(G774:R774,1,MATCH(Parametres!$B$3,G$1:R$1,0)-1)*IF(OR(F774="L",F774="S",F774="I"),-1,1),"")</f>
        <v>-159645.31</v>
      </c>
      <c r="AM774" s="905">
        <f t="shared" si="76"/>
        <v>-18670.01999999999</v>
      </c>
      <c r="AN774" s="905">
        <f>INDEX(G774:R774,1,MATCH(Parametres!$B$3,G$1:R$1,0))*IF(OR(F774="L",F774="S",F774="I"),-1,1)</f>
        <v>-178315.33</v>
      </c>
      <c r="AO774" s="487" t="str">
        <f>+VLOOKUP($AJ774,Data_Validation!$A:$D,1,0)</f>
        <v>G49000</v>
      </c>
      <c r="AP774" s="487" t="str">
        <f>+VLOOKUP($AJ774,Data_Validation!$A:$D,3,0)</f>
        <v>Pièces</v>
      </c>
      <c r="AQ774" s="487" t="str">
        <f>+VLOOKUP($AJ774,Data_Validation!$A:$D,4,0)</f>
        <v>Ventes Pneus</v>
      </c>
      <c r="AR774" s="487" t="s">
        <v>299</v>
      </c>
      <c r="AS774" s="487" t="str">
        <f>+VLOOKUP($AJ774,Data_Validation!$A:$E,5,0)</f>
        <v>Oui</v>
      </c>
      <c r="AT774" s="904" t="str">
        <f t="shared" si="77"/>
        <v>G49000</v>
      </c>
      <c r="AU774" s="488" t="str">
        <f t="shared" si="78"/>
        <v>VTES-DE PNEUS</v>
      </c>
      <c r="AV774" s="899">
        <f>IFERROR(INDEX(V774:AG774,1,MATCH(Parametres!$B$3,V$1:AG$1,0)-1)*IF(OR(C774="L",C774="S",C774="I"),-1,1),"")</f>
        <v>167</v>
      </c>
      <c r="AW774" s="899">
        <f t="shared" si="79"/>
        <v>24</v>
      </c>
      <c r="AX774" s="899">
        <f>INDEX(V774:AG774,1,MATCH(Parametres!$B$3,V$1:AG$1,0))*IF(OR(C774="L",C774="S",C774="I"),-1,1)</f>
        <v>191</v>
      </c>
      <c r="AY774" s="487" t="s">
        <v>337</v>
      </c>
      <c r="AZ774" s="487" t="str">
        <f>+VLOOKUP($AJ774,Data_Validation!$A:$E,5,0)</f>
        <v>Oui</v>
      </c>
    </row>
    <row r="775" spans="1:52" ht="15" hidden="1" customHeight="1">
      <c r="A775" s="706" t="s">
        <v>1148</v>
      </c>
      <c r="B775" s="706">
        <v>2026</v>
      </c>
      <c r="C775" s="706" t="s">
        <v>2566</v>
      </c>
      <c r="D775" s="706" t="s">
        <v>2567</v>
      </c>
      <c r="E775" s="706" t="s">
        <v>1151</v>
      </c>
      <c r="F775" s="706" t="s">
        <v>1149</v>
      </c>
      <c r="G775" s="706">
        <v>9627.3799999999992</v>
      </c>
      <c r="H775" s="706">
        <v>19499.64</v>
      </c>
      <c r="I775" s="706">
        <v>32785.910000000003</v>
      </c>
      <c r="J775" s="706">
        <v>44242.82</v>
      </c>
      <c r="K775" s="706">
        <v>55841.85</v>
      </c>
      <c r="L775" s="706">
        <v>70711.05</v>
      </c>
      <c r="M775" s="706">
        <v>83376.42</v>
      </c>
      <c r="N775" s="706">
        <v>96955.11</v>
      </c>
      <c r="O775" s="706">
        <v>97371.92</v>
      </c>
      <c r="P775" s="706">
        <v>0</v>
      </c>
      <c r="Q775" s="706">
        <v>0</v>
      </c>
      <c r="R775" s="706">
        <v>0</v>
      </c>
      <c r="S775" s="706">
        <v>12119.39</v>
      </c>
      <c r="T775" s="706">
        <v>12119.39</v>
      </c>
      <c r="U775" s="706">
        <v>0</v>
      </c>
      <c r="V775" s="706">
        <v>140</v>
      </c>
      <c r="W775" s="706">
        <v>273</v>
      </c>
      <c r="X775" s="706">
        <v>453</v>
      </c>
      <c r="Y775" s="706">
        <v>656</v>
      </c>
      <c r="Z775" s="706">
        <v>845</v>
      </c>
      <c r="AA775" s="706">
        <v>1067</v>
      </c>
      <c r="AB775" s="706">
        <v>1243</v>
      </c>
      <c r="AC775" s="706">
        <v>1440</v>
      </c>
      <c r="AD775" s="706">
        <v>1448</v>
      </c>
      <c r="AE775" s="706">
        <v>0</v>
      </c>
      <c r="AF775" s="706">
        <v>0</v>
      </c>
      <c r="AG775" s="706">
        <v>0</v>
      </c>
      <c r="AH775" s="706">
        <v>180</v>
      </c>
      <c r="AI775" s="706">
        <v>180</v>
      </c>
      <c r="AJ775" s="905" t="str">
        <f t="shared" si="74"/>
        <v>G49100</v>
      </c>
      <c r="AK775" s="905" t="str">
        <f t="shared" si="75"/>
        <v>VTES-HUILES &amp; GRAISSE</v>
      </c>
      <c r="AL775" s="905">
        <f>IFERROR(INDEX(G775:R775,1,MATCH(Parametres!$B$3,G$1:R$1,0)-1)*IF(OR(F775="L",F775="S",F775="I"),-1,1),"")</f>
        <v>-83376.42</v>
      </c>
      <c r="AM775" s="905">
        <f t="shared" si="76"/>
        <v>-13578.690000000002</v>
      </c>
      <c r="AN775" s="905">
        <f>INDEX(G775:R775,1,MATCH(Parametres!$B$3,G$1:R$1,0))*IF(OR(F775="L",F775="S",F775="I"),-1,1)</f>
        <v>-96955.11</v>
      </c>
      <c r="AO775" s="487" t="str">
        <f>+VLOOKUP($AJ775,Data_Validation!$A:$D,1,0)</f>
        <v>G49100</v>
      </c>
      <c r="AP775" s="487" t="str">
        <f>+VLOOKUP($AJ775,Data_Validation!$A:$D,3,0)</f>
        <v>Pièces</v>
      </c>
      <c r="AQ775" s="487" t="str">
        <f>+VLOOKUP($AJ775,Data_Validation!$A:$D,4,0)</f>
        <v>Huiles et Graisse</v>
      </c>
      <c r="AR775" s="487" t="s">
        <v>299</v>
      </c>
      <c r="AS775" s="487" t="str">
        <f>+VLOOKUP($AJ775,Data_Validation!$A:$E,5,0)</f>
        <v>Oui</v>
      </c>
      <c r="AT775" s="904" t="str">
        <f t="shared" si="77"/>
        <v>G49100</v>
      </c>
      <c r="AU775" s="488" t="str">
        <f t="shared" si="78"/>
        <v>VTES-HUILES &amp; GRAISSE</v>
      </c>
      <c r="AV775" s="899">
        <f>IFERROR(INDEX(V775:AG775,1,MATCH(Parametres!$B$3,V$1:AG$1,0)-1)*IF(OR(C775="L",C775="S",C775="I"),-1,1),"")</f>
        <v>1243</v>
      </c>
      <c r="AW775" s="899">
        <f t="shared" si="79"/>
        <v>197</v>
      </c>
      <c r="AX775" s="899">
        <f>INDEX(V775:AG775,1,MATCH(Parametres!$B$3,V$1:AG$1,0))*IF(OR(C775="L",C775="S",C775="I"),-1,1)</f>
        <v>1440</v>
      </c>
      <c r="AY775" s="487" t="s">
        <v>337</v>
      </c>
      <c r="AZ775" s="487" t="str">
        <f>+VLOOKUP($AJ775,Data_Validation!$A:$E,5,0)</f>
        <v>Oui</v>
      </c>
    </row>
    <row r="776" spans="1:52" ht="15" hidden="1" customHeight="1">
      <c r="A776" s="706" t="s">
        <v>1148</v>
      </c>
      <c r="B776" s="706">
        <v>2026</v>
      </c>
      <c r="C776" s="706" t="s">
        <v>2568</v>
      </c>
      <c r="D776" s="706" t="s">
        <v>2569</v>
      </c>
      <c r="E776" s="706" t="s">
        <v>333</v>
      </c>
      <c r="F776" s="706" t="s">
        <v>1150</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G50210</v>
      </c>
      <c r="AK776" s="905" t="str">
        <f t="shared" si="75"/>
        <v>REVENUS LOCATION SERVICE</v>
      </c>
      <c r="AL776" s="905">
        <f>IFERROR(INDEX(G776:R776,1,MATCH(Parametres!$B$3,G$1:R$1,0)-1)*IF(OR(F776="L",F776="S",F776="I"),-1,1),"")</f>
        <v>0</v>
      </c>
      <c r="AM776" s="905">
        <f t="shared" si="76"/>
        <v>0</v>
      </c>
      <c r="AN776" s="905">
        <f>INDEX(G776:R776,1,MATCH(Parametres!$B$3,G$1:R$1,0))*IF(OR(F776="L",F776="S",F776="I"),-1,1)</f>
        <v>0</v>
      </c>
      <c r="AO776" s="487" t="str">
        <f>+VLOOKUP($AJ776,Data_Validation!$A:$D,1,0)</f>
        <v>G50210</v>
      </c>
      <c r="AP776" s="487" t="str">
        <f>+VLOOKUP($AJ776,Data_Validation!$A:$D,3,0)</f>
        <v>Service</v>
      </c>
      <c r="AQ776" s="487" t="str">
        <f>+VLOOKUP($AJ776,Data_Validation!$A:$D,4,0)</f>
        <v>Frais véhicules de cie</v>
      </c>
      <c r="AR776" s="487" t="s">
        <v>299</v>
      </c>
      <c r="AS776" s="487">
        <f>+VLOOKUP($AJ776,Data_Validation!$A:$E,5,0)</f>
        <v>0</v>
      </c>
      <c r="AT776" s="904" t="str">
        <f t="shared" si="77"/>
        <v>G50210</v>
      </c>
      <c r="AU776" s="488" t="str">
        <f t="shared" si="78"/>
        <v>REVENUS LOCATION SERVICE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hidden="1" customHeight="1">
      <c r="A777" s="706" t="s">
        <v>1148</v>
      </c>
      <c r="B777" s="706">
        <v>2026</v>
      </c>
      <c r="C777" s="706" t="s">
        <v>2570</v>
      </c>
      <c r="D777" s="706" t="s">
        <v>2571</v>
      </c>
      <c r="E777" s="706" t="s">
        <v>333</v>
      </c>
      <c r="F777" s="706" t="s">
        <v>1150</v>
      </c>
      <c r="G777" s="706">
        <v>0</v>
      </c>
      <c r="H777" s="706">
        <v>-3076.58</v>
      </c>
      <c r="I777" s="706">
        <v>-3310.58</v>
      </c>
      <c r="J777" s="706">
        <v>-4666.43</v>
      </c>
      <c r="K777" s="706">
        <v>-5040.79</v>
      </c>
      <c r="L777" s="706">
        <v>-5092.79</v>
      </c>
      <c r="M777" s="706">
        <v>-5092.79</v>
      </c>
      <c r="N777" s="706">
        <v>-7877.55</v>
      </c>
      <c r="O777" s="706">
        <v>-7877.55</v>
      </c>
      <c r="P777" s="706">
        <v>0</v>
      </c>
      <c r="Q777" s="706">
        <v>0</v>
      </c>
      <c r="R777" s="706">
        <v>0</v>
      </c>
      <c r="S777" s="706">
        <v>-984.69</v>
      </c>
      <c r="T777" s="706">
        <v>-984.69</v>
      </c>
      <c r="U777" s="706">
        <v>0</v>
      </c>
      <c r="V777" s="706">
        <v>0</v>
      </c>
      <c r="W777" s="706">
        <v>-4</v>
      </c>
      <c r="X777" s="706">
        <v>-5</v>
      </c>
      <c r="Y777" s="706">
        <v>-6</v>
      </c>
      <c r="Z777" s="706">
        <v>-7</v>
      </c>
      <c r="AA777" s="706">
        <v>-8</v>
      </c>
      <c r="AB777" s="706">
        <v>-8</v>
      </c>
      <c r="AC777" s="706">
        <v>-10</v>
      </c>
      <c r="AD777" s="706">
        <v>-10</v>
      </c>
      <c r="AE777" s="706">
        <v>0</v>
      </c>
      <c r="AF777" s="706">
        <v>0</v>
      </c>
      <c r="AG777" s="706">
        <v>0</v>
      </c>
      <c r="AH777" s="706">
        <v>-1</v>
      </c>
      <c r="AI777" s="706">
        <v>-1</v>
      </c>
      <c r="AJ777" s="905" t="str">
        <f t="shared" si="74"/>
        <v>G50220</v>
      </c>
      <c r="AK777" s="905" t="str">
        <f t="shared" si="75"/>
        <v>REVENUS LOCATION BODY</v>
      </c>
      <c r="AL777" s="905">
        <f>IFERROR(INDEX(G777:R777,1,MATCH(Parametres!$B$3,G$1:R$1,0)-1)*IF(OR(F777="L",F777="S",F777="I"),-1,1),"")</f>
        <v>5092.79</v>
      </c>
      <c r="AM777" s="905">
        <f t="shared" si="76"/>
        <v>2784.76</v>
      </c>
      <c r="AN777" s="905">
        <f>INDEX(G777:R777,1,MATCH(Parametres!$B$3,G$1:R$1,0))*IF(OR(F777="L",F777="S",F777="I"),-1,1)</f>
        <v>7877.55</v>
      </c>
      <c r="AO777" s="487" t="str">
        <f>+VLOOKUP($AJ777,Data_Validation!$A:$D,1,0)</f>
        <v>G50220</v>
      </c>
      <c r="AP777" s="487" t="str">
        <f>+VLOOKUP($AJ777,Data_Validation!$A:$D,3,0)</f>
        <v>Carrosserie</v>
      </c>
      <c r="AQ777" s="487" t="str">
        <f>+VLOOKUP($AJ777,Data_Validation!$A:$D,4,0)</f>
        <v>Frais véhicules de cie</v>
      </c>
      <c r="AR777" s="487" t="s">
        <v>299</v>
      </c>
      <c r="AS777" s="487">
        <f>+VLOOKUP($AJ777,Data_Validation!$A:$E,5,0)</f>
        <v>0</v>
      </c>
      <c r="AT777" s="904" t="str">
        <f t="shared" si="77"/>
        <v>G50220</v>
      </c>
      <c r="AU777" s="488" t="str">
        <f t="shared" si="78"/>
        <v>REVENUS LOCATION BODY</v>
      </c>
      <c r="AV777" s="899">
        <f>IFERROR(INDEX(V777:AG777,1,MATCH(Parametres!$B$3,V$1:AG$1,0)-1)*IF(OR(C777="L",C777="S",C777="I"),-1,1),"")</f>
        <v>-8</v>
      </c>
      <c r="AW777" s="899">
        <f t="shared" si="79"/>
        <v>-2</v>
      </c>
      <c r="AX777" s="899">
        <f>INDEX(V777:AG777,1,MATCH(Parametres!$B$3,V$1:AG$1,0))*IF(OR(C777="L",C777="S",C777="I"),-1,1)</f>
        <v>-10</v>
      </c>
      <c r="AY777" s="487" t="s">
        <v>337</v>
      </c>
      <c r="AZ777" s="487">
        <f>+VLOOKUP($AJ777,Data_Validation!$A:$E,5,0)</f>
        <v>0</v>
      </c>
    </row>
    <row r="778" spans="1:52" ht="15" hidden="1" customHeight="1">
      <c r="A778" s="706" t="s">
        <v>1148</v>
      </c>
      <c r="B778" s="706">
        <v>2026</v>
      </c>
      <c r="C778" s="706" t="s">
        <v>2572</v>
      </c>
      <c r="D778" s="706" t="s">
        <v>2573</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G511</v>
      </c>
      <c r="AK778" s="905" t="str">
        <f t="shared" si="75"/>
        <v>PMNT PER. LOC.BAIL-SIMPLE</v>
      </c>
      <c r="AL778" s="905">
        <f>IFERROR(INDEX(G778:R778,1,MATCH(Parametres!$B$3,G$1:R$1,0)-1)*IF(OR(F778="L",F778="S",F778="I"),-1,1),"")</f>
        <v>0</v>
      </c>
      <c r="AM778" s="905">
        <f t="shared" si="76"/>
        <v>0</v>
      </c>
      <c r="AN778" s="905">
        <f>INDEX(G778:R778,1,MATCH(Parametres!$B$3,G$1:R$1,0))*IF(OR(F778="L",F778="S",F778="I"),-1,1)</f>
        <v>0</v>
      </c>
      <c r="AO778" s="487" t="e">
        <f>+VLOOKUP($AJ778,Data_Validation!$A:$D,1,0)</f>
        <v>#N/A</v>
      </c>
      <c r="AP778" s="487" t="e">
        <f>+VLOOKUP($AJ778,Data_Validation!$A:$D,3,0)</f>
        <v>#N/A</v>
      </c>
      <c r="AQ778" s="487" t="e">
        <f>+VLOOKUP($AJ778,Data_Validation!$A:$D,4,0)</f>
        <v>#N/A</v>
      </c>
      <c r="AR778" s="487" t="s">
        <v>299</v>
      </c>
      <c r="AS778" s="487" t="e">
        <f>+VLOOKUP($AJ778,Data_Validation!$A:$E,5,0)</f>
        <v>#N/A</v>
      </c>
      <c r="AT778" s="904" t="str">
        <f t="shared" si="77"/>
        <v>G511</v>
      </c>
      <c r="AU778" s="488" t="str">
        <f t="shared" si="78"/>
        <v>PMNT PER. LOC.BAIL-SIMPLE</v>
      </c>
      <c r="AV778" s="899">
        <f>IFERROR(INDEX(V778:AG778,1,MATCH(Parametres!$B$3,V$1:AG$1,0)-1)*IF(OR(C778="L",C778="S",C778="I"),-1,1),"")</f>
        <v>0</v>
      </c>
      <c r="AW778" s="899">
        <f t="shared" si="79"/>
        <v>0</v>
      </c>
      <c r="AX778" s="899">
        <f>INDEX(V778:AG778,1,MATCH(Parametres!$B$3,V$1:AG$1,0))*IF(OR(C778="L",C778="S",C778="I"),-1,1)</f>
        <v>0</v>
      </c>
      <c r="AY778" s="487" t="s">
        <v>337</v>
      </c>
      <c r="AZ778" s="487" t="e">
        <f>+VLOOKUP($AJ778,Data_Validation!$A:$E,5,0)</f>
        <v>#N/A</v>
      </c>
    </row>
    <row r="779" spans="1:52" ht="15" hidden="1" customHeight="1">
      <c r="A779" s="706" t="s">
        <v>1148</v>
      </c>
      <c r="B779" s="706">
        <v>2026</v>
      </c>
      <c r="C779" s="706" t="s">
        <v>2574</v>
      </c>
      <c r="D779" s="706" t="s">
        <v>2575</v>
      </c>
      <c r="E779" s="706" t="s">
        <v>333</v>
      </c>
      <c r="F779" s="706" t="s">
        <v>1150</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G512</v>
      </c>
      <c r="AK779" s="905" t="str">
        <f t="shared" si="75"/>
        <v>REVENU ENTRETIEN  -SIMPLE</v>
      </c>
      <c r="AL779" s="905">
        <f>IFERROR(INDEX(G779:R779,1,MATCH(Parametres!$B$3,G$1:R$1,0)-1)*IF(OR(F779="L",F779="S",F779="I"),-1,1),"")</f>
        <v>0</v>
      </c>
      <c r="AM779" s="905">
        <f t="shared" si="76"/>
        <v>0</v>
      </c>
      <c r="AN779" s="905">
        <f>INDEX(G779:R779,1,MATCH(Parametres!$B$3,G$1:R$1,0))*IF(OR(F779="L",F779="S",F779="I"),-1,1)</f>
        <v>0</v>
      </c>
      <c r="AO779" s="487" t="e">
        <f>+VLOOKUP($AJ779,Data_Validation!$A:$D,1,0)</f>
        <v>#N/A</v>
      </c>
      <c r="AP779" s="487" t="e">
        <f>+VLOOKUP($AJ779,Data_Validation!$A:$D,3,0)</f>
        <v>#N/A</v>
      </c>
      <c r="AQ779" s="487" t="e">
        <f>+VLOOKUP($AJ779,Data_Validation!$A:$D,4,0)</f>
        <v>#N/A</v>
      </c>
      <c r="AR779" s="487" t="s">
        <v>299</v>
      </c>
      <c r="AS779" s="487" t="e">
        <f>+VLOOKUP($AJ779,Data_Validation!$A:$E,5,0)</f>
        <v>#N/A</v>
      </c>
      <c r="AT779" s="904" t="str">
        <f t="shared" si="77"/>
        <v>G512</v>
      </c>
      <c r="AU779" s="488" t="str">
        <f t="shared" si="78"/>
        <v>REVENU ENTRETIEN  -SIMPLE</v>
      </c>
      <c r="AV779" s="899">
        <f>IFERROR(INDEX(V779:AG779,1,MATCH(Parametres!$B$3,V$1:AG$1,0)-1)*IF(OR(C779="L",C779="S",C779="I"),-1,1),"")</f>
        <v>0</v>
      </c>
      <c r="AW779" s="899">
        <f t="shared" si="79"/>
        <v>0</v>
      </c>
      <c r="AX779" s="899">
        <f>INDEX(V779:AG779,1,MATCH(Parametres!$B$3,V$1:AG$1,0))*IF(OR(C779="L",C779="S",C779="I"),-1,1)</f>
        <v>0</v>
      </c>
      <c r="AY779" s="487" t="s">
        <v>337</v>
      </c>
      <c r="AZ779" s="487" t="e">
        <f>+VLOOKUP($AJ779,Data_Validation!$A:$E,5,0)</f>
        <v>#N/A</v>
      </c>
    </row>
    <row r="780" spans="1:52" ht="15" hidden="1" customHeight="1">
      <c r="A780" s="706" t="s">
        <v>1148</v>
      </c>
      <c r="B780" s="706">
        <v>2026</v>
      </c>
      <c r="C780" s="706" t="s">
        <v>2576</v>
      </c>
      <c r="D780" s="706" t="s">
        <v>2577</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G513</v>
      </c>
      <c r="AK780" s="905" t="str">
        <f t="shared" si="75"/>
        <v>REV.PARTIEL MOIS  -SIMPLE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G513</v>
      </c>
      <c r="AU780" s="488" t="str">
        <f t="shared" si="78"/>
        <v>REV.PARTIEL MOIS  -SIMPLE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hidden="1" customHeight="1">
      <c r="A781" s="706" t="s">
        <v>1148</v>
      </c>
      <c r="B781" s="706">
        <v>2026</v>
      </c>
      <c r="C781" s="706" t="s">
        <v>2578</v>
      </c>
      <c r="D781" s="706" t="s">
        <v>2579</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G514</v>
      </c>
      <c r="AK781" s="905" t="str">
        <f t="shared" si="75"/>
        <v>FRAIS PMNT TARDIF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G514</v>
      </c>
      <c r="AU781" s="488" t="str">
        <f t="shared" si="78"/>
        <v>FRAIS PMNT TARDIF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hidden="1" customHeight="1">
      <c r="A782" s="706" t="s">
        <v>1148</v>
      </c>
      <c r="B782" s="706">
        <v>2026</v>
      </c>
      <c r="C782" s="706" t="s">
        <v>2580</v>
      </c>
      <c r="D782" s="706" t="s">
        <v>2581</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G516</v>
      </c>
      <c r="AK782" s="905" t="str">
        <f t="shared" si="75"/>
        <v>FRAIS ADMINIST.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G516</v>
      </c>
      <c r="AU782" s="488" t="str">
        <f t="shared" si="78"/>
        <v>FRAIS ADMINIST.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hidden="1" customHeight="1">
      <c r="A783" s="706" t="s">
        <v>1148</v>
      </c>
      <c r="B783" s="706">
        <v>2026</v>
      </c>
      <c r="C783" s="706" t="s">
        <v>2582</v>
      </c>
      <c r="D783" s="706" t="s">
        <v>2583</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G517</v>
      </c>
      <c r="AK783" s="905" t="str">
        <f t="shared" si="75"/>
        <v>AUTRES REV.LOCAT.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G517</v>
      </c>
      <c r="AU783" s="488" t="str">
        <f t="shared" si="78"/>
        <v>AUTRES REV.LOCAT.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hidden="1" customHeight="1">
      <c r="A784" s="706" t="s">
        <v>1148</v>
      </c>
      <c r="B784" s="706">
        <v>2026</v>
      </c>
      <c r="C784" s="706" t="s">
        <v>2584</v>
      </c>
      <c r="D784" s="706" t="s">
        <v>2585</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G521</v>
      </c>
      <c r="AK784" s="905" t="str">
        <f t="shared" si="75"/>
        <v>PMNT PER. LOC.BAIL-ALEATO</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G521</v>
      </c>
      <c r="AU784" s="488" t="str">
        <f t="shared" si="78"/>
        <v>PMNT PER. LOC.BAIL-ALEATO</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hidden="1" customHeight="1">
      <c r="A785" s="706" t="s">
        <v>1148</v>
      </c>
      <c r="B785" s="706">
        <v>2026</v>
      </c>
      <c r="C785" s="706" t="s">
        <v>2586</v>
      </c>
      <c r="D785" s="706" t="s">
        <v>2587</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G522</v>
      </c>
      <c r="AK785" s="905" t="str">
        <f t="shared" si="75"/>
        <v>REVENU ENTRETIEN  -ALEATO</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G522</v>
      </c>
      <c r="AU785" s="488" t="str">
        <f t="shared" si="78"/>
        <v>REVENU ENTRETIEN  -ALEATO</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hidden="1" customHeight="1">
      <c r="A786" s="706" t="s">
        <v>1148</v>
      </c>
      <c r="B786" s="706">
        <v>2026</v>
      </c>
      <c r="C786" s="706" t="s">
        <v>2588</v>
      </c>
      <c r="D786" s="706" t="s">
        <v>2589</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G523</v>
      </c>
      <c r="AK786" s="905" t="str">
        <f t="shared" si="75"/>
        <v>REV.PARTIEL MOIS  -ALEATO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G523</v>
      </c>
      <c r="AU786" s="488" t="str">
        <f t="shared" si="78"/>
        <v>REV.PARTIEL MOIS  -ALEATO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hidden="1" customHeight="1">
      <c r="A787" s="706" t="s">
        <v>1148</v>
      </c>
      <c r="B787" s="706">
        <v>2026</v>
      </c>
      <c r="C787" s="706" t="s">
        <v>2590</v>
      </c>
      <c r="D787" s="706" t="s">
        <v>2591</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G524</v>
      </c>
      <c r="AK787" s="905" t="str">
        <f t="shared" si="75"/>
        <v>FRAIS PMNT TARDIF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G524</v>
      </c>
      <c r="AU787" s="488" t="str">
        <f t="shared" si="78"/>
        <v>FRAIS PMNT TARDIF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hidden="1" customHeight="1">
      <c r="A788" s="706" t="s">
        <v>1148</v>
      </c>
      <c r="B788" s="706">
        <v>2026</v>
      </c>
      <c r="C788" s="706" t="s">
        <v>2592</v>
      </c>
      <c r="D788" s="706" t="s">
        <v>2593</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G526</v>
      </c>
      <c r="AK788" s="905" t="str">
        <f t="shared" si="75"/>
        <v>FRAIS ADMINIST.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G526</v>
      </c>
      <c r="AU788" s="488" t="str">
        <f t="shared" si="78"/>
        <v>FRAIS ADMINIST.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hidden="1" customHeight="1">
      <c r="A789" s="706" t="s">
        <v>1148</v>
      </c>
      <c r="B789" s="706">
        <v>2026</v>
      </c>
      <c r="C789" s="706" t="s">
        <v>2594</v>
      </c>
      <c r="D789" s="706" t="s">
        <v>2595</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G527</v>
      </c>
      <c r="AK789" s="905" t="str">
        <f t="shared" si="75"/>
        <v>AUTRES REV.LOCAT.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G527</v>
      </c>
      <c r="AU789" s="488" t="str">
        <f t="shared" si="78"/>
        <v>AUTRES REV.LOCAT.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hidden="1" customHeight="1">
      <c r="A790" s="706" t="s">
        <v>1148</v>
      </c>
      <c r="B790" s="706">
        <v>2026</v>
      </c>
      <c r="C790" s="706" t="s">
        <v>2596</v>
      </c>
      <c r="D790" s="706" t="s">
        <v>2597</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G53000</v>
      </c>
      <c r="AK790" s="905" t="str">
        <f t="shared" si="75"/>
        <v>PRIX VTE VEHICULES CEDES</v>
      </c>
      <c r="AL790" s="905">
        <f>IFERROR(INDEX(G790:R790,1,MATCH(Parametres!$B$3,G$1:R$1,0)-1)*IF(OR(F790="L",F790="S",F790="I"),-1,1),"")</f>
        <v>0</v>
      </c>
      <c r="AM790" s="905">
        <f t="shared" si="76"/>
        <v>0</v>
      </c>
      <c r="AN790" s="905">
        <f>INDEX(G790:R790,1,MATCH(Parametres!$B$3,G$1:R$1,0))*IF(OR(F790="L",F790="S",F790="I"),-1,1)</f>
        <v>0</v>
      </c>
      <c r="AO790" s="487" t="str">
        <f>+VLOOKUP($AJ790,Data_Validation!$A:$D,1,0)</f>
        <v>G53000</v>
      </c>
      <c r="AP790" s="487">
        <f>+VLOOKUP($AJ790,Data_Validation!$A:$D,3,0)</f>
        <v>0</v>
      </c>
      <c r="AQ790" s="487">
        <f>+VLOOKUP($AJ790,Data_Validation!$A:$D,4,0)</f>
        <v>0</v>
      </c>
      <c r="AR790" s="487" t="s">
        <v>299</v>
      </c>
      <c r="AS790" s="487">
        <f>+VLOOKUP($AJ790,Data_Validation!$A:$E,5,0)</f>
        <v>0</v>
      </c>
      <c r="AT790" s="904" t="str">
        <f t="shared" si="77"/>
        <v>G53000</v>
      </c>
      <c r="AU790" s="488" t="str">
        <f t="shared" si="78"/>
        <v>PRIX VTE VEHICULES CEDES</v>
      </c>
      <c r="AV790" s="899">
        <f>IFERROR(INDEX(V790:AG790,1,MATCH(Parametres!$B$3,V$1:AG$1,0)-1)*IF(OR(C790="L",C790="S",C790="I"),-1,1),"")</f>
        <v>0</v>
      </c>
      <c r="AW790" s="899">
        <f t="shared" si="79"/>
        <v>0</v>
      </c>
      <c r="AX790" s="899">
        <f>INDEX(V790:AG790,1,MATCH(Parametres!$B$3,V$1:AG$1,0))*IF(OR(C790="L",C790="S",C790="I"),-1,1)</f>
        <v>0</v>
      </c>
      <c r="AY790" s="487" t="s">
        <v>337</v>
      </c>
      <c r="AZ790" s="487">
        <f>+VLOOKUP($AJ790,Data_Validation!$A:$E,5,0)</f>
        <v>0</v>
      </c>
    </row>
    <row r="791" spans="1:52" ht="15" hidden="1" customHeight="1">
      <c r="A791" s="706" t="s">
        <v>1148</v>
      </c>
      <c r="B791" s="706">
        <v>2026</v>
      </c>
      <c r="C791" s="706" t="s">
        <v>2598</v>
      </c>
      <c r="D791" s="706" t="s">
        <v>2599</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G534</v>
      </c>
      <c r="AK791" s="905" t="str">
        <f t="shared" si="75"/>
        <v>FRAIS PMNT TARDIF    -C/T</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G534</v>
      </c>
      <c r="AU791" s="488" t="str">
        <f t="shared" si="78"/>
        <v>FRAIS PMNT TARDIF    -C/T</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hidden="1" customHeight="1">
      <c r="A792" s="706" t="s">
        <v>1148</v>
      </c>
      <c r="B792" s="706">
        <v>2026</v>
      </c>
      <c r="C792" s="706" t="s">
        <v>2600</v>
      </c>
      <c r="D792" s="706" t="s">
        <v>2601</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G535</v>
      </c>
      <c r="AK792" s="905" t="str">
        <f t="shared" ref="AK792:AK855" si="81">D792</f>
        <v>REV.LOCATION C/T     -C/T</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G535</v>
      </c>
      <c r="AU792" s="488" t="str">
        <f t="shared" ref="AU792:AU855" si="84">D792</f>
        <v>REV.LOCATION C/T     -C/T</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hidden="1" customHeight="1">
      <c r="A793" s="706" t="s">
        <v>1148</v>
      </c>
      <c r="B793" s="706">
        <v>2026</v>
      </c>
      <c r="C793" s="706" t="s">
        <v>2602</v>
      </c>
      <c r="D793" s="706" t="s">
        <v>2603</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G53500</v>
      </c>
      <c r="AK793" s="905" t="str">
        <f t="shared" si="81"/>
        <v>REVENUS LOCATION C/TERME</v>
      </c>
      <c r="AL793" s="905">
        <f>IFERROR(INDEX(G793:R793,1,MATCH(Parametres!$B$3,G$1:R$1,0)-1)*IF(OR(F793="L",F793="S",F793="I"),-1,1),"")</f>
        <v>0</v>
      </c>
      <c r="AM793" s="905">
        <f t="shared" si="82"/>
        <v>0</v>
      </c>
      <c r="AN793" s="905">
        <f>INDEX(G793:R793,1,MATCH(Parametres!$B$3,G$1:R$1,0))*IF(OR(F793="L",F793="S",F793="I"),-1,1)</f>
        <v>0</v>
      </c>
      <c r="AO793" s="487" t="str">
        <f>+VLOOKUP($AJ793,Data_Validation!$A:$D,1,0)</f>
        <v>G53500</v>
      </c>
      <c r="AP793" s="487">
        <f>+VLOOKUP($AJ793,Data_Validation!$A:$D,3,0)</f>
        <v>0</v>
      </c>
      <c r="AQ793" s="487">
        <f>+VLOOKUP($AJ793,Data_Validation!$A:$D,4,0)</f>
        <v>0</v>
      </c>
      <c r="AR793" s="487" t="s">
        <v>299</v>
      </c>
      <c r="AS793" s="487">
        <f>+VLOOKUP($AJ793,Data_Validation!$A:$E,5,0)</f>
        <v>0</v>
      </c>
      <c r="AT793" s="904" t="str">
        <f t="shared" si="83"/>
        <v>G53500</v>
      </c>
      <c r="AU793" s="488" t="str">
        <f t="shared" si="84"/>
        <v>REVENUS LOCATION C/TERME</v>
      </c>
      <c r="AV793" s="899">
        <f>IFERROR(INDEX(V793:AG793,1,MATCH(Parametres!$B$3,V$1:AG$1,0)-1)*IF(OR(C793="L",C793="S",C793="I"),-1,1),"")</f>
        <v>0</v>
      </c>
      <c r="AW793" s="899">
        <f t="shared" si="85"/>
        <v>0</v>
      </c>
      <c r="AX793" s="899">
        <f>INDEX(V793:AG793,1,MATCH(Parametres!$B$3,V$1:AG$1,0))*IF(OR(C793="L",C793="S",C793="I"),-1,1)</f>
        <v>0</v>
      </c>
      <c r="AY793" s="487" t="s">
        <v>337</v>
      </c>
      <c r="AZ793" s="487">
        <f>+VLOOKUP($AJ793,Data_Validation!$A:$E,5,0)</f>
        <v>0</v>
      </c>
    </row>
    <row r="794" spans="1:52" ht="15" hidden="1" customHeight="1">
      <c r="A794" s="706" t="s">
        <v>1148</v>
      </c>
      <c r="B794" s="706">
        <v>2026</v>
      </c>
      <c r="C794" s="706" t="s">
        <v>2604</v>
      </c>
      <c r="D794" s="706" t="s">
        <v>2605</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G536</v>
      </c>
      <c r="AK794" s="905" t="str">
        <f t="shared" si="81"/>
        <v>FRAIS ADMINIST.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G536</v>
      </c>
      <c r="AU794" s="488" t="str">
        <f t="shared" si="84"/>
        <v>FRAIS ADMINIST.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hidden="1" customHeight="1">
      <c r="A795" s="706" t="s">
        <v>1148</v>
      </c>
      <c r="B795" s="706">
        <v>2026</v>
      </c>
      <c r="C795" s="706" t="s">
        <v>2606</v>
      </c>
      <c r="D795" s="706" t="s">
        <v>2607</v>
      </c>
      <c r="E795" s="706" t="s">
        <v>333</v>
      </c>
      <c r="F795" s="706" t="s">
        <v>1149</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G541</v>
      </c>
      <c r="AK795" s="905" t="str">
        <f t="shared" si="81"/>
        <v>COMM.ENCAISSE/ASS LOC C&amp;L</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G541</v>
      </c>
      <c r="AU795" s="488" t="str">
        <f t="shared" si="84"/>
        <v>COMM.ENCAISSE/ASS LOC C&amp;L</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hidden="1" customHeight="1">
      <c r="A796" s="706" t="s">
        <v>1148</v>
      </c>
      <c r="B796" s="706">
        <v>2026</v>
      </c>
      <c r="C796" s="706" t="s">
        <v>2608</v>
      </c>
      <c r="D796" s="706" t="s">
        <v>2609</v>
      </c>
      <c r="E796" s="706" t="s">
        <v>333</v>
      </c>
      <c r="F796" s="706" t="s">
        <v>1152</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G541C</v>
      </c>
      <c r="AK796" s="905" t="str">
        <f t="shared" si="81"/>
        <v>*COMM.ENCAISSE/ASS.LOC</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G541C</v>
      </c>
      <c r="AU796" s="488" t="str">
        <f t="shared" si="84"/>
        <v>*COMM.ENCAISSE/ASS.LOC</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hidden="1" customHeight="1">
      <c r="A797" s="706" t="s">
        <v>1148</v>
      </c>
      <c r="B797" s="706">
        <v>2026</v>
      </c>
      <c r="C797" s="706" t="s">
        <v>2610</v>
      </c>
      <c r="D797" s="706" t="s">
        <v>2611</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G542</v>
      </c>
      <c r="AK797" s="905" t="str">
        <f t="shared" si="81"/>
        <v>ACCESSOIRES LOC C&amp;L TERME</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G542</v>
      </c>
      <c r="AU797" s="488" t="str">
        <f t="shared" si="84"/>
        <v>ACCESSOIRES LOC C&amp;L TERME</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hidden="1" customHeight="1">
      <c r="A798" s="706" t="s">
        <v>1148</v>
      </c>
      <c r="B798" s="706">
        <v>2026</v>
      </c>
      <c r="C798" s="706" t="s">
        <v>2612</v>
      </c>
      <c r="D798" s="706" t="s">
        <v>2611</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G542C</v>
      </c>
      <c r="AK798" s="905" t="str">
        <f t="shared" si="81"/>
        <v>ACCESSOIRES LOC C&amp;L TERME</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G542C</v>
      </c>
      <c r="AU798" s="488" t="str">
        <f t="shared" si="84"/>
        <v>ACCESSOIRES LOC C&amp;L TERME</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hidden="1" customHeight="1">
      <c r="A799" s="706" t="s">
        <v>1148</v>
      </c>
      <c r="B799" s="706">
        <v>2026</v>
      </c>
      <c r="C799" s="706" t="s">
        <v>2613</v>
      </c>
      <c r="D799" s="706" t="s">
        <v>2614</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G543</v>
      </c>
      <c r="AK799" s="905" t="str">
        <f t="shared" si="81"/>
        <v>PLAN PROT.GM LOC C&amp;L TERM</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G543</v>
      </c>
      <c r="AU799" s="488" t="str">
        <f t="shared" si="84"/>
        <v>PLAN PROT.GM LOC C&amp;L TERM</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hidden="1" customHeight="1">
      <c r="A800" s="706" t="s">
        <v>1148</v>
      </c>
      <c r="B800" s="706">
        <v>2026</v>
      </c>
      <c r="C800" s="706" t="s">
        <v>2615</v>
      </c>
      <c r="D800" s="706" t="s">
        <v>2614</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G543C</v>
      </c>
      <c r="AK800" s="905" t="str">
        <f t="shared" si="81"/>
        <v>PLAN PROT.GM LOC C&amp;L TERM</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G543C</v>
      </c>
      <c r="AU800" s="488" t="str">
        <f t="shared" si="84"/>
        <v>PLAN PROT.GM LOC C&amp;L TERM</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hidden="1" customHeight="1">
      <c r="A801" s="706" t="s">
        <v>1148</v>
      </c>
      <c r="B801" s="706">
        <v>2026</v>
      </c>
      <c r="C801" s="706" t="s">
        <v>2616</v>
      </c>
      <c r="D801" s="706" t="s">
        <v>2617</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G544</v>
      </c>
      <c r="AK801" s="905" t="str">
        <f t="shared" si="81"/>
        <v>AUTRES PLAN PROT. LOC C&amp;L</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G544</v>
      </c>
      <c r="AU801" s="488" t="str">
        <f t="shared" si="84"/>
        <v>AUTRES PLAN PROT. LOC C&amp;L</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hidden="1" customHeight="1">
      <c r="A802" s="706" t="s">
        <v>1148</v>
      </c>
      <c r="B802" s="706">
        <v>2026</v>
      </c>
      <c r="C802" s="706" t="s">
        <v>2618</v>
      </c>
      <c r="D802" s="706" t="s">
        <v>2619</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G544C</v>
      </c>
      <c r="AK802" s="905" t="str">
        <f t="shared" si="81"/>
        <v>AUTRES PLAN PROT.LOC C&amp;L</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G544C</v>
      </c>
      <c r="AU802" s="488" t="str">
        <f t="shared" si="84"/>
        <v>AUTRES PLAN PROT.LOC C&amp;L</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hidden="1" customHeight="1">
      <c r="A803" s="706" t="s">
        <v>1148</v>
      </c>
      <c r="B803" s="706">
        <v>2026</v>
      </c>
      <c r="C803" s="706" t="s">
        <v>2620</v>
      </c>
      <c r="D803" s="706" t="s">
        <v>2621</v>
      </c>
      <c r="E803" s="706" t="s">
        <v>1143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G60000</v>
      </c>
      <c r="AK803" s="905" t="str">
        <f t="shared" si="81"/>
        <v>COUT- VOLT</v>
      </c>
      <c r="AL803" s="905">
        <f>IFERROR(INDEX(G803:R803,1,MATCH(Parametres!$B$3,G$1:R$1,0)-1)*IF(OR(F803="L",F803="S",F803="I"),-1,1),"")</f>
        <v>0</v>
      </c>
      <c r="AM803" s="905">
        <f t="shared" si="82"/>
        <v>0</v>
      </c>
      <c r="AN803" s="905">
        <f>INDEX(G803:R803,1,MATCH(Parametres!$B$3,G$1:R$1,0))*IF(OR(F803="L",F803="S",F803="I"),-1,1)</f>
        <v>0</v>
      </c>
      <c r="AO803" s="487" t="str">
        <f>+VLOOKUP($AJ803,Data_Validation!$A:$D,1,0)</f>
        <v>G60000</v>
      </c>
      <c r="AP803" s="487" t="str">
        <f>+VLOOKUP($AJ803,Data_Validation!$A:$D,3,0)</f>
        <v>Véhicules neufs</v>
      </c>
      <c r="AQ803" s="487" t="str">
        <f>+VLOOKUP($AJ803,Data_Validation!$A:$D,4,0)</f>
        <v>Autos détail</v>
      </c>
      <c r="AR803" s="487" t="s">
        <v>299</v>
      </c>
      <c r="AS803" s="487">
        <f>+VLOOKUP($AJ803,Data_Validation!$A:$E,5,0)</f>
        <v>0</v>
      </c>
      <c r="AT803" s="904" t="str">
        <f t="shared" si="83"/>
        <v>G60000</v>
      </c>
      <c r="AU803" s="488" t="str">
        <f t="shared" si="84"/>
        <v>COUT- VOLT</v>
      </c>
      <c r="AV803" s="899">
        <f>IFERROR(INDEX(V803:AG803,1,MATCH(Parametres!$B$3,V$1:AG$1,0)-1)*IF(OR(C803="L",C803="S",C803="I"),-1,1),"")</f>
        <v>0</v>
      </c>
      <c r="AW803" s="899">
        <f t="shared" si="85"/>
        <v>0</v>
      </c>
      <c r="AX803" s="899">
        <f>INDEX(V803:AG803,1,MATCH(Parametres!$B$3,V$1:AG$1,0))*IF(OR(C803="L",C803="S",C803="I"),-1,1)</f>
        <v>0</v>
      </c>
      <c r="AY803" s="487" t="s">
        <v>337</v>
      </c>
      <c r="AZ803" s="487">
        <f>+VLOOKUP($AJ803,Data_Validation!$A:$E,5,0)</f>
        <v>0</v>
      </c>
    </row>
    <row r="804" spans="1:52" ht="15" hidden="1" customHeight="1">
      <c r="A804" s="706" t="s">
        <v>1148</v>
      </c>
      <c r="B804" s="706">
        <v>2026</v>
      </c>
      <c r="C804" s="706" t="s">
        <v>2622</v>
      </c>
      <c r="D804" s="706" t="s">
        <v>2623</v>
      </c>
      <c r="E804" s="706" t="s">
        <v>1143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G60004</v>
      </c>
      <c r="AK804" s="905" t="str">
        <f t="shared" si="81"/>
        <v>COUTANT BUICK REGAL</v>
      </c>
      <c r="AL804" s="905">
        <f>IFERROR(INDEX(G804:R804,1,MATCH(Parametres!$B$3,G$1:R$1,0)-1)*IF(OR(F804="L",F804="S",F804="I"),-1,1),"")</f>
        <v>0</v>
      </c>
      <c r="AM804" s="905">
        <f t="shared" si="82"/>
        <v>0</v>
      </c>
      <c r="AN804" s="905">
        <f>INDEX(G804:R804,1,MATCH(Parametres!$B$3,G$1:R$1,0))*IF(OR(F804="L",F804="S",F804="I"),-1,1)</f>
        <v>0</v>
      </c>
      <c r="AO804" s="487" t="str">
        <f>+VLOOKUP($AJ804,Data_Validation!$A:$D,1,0)</f>
        <v>G60004</v>
      </c>
      <c r="AP804" s="487" t="str">
        <f>+VLOOKUP($AJ804,Data_Validation!$A:$D,3,0)</f>
        <v>Véhicules neufs</v>
      </c>
      <c r="AQ804" s="487" t="str">
        <f>+VLOOKUP($AJ804,Data_Validation!$A:$D,4,0)</f>
        <v>Autos détail</v>
      </c>
      <c r="AR804" s="487" t="s">
        <v>299</v>
      </c>
      <c r="AS804" s="487">
        <f>+VLOOKUP($AJ804,Data_Validation!$A:$E,5,0)</f>
        <v>0</v>
      </c>
      <c r="AT804" s="904" t="str">
        <f t="shared" si="83"/>
        <v>G60004</v>
      </c>
      <c r="AU804" s="488" t="str">
        <f t="shared" si="84"/>
        <v>COUTANT BUICK REGAL</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hidden="1" customHeight="1">
      <c r="A805" s="706" t="s">
        <v>1148</v>
      </c>
      <c r="B805" s="706">
        <v>2026</v>
      </c>
      <c r="C805" s="706" t="s">
        <v>2624</v>
      </c>
      <c r="D805" s="706" t="s">
        <v>2625</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G60100</v>
      </c>
      <c r="AK805" s="905" t="str">
        <f t="shared" si="81"/>
        <v>COUTANT MALIBU</v>
      </c>
      <c r="AL805" s="905">
        <f>IFERROR(INDEX(G805:R805,1,MATCH(Parametres!$B$3,G$1:R$1,0)-1)*IF(OR(F805="L",F805="S",F805="I"),-1,1),"")</f>
        <v>0</v>
      </c>
      <c r="AM805" s="905">
        <f t="shared" si="82"/>
        <v>0</v>
      </c>
      <c r="AN805" s="905">
        <f>INDEX(G805:R805,1,MATCH(Parametres!$B$3,G$1:R$1,0))*IF(OR(F805="L",F805="S",F805="I"),-1,1)</f>
        <v>0</v>
      </c>
      <c r="AO805" s="487" t="str">
        <f>+VLOOKUP($AJ805,Data_Validation!$A:$D,1,0)</f>
        <v>G60100</v>
      </c>
      <c r="AP805" s="487" t="str">
        <f>+VLOOKUP($AJ805,Data_Validation!$A:$D,3,0)</f>
        <v>Véhicules neufs</v>
      </c>
      <c r="AQ805" s="487" t="str">
        <f>+VLOOKUP($AJ805,Data_Validation!$A:$D,4,0)</f>
        <v>Autos détail</v>
      </c>
      <c r="AR805" s="487" t="s">
        <v>299</v>
      </c>
      <c r="AS805" s="487">
        <f>+VLOOKUP($AJ805,Data_Validation!$A:$E,5,0)</f>
        <v>0</v>
      </c>
      <c r="AT805" s="904" t="str">
        <f t="shared" si="83"/>
        <v>G60100</v>
      </c>
      <c r="AU805" s="488" t="str">
        <f t="shared" si="84"/>
        <v>COUTANT MALIBU</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2626</v>
      </c>
      <c r="D806" s="706" t="s">
        <v>2627</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G60101</v>
      </c>
      <c r="AK806" s="905" t="str">
        <f t="shared" si="81"/>
        <v>COUTANT BUICK LACROSSE</v>
      </c>
      <c r="AL806" s="905">
        <f>IFERROR(INDEX(G806:R806,1,MATCH(Parametres!$B$3,G$1:R$1,0)-1)*IF(OR(F806="L",F806="S",F806="I"),-1,1),"")</f>
        <v>0</v>
      </c>
      <c r="AM806" s="905">
        <f t="shared" si="82"/>
        <v>0</v>
      </c>
      <c r="AN806" s="905">
        <f>INDEX(G806:R806,1,MATCH(Parametres!$B$3,G$1:R$1,0))*IF(OR(F806="L",F806="S",F806="I"),-1,1)</f>
        <v>0</v>
      </c>
      <c r="AO806" s="487" t="str">
        <f>+VLOOKUP($AJ806,Data_Validation!$A:$D,1,0)</f>
        <v>G60101</v>
      </c>
      <c r="AP806" s="487" t="str">
        <f>+VLOOKUP($AJ806,Data_Validation!$A:$D,3,0)</f>
        <v>Véhicules neufs</v>
      </c>
      <c r="AQ806" s="487" t="str">
        <f>+VLOOKUP($AJ806,Data_Validation!$A:$D,4,0)</f>
        <v>Autos détail</v>
      </c>
      <c r="AR806" s="487" t="s">
        <v>299</v>
      </c>
      <c r="AS806" s="487">
        <f>+VLOOKUP($AJ806,Data_Validation!$A:$E,5,0)</f>
        <v>0</v>
      </c>
      <c r="AT806" s="904" t="str">
        <f t="shared" si="83"/>
        <v>G60101</v>
      </c>
      <c r="AU806" s="488" t="str">
        <f t="shared" si="84"/>
        <v>COUTANT BUICK LACROSSE</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hidden="1" customHeight="1">
      <c r="A807" s="706" t="s">
        <v>1148</v>
      </c>
      <c r="B807" s="706">
        <v>2026</v>
      </c>
      <c r="C807" s="706" t="s">
        <v>2628</v>
      </c>
      <c r="D807" s="706" t="s">
        <v>2629</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G60120</v>
      </c>
      <c r="AK807" s="905" t="str">
        <f t="shared" si="81"/>
        <v>COUT-MALIBU          -LOC</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G60120</v>
      </c>
      <c r="AU807" s="488" t="str">
        <f t="shared" si="84"/>
        <v>COUT-MALIBU          -LOC</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2630</v>
      </c>
      <c r="D808" s="706" t="s">
        <v>2631</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G602</v>
      </c>
      <c r="AK808" s="905" t="str">
        <f t="shared" si="81"/>
        <v>COUT - GMC CANYON</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G602</v>
      </c>
      <c r="AU808" s="488" t="str">
        <f t="shared" si="84"/>
        <v>COUT - GMC CANYON</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2632</v>
      </c>
      <c r="D809" s="706" t="s">
        <v>2633</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G60200</v>
      </c>
      <c r="AK809" s="905" t="str">
        <f t="shared" si="81"/>
        <v>COUT-MALIBU MAXX</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G60200</v>
      </c>
      <c r="AU809" s="488" t="str">
        <f t="shared" si="84"/>
        <v>COUT-MALIBU MAXX</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2634</v>
      </c>
      <c r="D810" s="706" t="s">
        <v>2635</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G60201</v>
      </c>
      <c r="AK810" s="905" t="str">
        <f t="shared" si="81"/>
        <v>COUT - SONIC</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G60201</v>
      </c>
      <c r="AU810" s="488" t="str">
        <f t="shared" si="84"/>
        <v>COUT - SONIC</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2636</v>
      </c>
      <c r="D811" s="706" t="s">
        <v>2637</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G60204</v>
      </c>
      <c r="AK811" s="905" t="str">
        <f t="shared" si="81"/>
        <v>COUTANT-VERANO</v>
      </c>
      <c r="AL811" s="905">
        <f>IFERROR(INDEX(G811:R811,1,MATCH(Parametres!$B$3,G$1:R$1,0)-1)*IF(OR(F811="L",F811="S",F811="I"),-1,1),"")</f>
        <v>0</v>
      </c>
      <c r="AM811" s="905">
        <f t="shared" si="82"/>
        <v>0</v>
      </c>
      <c r="AN811" s="905">
        <f>INDEX(G811:R811,1,MATCH(Parametres!$B$3,G$1:R$1,0))*IF(OR(F811="L",F811="S",F811="I"),-1,1)</f>
        <v>0</v>
      </c>
      <c r="AO811" s="487" t="str">
        <f>+VLOOKUP($AJ811,Data_Validation!$A:$D,1,0)</f>
        <v>G60204</v>
      </c>
      <c r="AP811" s="487" t="str">
        <f>+VLOOKUP($AJ811,Data_Validation!$A:$D,3,0)</f>
        <v>Véhicules neufs</v>
      </c>
      <c r="AQ811" s="487" t="str">
        <f>+VLOOKUP($AJ811,Data_Validation!$A:$D,4,0)</f>
        <v>Autos détail</v>
      </c>
      <c r="AR811" s="487" t="s">
        <v>299</v>
      </c>
      <c r="AS811" s="487">
        <f>+VLOOKUP($AJ811,Data_Validation!$A:$E,5,0)</f>
        <v>0</v>
      </c>
      <c r="AT811" s="904" t="str">
        <f t="shared" si="83"/>
        <v>G60204</v>
      </c>
      <c r="AU811" s="488" t="str">
        <f t="shared" si="84"/>
        <v>COUTANT-VERANO</v>
      </c>
      <c r="AV811" s="899">
        <f>IFERROR(INDEX(V811:AG811,1,MATCH(Parametres!$B$3,V$1:AG$1,0)-1)*IF(OR(C811="L",C811="S",C811="I"),-1,1),"")</f>
        <v>0</v>
      </c>
      <c r="AW811" s="899">
        <f t="shared" si="85"/>
        <v>0</v>
      </c>
      <c r="AX811" s="899">
        <f>INDEX(V811:AG811,1,MATCH(Parametres!$B$3,V$1:AG$1,0))*IF(OR(C811="L",C811="S",C811="I"),-1,1)</f>
        <v>0</v>
      </c>
      <c r="AY811" s="487" t="s">
        <v>337</v>
      </c>
      <c r="AZ811" s="487">
        <f>+VLOOKUP($AJ811,Data_Validation!$A:$E,5,0)</f>
        <v>0</v>
      </c>
    </row>
    <row r="812" spans="1:52" ht="15" hidden="1" customHeight="1">
      <c r="A812" s="706" t="s">
        <v>1148</v>
      </c>
      <c r="B812" s="706">
        <v>2026</v>
      </c>
      <c r="C812" s="706" t="s">
        <v>2638</v>
      </c>
      <c r="D812" s="706" t="s">
        <v>2639</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G60300</v>
      </c>
      <c r="AK812" s="905" t="str">
        <f t="shared" si="81"/>
        <v>COUT-IMPALA</v>
      </c>
      <c r="AL812" s="905">
        <f>IFERROR(INDEX(G812:R812,1,MATCH(Parametres!$B$3,G$1:R$1,0)-1)*IF(OR(F812="L",F812="S",F812="I"),-1,1),"")</f>
        <v>0</v>
      </c>
      <c r="AM812" s="905">
        <f t="shared" si="82"/>
        <v>0</v>
      </c>
      <c r="AN812" s="905">
        <f>INDEX(G812:R812,1,MATCH(Parametres!$B$3,G$1:R$1,0))*IF(OR(F812="L",F812="S",F812="I"),-1,1)</f>
        <v>0</v>
      </c>
      <c r="AO812" s="487" t="str">
        <f>+VLOOKUP($AJ812,Data_Validation!$A:$D,1,0)</f>
        <v>G60300</v>
      </c>
      <c r="AP812" s="487" t="str">
        <f>+VLOOKUP($AJ812,Data_Validation!$A:$D,3,0)</f>
        <v>Véhicules neufs</v>
      </c>
      <c r="AQ812" s="487" t="str">
        <f>+VLOOKUP($AJ812,Data_Validation!$A:$D,4,0)</f>
        <v>Autos détail</v>
      </c>
      <c r="AR812" s="487" t="s">
        <v>299</v>
      </c>
      <c r="AS812" s="487">
        <f>+VLOOKUP($AJ812,Data_Validation!$A:$E,5,0)</f>
        <v>0</v>
      </c>
      <c r="AT812" s="904" t="str">
        <f t="shared" si="83"/>
        <v>G60300</v>
      </c>
      <c r="AU812" s="488" t="str">
        <f t="shared" si="84"/>
        <v>COUT-IMPALA</v>
      </c>
      <c r="AV812" s="899">
        <f>IFERROR(INDEX(V812:AG812,1,MATCH(Parametres!$B$3,V$1:AG$1,0)-1)*IF(OR(C812="L",C812="S",C812="I"),-1,1),"")</f>
        <v>0</v>
      </c>
      <c r="AW812" s="899">
        <f t="shared" si="85"/>
        <v>0</v>
      </c>
      <c r="AX812" s="899">
        <f>INDEX(V812:AG812,1,MATCH(Parametres!$B$3,V$1:AG$1,0))*IF(OR(C812="L",C812="S",C812="I"),-1,1)</f>
        <v>0</v>
      </c>
      <c r="AY812" s="487" t="s">
        <v>337</v>
      </c>
      <c r="AZ812" s="487">
        <f>+VLOOKUP($AJ812,Data_Validation!$A:$E,5,0)</f>
        <v>0</v>
      </c>
    </row>
    <row r="813" spans="1:52" ht="15" hidden="1" customHeight="1">
      <c r="A813" s="706" t="s">
        <v>1148</v>
      </c>
      <c r="B813" s="706">
        <v>2026</v>
      </c>
      <c r="C813" s="706" t="s">
        <v>2640</v>
      </c>
      <c r="D813" s="706" t="s">
        <v>2641</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G60320</v>
      </c>
      <c r="AK813" s="905" t="str">
        <f t="shared" si="81"/>
        <v>COUT-IMPALA          -LOC</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G60320</v>
      </c>
      <c r="AU813" s="488" t="str">
        <f t="shared" si="84"/>
        <v>COUT-IMPALA          -LOC</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2642</v>
      </c>
      <c r="D814" s="706" t="s">
        <v>2643</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G60400</v>
      </c>
      <c r="AK814" s="905" t="str">
        <f t="shared" si="81"/>
        <v>COUT- SPARK</v>
      </c>
      <c r="AL814" s="905">
        <f>IFERROR(INDEX(G814:R814,1,MATCH(Parametres!$B$3,G$1:R$1,0)-1)*IF(OR(F814="L",F814="S",F814="I"),-1,1),"")</f>
        <v>0</v>
      </c>
      <c r="AM814" s="905">
        <f t="shared" si="82"/>
        <v>0</v>
      </c>
      <c r="AN814" s="905">
        <f>INDEX(G814:R814,1,MATCH(Parametres!$B$3,G$1:R$1,0))*IF(OR(F814="L",F814="S",F814="I"),-1,1)</f>
        <v>0</v>
      </c>
      <c r="AO814" s="487" t="str">
        <f>+VLOOKUP($AJ814,Data_Validation!$A:$D,1,0)</f>
        <v>G60400</v>
      </c>
      <c r="AP814" s="487" t="str">
        <f>+VLOOKUP($AJ814,Data_Validation!$A:$D,3,0)</f>
        <v>Véhicules neufs</v>
      </c>
      <c r="AQ814" s="487" t="str">
        <f>+VLOOKUP($AJ814,Data_Validation!$A:$D,4,0)</f>
        <v>Autos détail</v>
      </c>
      <c r="AR814" s="487" t="s">
        <v>299</v>
      </c>
      <c r="AS814" s="487">
        <f>+VLOOKUP($AJ814,Data_Validation!$A:$E,5,0)</f>
        <v>0</v>
      </c>
      <c r="AT814" s="904" t="str">
        <f t="shared" si="83"/>
        <v>G60400</v>
      </c>
      <c r="AU814" s="488" t="str">
        <f t="shared" si="84"/>
        <v>COUT- SPARK</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hidden="1" customHeight="1">
      <c r="A815" s="706" t="s">
        <v>1148</v>
      </c>
      <c r="B815" s="706">
        <v>2026</v>
      </c>
      <c r="C815" s="706" t="s">
        <v>2644</v>
      </c>
      <c r="D815" s="706" t="s">
        <v>2645</v>
      </c>
      <c r="E815" s="706" t="s">
        <v>1143</v>
      </c>
      <c r="F815" s="706" t="s">
        <v>1152</v>
      </c>
      <c r="G815" s="706">
        <v>0</v>
      </c>
      <c r="H815" s="706">
        <v>0</v>
      </c>
      <c r="I815" s="706">
        <v>0</v>
      </c>
      <c r="J815" s="706">
        <v>98056.9</v>
      </c>
      <c r="K815" s="706">
        <v>197263.99</v>
      </c>
      <c r="L815" s="706">
        <v>339316.99</v>
      </c>
      <c r="M815" s="706">
        <v>437270.99</v>
      </c>
      <c r="N815" s="706">
        <v>437270.99</v>
      </c>
      <c r="O815" s="706">
        <v>437270.99</v>
      </c>
      <c r="P815" s="706">
        <v>0</v>
      </c>
      <c r="Q815" s="706">
        <v>0</v>
      </c>
      <c r="R815" s="706">
        <v>0</v>
      </c>
      <c r="S815" s="706">
        <v>54658.87</v>
      </c>
      <c r="T815" s="706">
        <v>54658.87</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G60500</v>
      </c>
      <c r="AK815" s="905" t="str">
        <f t="shared" si="81"/>
        <v>COUT-CORVETTE</v>
      </c>
      <c r="AL815" s="905">
        <f>IFERROR(INDEX(G815:R815,1,MATCH(Parametres!$B$3,G$1:R$1,0)-1)*IF(OR(F815="L",F815="S",F815="I"),-1,1),"")</f>
        <v>437270.99</v>
      </c>
      <c r="AM815" s="905">
        <f t="shared" si="82"/>
        <v>0</v>
      </c>
      <c r="AN815" s="905">
        <f>INDEX(G815:R815,1,MATCH(Parametres!$B$3,G$1:R$1,0))*IF(OR(F815="L",F815="S",F815="I"),-1,1)</f>
        <v>437270.99</v>
      </c>
      <c r="AO815" s="487" t="str">
        <f>+VLOOKUP($AJ815,Data_Validation!$A:$D,1,0)</f>
        <v>G60500</v>
      </c>
      <c r="AP815" s="487" t="str">
        <f>+VLOOKUP($AJ815,Data_Validation!$A:$D,3,0)</f>
        <v>Véhicules neufs</v>
      </c>
      <c r="AQ815" s="487" t="str">
        <f>+VLOOKUP($AJ815,Data_Validation!$A:$D,4,0)</f>
        <v>Autos détail</v>
      </c>
      <c r="AR815" s="487" t="s">
        <v>299</v>
      </c>
      <c r="AS815" s="487">
        <f>+VLOOKUP($AJ815,Data_Validation!$A:$E,5,0)</f>
        <v>0</v>
      </c>
      <c r="AT815" s="904" t="str">
        <f t="shared" si="83"/>
        <v>G60500</v>
      </c>
      <c r="AU815" s="488" t="str">
        <f t="shared" si="84"/>
        <v>COUT-CORVETTE</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hidden="1" customHeight="1">
      <c r="A816" s="706" t="s">
        <v>1148</v>
      </c>
      <c r="B816" s="706">
        <v>2026</v>
      </c>
      <c r="C816" s="706" t="s">
        <v>2646</v>
      </c>
      <c r="D816" s="706" t="s">
        <v>2647</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G60600</v>
      </c>
      <c r="AK816" s="905" t="str">
        <f t="shared" si="81"/>
        <v>COUT-AVEO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G60600</v>
      </c>
      <c r="AU816" s="488" t="str">
        <f t="shared" si="84"/>
        <v>COUT-AVEO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2648</v>
      </c>
      <c r="D817" s="706" t="s">
        <v>2649</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G60620</v>
      </c>
      <c r="AK817" s="905" t="str">
        <f t="shared" si="81"/>
        <v>COUT-AVEO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G60620</v>
      </c>
      <c r="AU817" s="488" t="str">
        <f t="shared" si="84"/>
        <v>COUT-AVEO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2650</v>
      </c>
      <c r="D818" s="706" t="s">
        <v>2651</v>
      </c>
      <c r="E818" s="706" t="s">
        <v>1143</v>
      </c>
      <c r="F818" s="706" t="s">
        <v>1152</v>
      </c>
      <c r="G818" s="706">
        <v>0</v>
      </c>
      <c r="H818" s="706">
        <v>0</v>
      </c>
      <c r="I818" s="706">
        <v>0</v>
      </c>
      <c r="J818" s="706">
        <v>0</v>
      </c>
      <c r="K818" s="706">
        <v>44805.04</v>
      </c>
      <c r="L818" s="706">
        <v>44805.04</v>
      </c>
      <c r="M818" s="706">
        <v>44805.04</v>
      </c>
      <c r="N818" s="706">
        <v>170312.29</v>
      </c>
      <c r="O818" s="706">
        <v>170312.29</v>
      </c>
      <c r="P818" s="706">
        <v>0</v>
      </c>
      <c r="Q818" s="706">
        <v>0</v>
      </c>
      <c r="R818" s="706">
        <v>0</v>
      </c>
      <c r="S818" s="706">
        <v>21289.040000000001</v>
      </c>
      <c r="T818" s="706">
        <v>21289.040000000001</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G60700</v>
      </c>
      <c r="AK818" s="905" t="str">
        <f t="shared" si="81"/>
        <v>COUT BOLT - EV</v>
      </c>
      <c r="AL818" s="905">
        <f>IFERROR(INDEX(G818:R818,1,MATCH(Parametres!$B$3,G$1:R$1,0)-1)*IF(OR(F818="L",F818="S",F818="I"),-1,1),"")</f>
        <v>44805.04</v>
      </c>
      <c r="AM818" s="905">
        <f t="shared" si="82"/>
        <v>125507.25</v>
      </c>
      <c r="AN818" s="905">
        <f>INDEX(G818:R818,1,MATCH(Parametres!$B$3,G$1:R$1,0))*IF(OR(F818="L",F818="S",F818="I"),-1,1)</f>
        <v>170312.29</v>
      </c>
      <c r="AO818" s="487" t="str">
        <f>+VLOOKUP($AJ818,Data_Validation!$A:$D,1,0)</f>
        <v>G60700</v>
      </c>
      <c r="AP818" s="487" t="str">
        <f>+VLOOKUP($AJ818,Data_Validation!$A:$D,3,0)</f>
        <v>Véhicules neufs</v>
      </c>
      <c r="AQ818" s="487" t="str">
        <f>+VLOOKUP($AJ818,Data_Validation!$A:$D,4,0)</f>
        <v>Camions electriques</v>
      </c>
      <c r="AR818" s="487" t="s">
        <v>299</v>
      </c>
      <c r="AS818" s="487">
        <f>+VLOOKUP($AJ818,Data_Validation!$A:$E,5,0)</f>
        <v>0</v>
      </c>
      <c r="AT818" s="904" t="str">
        <f t="shared" si="83"/>
        <v>G60700</v>
      </c>
      <c r="AU818" s="488" t="str">
        <f t="shared" si="84"/>
        <v>COUT BOLT - EV</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hidden="1" customHeight="1">
      <c r="A819" s="706" t="s">
        <v>1148</v>
      </c>
      <c r="B819" s="706">
        <v>2026</v>
      </c>
      <c r="C819" s="706" t="s">
        <v>2652</v>
      </c>
      <c r="D819" s="706" t="s">
        <v>2653</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G60720</v>
      </c>
      <c r="AK819" s="905" t="str">
        <f t="shared" si="81"/>
        <v>COUT-OPTRA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G60720</v>
      </c>
      <c r="AU819" s="488" t="str">
        <f t="shared" si="84"/>
        <v>COUT-OPTRA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2654</v>
      </c>
      <c r="D820" s="706" t="s">
        <v>2655</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G60800</v>
      </c>
      <c r="AK820" s="905" t="str">
        <f t="shared" si="81"/>
        <v>COUT-EPICA</v>
      </c>
      <c r="AL820" s="905">
        <f>IFERROR(INDEX(G820:R820,1,MATCH(Parametres!$B$3,G$1:R$1,0)-1)*IF(OR(F820="L",F820="S",F820="I"),-1,1),"")</f>
        <v>0</v>
      </c>
      <c r="AM820" s="1047">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G60800</v>
      </c>
      <c r="AU820" s="488" t="str">
        <f t="shared" si="84"/>
        <v>COUT-EPICA</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2656</v>
      </c>
      <c r="D821" s="706" t="s">
        <v>2657</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G60820</v>
      </c>
      <c r="AK821" s="905" t="str">
        <f t="shared" si="81"/>
        <v>COUT-EPICA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G60820</v>
      </c>
      <c r="AU821" s="488" t="str">
        <f t="shared" si="84"/>
        <v>COUT-EPICA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2658</v>
      </c>
      <c r="D822" s="706" t="s">
        <v>2659</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G60900</v>
      </c>
      <c r="AK822" s="905" t="str">
        <f t="shared" si="81"/>
        <v>COUT-COBALT</v>
      </c>
      <c r="AL822" s="905">
        <f>IFERROR(INDEX(G822:R822,1,MATCH(Parametres!$B$3,G$1:R$1,0)-1)*IF(OR(F822="L",F822="S",F822="I"),-1,1),"")</f>
        <v>0</v>
      </c>
      <c r="AM822" s="905">
        <f t="shared" si="82"/>
        <v>0</v>
      </c>
      <c r="AN822" s="905">
        <f>INDEX(G822:R822,1,MATCH(Parametres!$B$3,G$1:R$1,0))*IF(OR(F822="L",F822="S",F822="I"),-1,1)</f>
        <v>0</v>
      </c>
      <c r="AO822" s="487" t="str">
        <f>+VLOOKUP($AJ822,Data_Validation!$A:$D,1,0)</f>
        <v>G60900</v>
      </c>
      <c r="AP822" s="487" t="str">
        <f>+VLOOKUP($AJ822,Data_Validation!$A:$D,3,0)</f>
        <v>Véhicules neufs</v>
      </c>
      <c r="AQ822" s="487" t="str">
        <f>+VLOOKUP($AJ822,Data_Validation!$A:$D,4,0)</f>
        <v>Autos détail</v>
      </c>
      <c r="AR822" s="487" t="s">
        <v>299</v>
      </c>
      <c r="AS822" s="487">
        <f>+VLOOKUP($AJ822,Data_Validation!$A:$E,5,0)</f>
        <v>0</v>
      </c>
      <c r="AT822" s="904" t="str">
        <f t="shared" si="83"/>
        <v>G60900</v>
      </c>
      <c r="AU822" s="488" t="str">
        <f t="shared" si="84"/>
        <v>COUT-COBALT</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2660</v>
      </c>
      <c r="D823" s="706" t="s">
        <v>2661</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G60920</v>
      </c>
      <c r="AK823" s="905" t="str">
        <f t="shared" si="81"/>
        <v>COUT-COBALT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G60920</v>
      </c>
      <c r="AU823" s="488" t="str">
        <f t="shared" si="84"/>
        <v>COUT-COBALT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2662</v>
      </c>
      <c r="D824" s="706" t="s">
        <v>2663</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G61000</v>
      </c>
      <c r="AK824" s="905" t="str">
        <f t="shared" si="81"/>
        <v>COUT - CAMARO</v>
      </c>
      <c r="AL824" s="905">
        <f>IFERROR(INDEX(G824:R824,1,MATCH(Parametres!$B$3,G$1:R$1,0)-1)*IF(OR(F824="L",F824="S",F824="I"),-1,1),"")</f>
        <v>0</v>
      </c>
      <c r="AM824" s="905">
        <f t="shared" si="82"/>
        <v>0</v>
      </c>
      <c r="AN824" s="905">
        <f>INDEX(G824:R824,1,MATCH(Parametres!$B$3,G$1:R$1,0))*IF(OR(F824="L",F824="S",F824="I"),-1,1)</f>
        <v>0</v>
      </c>
      <c r="AO824" s="487" t="str">
        <f>+VLOOKUP($AJ824,Data_Validation!$A:$D,1,0)</f>
        <v>G61000</v>
      </c>
      <c r="AP824" s="487" t="str">
        <f>+VLOOKUP($AJ824,Data_Validation!$A:$D,3,0)</f>
        <v>Véhicules neufs</v>
      </c>
      <c r="AQ824" s="487" t="str">
        <f>+VLOOKUP($AJ824,Data_Validation!$A:$D,4,0)</f>
        <v>Autos détail</v>
      </c>
      <c r="AR824" s="487" t="s">
        <v>299</v>
      </c>
      <c r="AS824" s="487">
        <f>+VLOOKUP($AJ824,Data_Validation!$A:$E,5,0)</f>
        <v>0</v>
      </c>
      <c r="AT824" s="904" t="str">
        <f t="shared" si="83"/>
        <v>G61000</v>
      </c>
      <c r="AU824" s="488" t="str">
        <f t="shared" si="84"/>
        <v>COUT - CAMARO</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hidden="1" customHeight="1">
      <c r="A825" s="706" t="s">
        <v>1148</v>
      </c>
      <c r="B825" s="706">
        <v>2026</v>
      </c>
      <c r="C825" s="706" t="s">
        <v>2664</v>
      </c>
      <c r="D825" s="706" t="s">
        <v>2665</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G61100</v>
      </c>
      <c r="AK825" s="905" t="str">
        <f t="shared" si="81"/>
        <v>COUTANT CRUZE</v>
      </c>
      <c r="AL825" s="905">
        <f>IFERROR(INDEX(G825:R825,1,MATCH(Parametres!$B$3,G$1:R$1,0)-1)*IF(OR(F825="L",F825="S",F825="I"),-1,1),"")</f>
        <v>0</v>
      </c>
      <c r="AM825" s="905">
        <f t="shared" si="82"/>
        <v>0</v>
      </c>
      <c r="AN825" s="905">
        <f>INDEX(G825:R825,1,MATCH(Parametres!$B$3,G$1:R$1,0))*IF(OR(F825="L",F825="S",F825="I"),-1,1)</f>
        <v>0</v>
      </c>
      <c r="AO825" s="487" t="str">
        <f>+VLOOKUP($AJ825,Data_Validation!$A:$D,1,0)</f>
        <v>G61100</v>
      </c>
      <c r="AP825" s="487" t="str">
        <f>+VLOOKUP($AJ825,Data_Validation!$A:$D,3,0)</f>
        <v>Véhicules neufs</v>
      </c>
      <c r="AQ825" s="487" t="str">
        <f>+VLOOKUP($AJ825,Data_Validation!$A:$D,4,0)</f>
        <v>Autos détail</v>
      </c>
      <c r="AR825" s="487" t="s">
        <v>299</v>
      </c>
      <c r="AS825" s="487">
        <f>+VLOOKUP($AJ825,Data_Validation!$A:$E,5,0)</f>
        <v>0</v>
      </c>
      <c r="AT825" s="904" t="str">
        <f t="shared" si="83"/>
        <v>G61100</v>
      </c>
      <c r="AU825" s="488" t="str">
        <f t="shared" si="84"/>
        <v>COUTANT CRUZE</v>
      </c>
      <c r="AV825" s="899">
        <f>IFERROR(INDEX(V825:AG825,1,MATCH(Parametres!$B$3,V$1:AG$1,0)-1)*IF(OR(C825="L",C825="S",C825="I"),-1,1),"")</f>
        <v>0</v>
      </c>
      <c r="AW825" s="899">
        <f t="shared" si="85"/>
        <v>0</v>
      </c>
      <c r="AX825" s="899">
        <f>INDEX(V825:AG825,1,MATCH(Parametres!$B$3,V$1:AG$1,0))*IF(OR(C825="L",C825="S",C825="I"),-1,1)</f>
        <v>0</v>
      </c>
      <c r="AY825" s="487" t="s">
        <v>337</v>
      </c>
      <c r="AZ825" s="487">
        <f>+VLOOKUP($AJ825,Data_Validation!$A:$E,5,0)</f>
        <v>0</v>
      </c>
    </row>
    <row r="826" spans="1:52" ht="15" hidden="1" customHeight="1">
      <c r="A826" s="706" t="s">
        <v>1148</v>
      </c>
      <c r="B826" s="706">
        <v>2026</v>
      </c>
      <c r="C826" s="706" t="s">
        <v>2666</v>
      </c>
      <c r="D826" s="706" t="s">
        <v>2667</v>
      </c>
      <c r="E826" s="706" t="s">
        <v>333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G61600</v>
      </c>
      <c r="AK826" s="905" t="str">
        <f t="shared" si="81"/>
        <v>INDEMNITE MARKETING AUTOS</v>
      </c>
      <c r="AL826" s="905">
        <f>IFERROR(INDEX(G826:R826,1,MATCH(Parametres!$B$3,G$1:R$1,0)-1)*IF(OR(F826="L",F826="S",F826="I"),-1,1),"")</f>
        <v>0</v>
      </c>
      <c r="AM826" s="1047">
        <f t="shared" si="82"/>
        <v>0</v>
      </c>
      <c r="AN826" s="905">
        <f>INDEX(G826:R826,1,MATCH(Parametres!$B$3,G$1:R$1,0))*IF(OR(F826="L",F826="S",F826="I"),-1,1)</f>
        <v>0</v>
      </c>
      <c r="AO826" s="487" t="str">
        <f>+VLOOKUP($AJ826,Data_Validation!$A:$D,1,0)</f>
        <v>G61600</v>
      </c>
      <c r="AP826" s="487">
        <f>+VLOOKUP($AJ826,Data_Validation!$A:$D,3,0)</f>
        <v>0</v>
      </c>
      <c r="AQ826" s="487">
        <f>+VLOOKUP($AJ826,Data_Validation!$A:$D,4,0)</f>
        <v>0</v>
      </c>
      <c r="AR826" s="487" t="s">
        <v>299</v>
      </c>
      <c r="AS826" s="487">
        <f>+VLOOKUP($AJ826,Data_Validation!$A:$E,5,0)</f>
        <v>0</v>
      </c>
      <c r="AT826" s="904" t="str">
        <f t="shared" si="83"/>
        <v>G61600</v>
      </c>
      <c r="AU826" s="488" t="str">
        <f t="shared" si="84"/>
        <v>INDEMNITE MARKETING AUTOS</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hidden="1" customHeight="1">
      <c r="A827" s="706" t="s">
        <v>1148</v>
      </c>
      <c r="B827" s="706">
        <v>2026</v>
      </c>
      <c r="C827" s="706" t="s">
        <v>2668</v>
      </c>
      <c r="D827" s="706" t="s">
        <v>2669</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G61700</v>
      </c>
      <c r="AK827" s="905" t="str">
        <f t="shared" si="81"/>
        <v>COUT-AUTRES CHEV AUTOS</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G61700</v>
      </c>
      <c r="AU827" s="488" t="str">
        <f t="shared" si="84"/>
        <v>COUT-AUTRES CHEV AUTOS</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2670</v>
      </c>
      <c r="D828" s="706" t="s">
        <v>2671</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G61720</v>
      </c>
      <c r="AK828" s="905" t="str">
        <f t="shared" si="81"/>
        <v>COUT-AUTRE CHEV.AUTOS-LOC</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G61720</v>
      </c>
      <c r="AU828" s="488" t="str">
        <f t="shared" si="84"/>
        <v>COUT-AUTRE CHEV.AUTOS-LOC</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2672</v>
      </c>
      <c r="D829" s="706" t="s">
        <v>2673</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G61799</v>
      </c>
      <c r="AK829" s="905" t="str">
        <f t="shared" si="81"/>
        <v>COUT-ECHANGE CONCESSION.</v>
      </c>
      <c r="AL829" s="905">
        <f>IFERROR(INDEX(G829:R829,1,MATCH(Parametres!$B$3,G$1:R$1,0)-1)*IF(OR(F829="L",F829="S",F829="I"),-1,1),"")</f>
        <v>0</v>
      </c>
      <c r="AM829" s="1047">
        <f t="shared" si="82"/>
        <v>0</v>
      </c>
      <c r="AN829" s="905">
        <f>INDEX(G829:R829,1,MATCH(Parametres!$B$3,G$1:R$1,0))*IF(OR(F829="L",F829="S",F829="I"),-1,1)</f>
        <v>0</v>
      </c>
      <c r="AO829" s="487" t="str">
        <f>+VLOOKUP($AJ829,Data_Validation!$A:$D,1,0)</f>
        <v>G61799</v>
      </c>
      <c r="AP829" s="487">
        <f>+VLOOKUP($AJ829,Data_Validation!$A:$D,3,0)</f>
        <v>0</v>
      </c>
      <c r="AQ829" s="487">
        <f>+VLOOKUP($AJ829,Data_Validation!$A:$D,4,0)</f>
        <v>0</v>
      </c>
      <c r="AR829" s="487" t="s">
        <v>299</v>
      </c>
      <c r="AS829" s="487">
        <f>+VLOOKUP($AJ829,Data_Validation!$A:$E,5,0)</f>
        <v>0</v>
      </c>
      <c r="AT829" s="904" t="str">
        <f t="shared" si="83"/>
        <v>G61799</v>
      </c>
      <c r="AU829" s="488" t="str">
        <f t="shared" si="84"/>
        <v>COUT-ECHANGE CONCESSION.</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hidden="1" customHeight="1">
      <c r="A830" s="706" t="s">
        <v>1148</v>
      </c>
      <c r="B830" s="706">
        <v>2026</v>
      </c>
      <c r="C830" s="706" t="s">
        <v>2674</v>
      </c>
      <c r="D830" s="706" t="s">
        <v>2675</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G61800</v>
      </c>
      <c r="AK830" s="905" t="str">
        <f t="shared" si="81"/>
        <v>COUTANT AUTRE CHEVROLET</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G61800</v>
      </c>
      <c r="AU830" s="488" t="str">
        <f t="shared" si="84"/>
        <v>COUTANT AUTRE CHEVROLET</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2676</v>
      </c>
      <c r="D831" s="706" t="s">
        <v>2677</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G62000</v>
      </c>
      <c r="AK831" s="905" t="str">
        <f t="shared" si="81"/>
        <v>COUT-PARC VOITURES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G62000</v>
      </c>
      <c r="AU831" s="488" t="str">
        <f t="shared" si="84"/>
        <v>COUT-PARC VOITURES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2678</v>
      </c>
      <c r="D832" s="706" t="s">
        <v>2679</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G62100</v>
      </c>
      <c r="AK832" s="905" t="str">
        <f t="shared" si="81"/>
        <v>COUT-VOITURES INTERNE</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G62100</v>
      </c>
      <c r="AU832" s="488" t="str">
        <f t="shared" si="84"/>
        <v>COUT-VOITURES INTERNE</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hidden="1" customHeight="1">
      <c r="A833" s="706" t="s">
        <v>1148</v>
      </c>
      <c r="B833" s="706">
        <v>2026</v>
      </c>
      <c r="C833" s="706" t="s">
        <v>2680</v>
      </c>
      <c r="D833" s="706" t="s">
        <v>2681</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G62300</v>
      </c>
      <c r="AK833" s="905" t="str">
        <f t="shared" si="81"/>
        <v>COUT-VENTURE-UPLANDER</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G62300</v>
      </c>
      <c r="AU833" s="488" t="str">
        <f t="shared" si="84"/>
        <v>COUT-VENTURE-UPLANDER</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hidden="1" customHeight="1">
      <c r="A834" s="706" t="s">
        <v>1148</v>
      </c>
      <c r="B834" s="706">
        <v>2026</v>
      </c>
      <c r="C834" s="706" t="s">
        <v>2682</v>
      </c>
      <c r="D834" s="706" t="s">
        <v>2683</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G62312</v>
      </c>
      <c r="AK834" s="905" t="str">
        <f t="shared" si="81"/>
        <v>COUT-KODIAK/TOPKICK 4/5</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G62312</v>
      </c>
      <c r="AU834" s="488" t="str">
        <f t="shared" si="84"/>
        <v>COUT-KODIAK/TOPKICK 4/5</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hidden="1" customHeight="1">
      <c r="A835" s="706" t="s">
        <v>1148</v>
      </c>
      <c r="B835" s="706">
        <v>2026</v>
      </c>
      <c r="C835" s="706" t="s">
        <v>2684</v>
      </c>
      <c r="D835" s="706" t="s">
        <v>2685</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G62320</v>
      </c>
      <c r="AK835" s="905" t="str">
        <f t="shared" si="81"/>
        <v>COUT-VENTURE-UPLAN   -LOC</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G62320</v>
      </c>
      <c r="AU835" s="488" t="str">
        <f t="shared" si="84"/>
        <v>COUT-VENTURE-UPLAN   -LOC</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2686</v>
      </c>
      <c r="D836" s="706" t="s">
        <v>2687</v>
      </c>
      <c r="E836" s="706" t="s">
        <v>1143</v>
      </c>
      <c r="F836" s="706" t="s">
        <v>1152</v>
      </c>
      <c r="G836" s="706">
        <v>91372.42</v>
      </c>
      <c r="H836" s="706">
        <v>91372.42</v>
      </c>
      <c r="I836" s="706">
        <v>91372.42</v>
      </c>
      <c r="J836" s="706">
        <v>232512.62</v>
      </c>
      <c r="K836" s="706">
        <v>319528.5</v>
      </c>
      <c r="L836" s="706">
        <v>319528.5</v>
      </c>
      <c r="M836" s="706">
        <v>452253.34</v>
      </c>
      <c r="N836" s="706">
        <v>452253.34</v>
      </c>
      <c r="O836" s="706">
        <v>452253.34</v>
      </c>
      <c r="P836" s="706">
        <v>0</v>
      </c>
      <c r="Q836" s="706">
        <v>0</v>
      </c>
      <c r="R836" s="706">
        <v>0</v>
      </c>
      <c r="S836" s="706">
        <v>56531.67</v>
      </c>
      <c r="T836" s="706">
        <v>56531.67</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G62400</v>
      </c>
      <c r="AK836" s="905" t="str">
        <f t="shared" si="81"/>
        <v>COUT-TERRAIN</v>
      </c>
      <c r="AL836" s="905">
        <f>IFERROR(INDEX(G836:R836,1,MATCH(Parametres!$B$3,G$1:R$1,0)-1)*IF(OR(F836="L",F836="S",F836="I"),-1,1),"")</f>
        <v>452253.34</v>
      </c>
      <c r="AM836" s="905">
        <f t="shared" si="82"/>
        <v>0</v>
      </c>
      <c r="AN836" s="905">
        <f>INDEX(G836:R836,1,MATCH(Parametres!$B$3,G$1:R$1,0))*IF(OR(F836="L",F836="S",F836="I"),-1,1)</f>
        <v>452253.34</v>
      </c>
      <c r="AO836" s="487" t="str">
        <f>+VLOOKUP($AJ836,Data_Validation!$A:$D,1,0)</f>
        <v>G62400</v>
      </c>
      <c r="AP836" s="487" t="str">
        <f>+VLOOKUP($AJ836,Data_Validation!$A:$D,3,0)</f>
        <v>Véhicules neufs</v>
      </c>
      <c r="AQ836" s="487" t="str">
        <f>+VLOOKUP($AJ836,Data_Validation!$A:$D,4,0)</f>
        <v>Camions détail</v>
      </c>
      <c r="AR836" s="487" t="s">
        <v>299</v>
      </c>
      <c r="AS836" s="487">
        <f>+VLOOKUP($AJ836,Data_Validation!$A:$E,5,0)</f>
        <v>0</v>
      </c>
      <c r="AT836" s="904" t="str">
        <f t="shared" si="83"/>
        <v>G62400</v>
      </c>
      <c r="AU836" s="488" t="str">
        <f t="shared" si="84"/>
        <v>COUT-TERRAIN</v>
      </c>
      <c r="AV836" s="899">
        <f>IFERROR(INDEX(V836:AG836,1,MATCH(Parametres!$B$3,V$1:AG$1,0)-1)*IF(OR(C836="L",C836="S",C836="I"),-1,1),"")</f>
        <v>0</v>
      </c>
      <c r="AW836" s="899">
        <f t="shared" si="85"/>
        <v>0</v>
      </c>
      <c r="AX836" s="899">
        <f>INDEX(V836:AG836,1,MATCH(Parametres!$B$3,V$1:AG$1,0))*IF(OR(C836="L",C836="S",C836="I"),-1,1)</f>
        <v>0</v>
      </c>
      <c r="AY836" s="487" t="s">
        <v>337</v>
      </c>
      <c r="AZ836" s="487">
        <f>+VLOOKUP($AJ836,Data_Validation!$A:$E,5,0)</f>
        <v>0</v>
      </c>
    </row>
    <row r="837" spans="1:52" ht="15" hidden="1" customHeight="1">
      <c r="A837" s="706" t="s">
        <v>1148</v>
      </c>
      <c r="B837" s="706">
        <v>2026</v>
      </c>
      <c r="C837" s="706" t="s">
        <v>2688</v>
      </c>
      <c r="D837" s="706" t="s">
        <v>2689</v>
      </c>
      <c r="E837" s="706" t="s">
        <v>1143</v>
      </c>
      <c r="F837" s="706" t="s">
        <v>1152</v>
      </c>
      <c r="G837" s="706">
        <v>0</v>
      </c>
      <c r="H837" s="706">
        <v>0</v>
      </c>
      <c r="I837" s="706">
        <v>0</v>
      </c>
      <c r="J837" s="706">
        <v>0</v>
      </c>
      <c r="K837" s="706">
        <v>398090.8</v>
      </c>
      <c r="L837" s="706">
        <v>649623.39</v>
      </c>
      <c r="M837" s="706">
        <v>1151542.54</v>
      </c>
      <c r="N837" s="706">
        <v>1660703.69</v>
      </c>
      <c r="O837" s="706">
        <v>1660703.69</v>
      </c>
      <c r="P837" s="706">
        <v>0</v>
      </c>
      <c r="Q837" s="706">
        <v>0</v>
      </c>
      <c r="R837" s="706">
        <v>0</v>
      </c>
      <c r="S837" s="706">
        <v>207587.96</v>
      </c>
      <c r="T837" s="706">
        <v>207587.96</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G62401</v>
      </c>
      <c r="AK837" s="905" t="str">
        <f t="shared" si="81"/>
        <v>COUT BOLT EUV</v>
      </c>
      <c r="AL837" s="905">
        <f>IFERROR(INDEX(G837:R837,1,MATCH(Parametres!$B$3,G$1:R$1,0)-1)*IF(OR(F837="L",F837="S",F837="I"),-1,1),"")</f>
        <v>1151542.54</v>
      </c>
      <c r="AM837" s="1047">
        <f t="shared" si="82"/>
        <v>509161.14999999991</v>
      </c>
      <c r="AN837" s="905">
        <f>INDEX(G837:R837,1,MATCH(Parametres!$B$3,G$1:R$1,0))*IF(OR(F837="L",F837="S",F837="I"),-1,1)</f>
        <v>1660703.69</v>
      </c>
      <c r="AO837" s="487" t="str">
        <f>+VLOOKUP($AJ837,Data_Validation!$A:$D,1,0)</f>
        <v>G62401</v>
      </c>
      <c r="AP837" s="487" t="str">
        <f>+VLOOKUP($AJ837,Data_Validation!$A:$D,3,0)</f>
        <v>Véhicules neufs</v>
      </c>
      <c r="AQ837" s="487" t="str">
        <f>+VLOOKUP($AJ837,Data_Validation!$A:$D,4,0)</f>
        <v>Camions electriques</v>
      </c>
      <c r="AR837" s="487" t="s">
        <v>299</v>
      </c>
      <c r="AS837" s="487">
        <f>+VLOOKUP($AJ837,Data_Validation!$A:$E,5,0)</f>
        <v>0</v>
      </c>
      <c r="AT837" s="904" t="str">
        <f t="shared" si="83"/>
        <v>G62401</v>
      </c>
      <c r="AU837" s="488" t="str">
        <f t="shared" si="84"/>
        <v>COUT BOLT EUV</v>
      </c>
      <c r="AV837" s="899">
        <f>IFERROR(INDEX(V837:AG837,1,MATCH(Parametres!$B$3,V$1:AG$1,0)-1)*IF(OR(C837="L",C837="S",C837="I"),-1,1),"")</f>
        <v>0</v>
      </c>
      <c r="AW837" s="899">
        <f t="shared" si="85"/>
        <v>0</v>
      </c>
      <c r="AX837" s="899">
        <f>INDEX(V837:AG837,1,MATCH(Parametres!$B$3,V$1:AG$1,0))*IF(OR(C837="L",C837="S",C837="I"),-1,1)</f>
        <v>0</v>
      </c>
      <c r="AY837" s="487" t="s">
        <v>337</v>
      </c>
      <c r="AZ837" s="487">
        <f>+VLOOKUP($AJ837,Data_Validation!$A:$E,5,0)</f>
        <v>0</v>
      </c>
    </row>
    <row r="838" spans="1:52" ht="15" hidden="1" customHeight="1">
      <c r="A838" s="706" t="s">
        <v>1148</v>
      </c>
      <c r="B838" s="706">
        <v>2026</v>
      </c>
      <c r="C838" s="706" t="s">
        <v>2690</v>
      </c>
      <c r="D838" s="706" t="s">
        <v>2691</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G62412</v>
      </c>
      <c r="AK838" s="905" t="str">
        <f t="shared" si="81"/>
        <v>COUT-TOPKICK 6/7/8 C</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G62412</v>
      </c>
      <c r="AU838" s="488" t="str">
        <f t="shared" si="84"/>
        <v>COUT-TOPKICK 6/7/8 C</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2692</v>
      </c>
      <c r="D839" s="706" t="s">
        <v>2693</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G62500</v>
      </c>
      <c r="AK839" s="905" t="str">
        <f t="shared" si="81"/>
        <v>COUT-G EXPRESS</v>
      </c>
      <c r="AL839" s="905">
        <f>IFERROR(INDEX(G839:R839,1,MATCH(Parametres!$B$3,G$1:R$1,0)-1)*IF(OR(F839="L",F839="S",F839="I"),-1,1),"")</f>
        <v>0</v>
      </c>
      <c r="AM839" s="1047">
        <f t="shared" si="82"/>
        <v>0</v>
      </c>
      <c r="AN839" s="905">
        <f>INDEX(G839:R839,1,MATCH(Parametres!$B$3,G$1:R$1,0))*IF(OR(F839="L",F839="S",F839="I"),-1,1)</f>
        <v>0</v>
      </c>
      <c r="AO839" s="487" t="str">
        <f>+VLOOKUP($AJ839,Data_Validation!$A:$D,1,0)</f>
        <v>G62500</v>
      </c>
      <c r="AP839" s="487" t="str">
        <f>+VLOOKUP($AJ839,Data_Validation!$A:$D,3,0)</f>
        <v>Véhicules neufs</v>
      </c>
      <c r="AQ839" s="487" t="str">
        <f>+VLOOKUP($AJ839,Data_Validation!$A:$D,4,0)</f>
        <v>Camions détail</v>
      </c>
      <c r="AR839" s="487" t="s">
        <v>299</v>
      </c>
      <c r="AS839" s="487">
        <f>+VLOOKUP($AJ839,Data_Validation!$A:$E,5,0)</f>
        <v>0</v>
      </c>
      <c r="AT839" s="904" t="str">
        <f t="shared" si="83"/>
        <v>G62500</v>
      </c>
      <c r="AU839" s="488" t="str">
        <f t="shared" si="84"/>
        <v>COUT-G EXPRESS</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2694</v>
      </c>
      <c r="D840" s="706" t="s">
        <v>2695</v>
      </c>
      <c r="E840" s="706" t="s">
        <v>1143</v>
      </c>
      <c r="F840" s="706" t="s">
        <v>1152</v>
      </c>
      <c r="G840" s="706">
        <v>0</v>
      </c>
      <c r="H840" s="706">
        <v>0</v>
      </c>
      <c r="I840" s="706">
        <v>0</v>
      </c>
      <c r="J840" s="706">
        <v>0</v>
      </c>
      <c r="K840" s="706">
        <v>49868.69</v>
      </c>
      <c r="L840" s="706">
        <v>51068.69</v>
      </c>
      <c r="M840" s="706">
        <v>51068.69</v>
      </c>
      <c r="N840" s="706">
        <v>51068.69</v>
      </c>
      <c r="O840" s="706">
        <v>51068.69</v>
      </c>
      <c r="P840" s="706">
        <v>0</v>
      </c>
      <c r="Q840" s="706">
        <v>0</v>
      </c>
      <c r="R840" s="706">
        <v>0</v>
      </c>
      <c r="S840" s="706">
        <v>6383.59</v>
      </c>
      <c r="T840" s="706">
        <v>6383.59</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G62502</v>
      </c>
      <c r="AK840" s="905" t="str">
        <f t="shared" si="81"/>
        <v>COUTANT SAVANA</v>
      </c>
      <c r="AL840" s="905">
        <f>IFERROR(INDEX(G840:R840,1,MATCH(Parametres!$B$3,G$1:R$1,0)-1)*IF(OR(F840="L",F840="S",F840="I"),-1,1),"")</f>
        <v>51068.69</v>
      </c>
      <c r="AM840" s="1047">
        <f t="shared" si="82"/>
        <v>0</v>
      </c>
      <c r="AN840" s="905">
        <f>INDEX(G840:R840,1,MATCH(Parametres!$B$3,G$1:R$1,0))*IF(OR(F840="L",F840="S",F840="I"),-1,1)</f>
        <v>51068.69</v>
      </c>
      <c r="AO840" s="487" t="str">
        <f>+VLOOKUP($AJ840,Data_Validation!$A:$D,1,0)</f>
        <v>G62502</v>
      </c>
      <c r="AP840" s="487" t="str">
        <f>+VLOOKUP($AJ840,Data_Validation!$A:$D,3,0)</f>
        <v>Véhicules neufs</v>
      </c>
      <c r="AQ840" s="487" t="str">
        <f>+VLOOKUP($AJ840,Data_Validation!$A:$D,4,0)</f>
        <v>Camions electriques</v>
      </c>
      <c r="AR840" s="487" t="s">
        <v>299</v>
      </c>
      <c r="AS840" s="487">
        <f>+VLOOKUP($AJ840,Data_Validation!$A:$E,5,0)</f>
        <v>0</v>
      </c>
      <c r="AT840" s="904" t="str">
        <f t="shared" si="83"/>
        <v>G62502</v>
      </c>
      <c r="AU840" s="488" t="str">
        <f t="shared" si="84"/>
        <v>COUTANT SAVANA</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2696</v>
      </c>
      <c r="D841" s="706" t="s">
        <v>2697</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G62512</v>
      </c>
      <c r="AK841" s="905" t="str">
        <f t="shared" si="81"/>
        <v>COUT-TOPKICK 6/7/8</v>
      </c>
      <c r="AL841" s="905">
        <f>IFERROR(INDEX(G841:R841,1,MATCH(Parametres!$B$3,G$1:R$1,0)-1)*IF(OR(F841="L",F841="S",F841="I"),-1,1),"")</f>
        <v>0</v>
      </c>
      <c r="AM841" s="1047">
        <f t="shared" si="82"/>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83"/>
        <v>G62512</v>
      </c>
      <c r="AU841" s="488" t="str">
        <f t="shared" si="84"/>
        <v>COUT-TOPKICK 6/7/8</v>
      </c>
      <c r="AV841" s="899">
        <f>IFERROR(INDEX(V841:AG841,1,MATCH(Parametres!$B$3,V$1:AG$1,0)-1)*IF(OR(C841="L",C841="S",C841="I"),-1,1),"")</f>
        <v>0</v>
      </c>
      <c r="AW841" s="899">
        <f t="shared" si="85"/>
        <v>0</v>
      </c>
      <c r="AX841" s="899">
        <f>INDEX(V841:AG841,1,MATCH(Parametres!$B$3,V$1:AG$1,0))*IF(OR(C841="L",C841="S",C841="I"),-1,1)</f>
        <v>0</v>
      </c>
      <c r="AY841" s="487" t="s">
        <v>337</v>
      </c>
      <c r="AZ841" s="487" t="e">
        <f>+VLOOKUP($AJ841,Data_Validation!$A:$E,5,0)</f>
        <v>#N/A</v>
      </c>
    </row>
    <row r="842" spans="1:52" ht="15" hidden="1" customHeight="1">
      <c r="A842" s="706" t="s">
        <v>1148</v>
      </c>
      <c r="B842" s="706">
        <v>2026</v>
      </c>
      <c r="C842" s="706" t="s">
        <v>2698</v>
      </c>
      <c r="D842" s="706" t="s">
        <v>2699</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G62520</v>
      </c>
      <c r="AK842" s="905" t="str">
        <f t="shared" si="81"/>
        <v>COUT-G EXPRESS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G62520</v>
      </c>
      <c r="AU842" s="488" t="str">
        <f t="shared" si="84"/>
        <v>COUT-G EXPRESS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2700</v>
      </c>
      <c r="D843" s="706" t="s">
        <v>2701</v>
      </c>
      <c r="E843" s="706" t="s">
        <v>1143</v>
      </c>
      <c r="F843" s="706" t="s">
        <v>1152</v>
      </c>
      <c r="G843" s="706">
        <v>0</v>
      </c>
      <c r="H843" s="706">
        <v>126205.83</v>
      </c>
      <c r="I843" s="706">
        <v>126205.83</v>
      </c>
      <c r="J843" s="706">
        <v>180912.33</v>
      </c>
      <c r="K843" s="706">
        <v>234601.33</v>
      </c>
      <c r="L843" s="706">
        <v>290126.33</v>
      </c>
      <c r="M843" s="706">
        <v>400509.16</v>
      </c>
      <c r="N843" s="706">
        <v>517152.51</v>
      </c>
      <c r="O843" s="706">
        <v>517152.51</v>
      </c>
      <c r="P843" s="706">
        <v>0</v>
      </c>
      <c r="Q843" s="706">
        <v>0</v>
      </c>
      <c r="R843" s="706">
        <v>0</v>
      </c>
      <c r="S843" s="706">
        <v>64644.06</v>
      </c>
      <c r="T843" s="706">
        <v>64644.06</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G62600</v>
      </c>
      <c r="AK843" s="905" t="str">
        <f t="shared" si="81"/>
        <v>COUT-SPICKUP/COLORADO</v>
      </c>
      <c r="AL843" s="905">
        <f>IFERROR(INDEX(G843:R843,1,MATCH(Parametres!$B$3,G$1:R$1,0)-1)*IF(OR(F843="L",F843="S",F843="I"),-1,1),"")</f>
        <v>400509.16</v>
      </c>
      <c r="AM843" s="1047">
        <f t="shared" si="82"/>
        <v>116643.35000000003</v>
      </c>
      <c r="AN843" s="905">
        <f>INDEX(G843:R843,1,MATCH(Parametres!$B$3,G$1:R$1,0))*IF(OR(F843="L",F843="S",F843="I"),-1,1)</f>
        <v>517152.51</v>
      </c>
      <c r="AO843" s="487" t="str">
        <f>+VLOOKUP($AJ843,Data_Validation!$A:$D,1,0)</f>
        <v>G62600</v>
      </c>
      <c r="AP843" s="487" t="str">
        <f>+VLOOKUP($AJ843,Data_Validation!$A:$D,3,0)</f>
        <v>Véhicules neufs</v>
      </c>
      <c r="AQ843" s="487" t="str">
        <f>+VLOOKUP($AJ843,Data_Validation!$A:$D,4,0)</f>
        <v>Camions détail</v>
      </c>
      <c r="AR843" s="487" t="s">
        <v>299</v>
      </c>
      <c r="AS843" s="487">
        <f>+VLOOKUP($AJ843,Data_Validation!$A:$E,5,0)</f>
        <v>0</v>
      </c>
      <c r="AT843" s="904" t="str">
        <f t="shared" si="83"/>
        <v>G62600</v>
      </c>
      <c r="AU843" s="488" t="str">
        <f t="shared" si="84"/>
        <v>COUT-SPICKUP/COLORADO</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2702</v>
      </c>
      <c r="D844" s="706" t="s">
        <v>2631</v>
      </c>
      <c r="E844" s="706" t="s">
        <v>1143</v>
      </c>
      <c r="F844" s="706" t="s">
        <v>1152</v>
      </c>
      <c r="G844" s="706">
        <v>64838.75</v>
      </c>
      <c r="H844" s="706">
        <v>64838.75</v>
      </c>
      <c r="I844" s="706">
        <v>64838.75</v>
      </c>
      <c r="J844" s="706">
        <v>64551.31</v>
      </c>
      <c r="K844" s="706">
        <v>64551.31</v>
      </c>
      <c r="L844" s="706">
        <v>64551.31</v>
      </c>
      <c r="M844" s="706">
        <v>127652.77</v>
      </c>
      <c r="N844" s="706">
        <v>181984.75</v>
      </c>
      <c r="O844" s="706">
        <v>181984.75</v>
      </c>
      <c r="P844" s="706">
        <v>0</v>
      </c>
      <c r="Q844" s="706">
        <v>0</v>
      </c>
      <c r="R844" s="706">
        <v>0</v>
      </c>
      <c r="S844" s="706">
        <v>22748.09</v>
      </c>
      <c r="T844" s="706">
        <v>22748.09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G62602</v>
      </c>
      <c r="AK844" s="905" t="str">
        <f t="shared" si="81"/>
        <v>COUT - GMC CANYON</v>
      </c>
      <c r="AL844" s="905">
        <f>IFERROR(INDEX(G844:R844,1,MATCH(Parametres!$B$3,G$1:R$1,0)-1)*IF(OR(F844="L",F844="S",F844="I"),-1,1),"")</f>
        <v>127652.77</v>
      </c>
      <c r="AM844" s="905">
        <f t="shared" si="82"/>
        <v>54331.979999999996</v>
      </c>
      <c r="AN844" s="905">
        <f>INDEX(G844:R844,1,MATCH(Parametres!$B$3,G$1:R$1,0))*IF(OR(F844="L",F844="S",F844="I"),-1,1)</f>
        <v>181984.75</v>
      </c>
      <c r="AO844" s="487" t="str">
        <f>+VLOOKUP($AJ844,Data_Validation!$A:$D,1,0)</f>
        <v>G62602</v>
      </c>
      <c r="AP844" s="487" t="str">
        <f>+VLOOKUP($AJ844,Data_Validation!$A:$D,3,0)</f>
        <v>Véhicules neufs</v>
      </c>
      <c r="AQ844" s="487" t="str">
        <f>+VLOOKUP($AJ844,Data_Validation!$A:$D,4,0)</f>
        <v>Camions détail</v>
      </c>
      <c r="AR844" s="487" t="s">
        <v>299</v>
      </c>
      <c r="AS844" s="487">
        <f>+VLOOKUP($AJ844,Data_Validation!$A:$E,5,0)</f>
        <v>0</v>
      </c>
      <c r="AT844" s="904" t="str">
        <f t="shared" si="83"/>
        <v>G62602</v>
      </c>
      <c r="AU844" s="488" t="str">
        <f t="shared" si="84"/>
        <v>COUT - GMC CANYON</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2703</v>
      </c>
      <c r="D845" s="706" t="s">
        <v>2704</v>
      </c>
      <c r="E845" s="706" t="s">
        <v>1143</v>
      </c>
      <c r="F845" s="706" t="s">
        <v>1152</v>
      </c>
      <c r="G845" s="706">
        <v>49221.14</v>
      </c>
      <c r="H845" s="706">
        <v>99180.14</v>
      </c>
      <c r="I845" s="706">
        <v>99432.5</v>
      </c>
      <c r="J845" s="706">
        <v>252596.73</v>
      </c>
      <c r="K845" s="706">
        <v>306500.73</v>
      </c>
      <c r="L845" s="706">
        <v>306500.73</v>
      </c>
      <c r="M845" s="706">
        <v>306500.73</v>
      </c>
      <c r="N845" s="706">
        <v>361915.73</v>
      </c>
      <c r="O845" s="706">
        <v>361915.73</v>
      </c>
      <c r="P845" s="706">
        <v>0</v>
      </c>
      <c r="Q845" s="706">
        <v>0</v>
      </c>
      <c r="R845" s="706">
        <v>0</v>
      </c>
      <c r="S845" s="706">
        <v>45239.47</v>
      </c>
      <c r="T845" s="706">
        <v>45239.47</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G62612</v>
      </c>
      <c r="AK845" s="905" t="str">
        <f t="shared" si="81"/>
        <v>COUT-BUICK ENVISION</v>
      </c>
      <c r="AL845" s="905">
        <f>IFERROR(INDEX(G845:R845,1,MATCH(Parametres!$B$3,G$1:R$1,0)-1)*IF(OR(F845="L",F845="S",F845="I"),-1,1),"")</f>
        <v>306500.73</v>
      </c>
      <c r="AM845" s="1047">
        <f t="shared" si="82"/>
        <v>55415</v>
      </c>
      <c r="AN845" s="905">
        <f>INDEX(G845:R845,1,MATCH(Parametres!$B$3,G$1:R$1,0))*IF(OR(F845="L",F845="S",F845="I"),-1,1)</f>
        <v>361915.73</v>
      </c>
      <c r="AO845" s="487" t="str">
        <f>+VLOOKUP($AJ845,Data_Validation!$A:$D,1,0)</f>
        <v>G62612</v>
      </c>
      <c r="AP845" s="487" t="str">
        <f>+VLOOKUP($AJ845,Data_Validation!$A:$D,3,0)</f>
        <v>Véhicules neufs</v>
      </c>
      <c r="AQ845" s="487" t="str">
        <f>+VLOOKUP($AJ845,Data_Validation!$A:$D,4,0)</f>
        <v>Camions détail</v>
      </c>
      <c r="AR845" s="487" t="s">
        <v>299</v>
      </c>
      <c r="AS845" s="487">
        <f>+VLOOKUP($AJ845,Data_Validation!$A:$E,5,0)</f>
        <v>0</v>
      </c>
      <c r="AT845" s="904" t="str">
        <f t="shared" si="83"/>
        <v>G62612</v>
      </c>
      <c r="AU845" s="488" t="str">
        <f t="shared" si="84"/>
        <v>COUT-BUICK ENVISION</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hidden="1" customHeight="1">
      <c r="A846" s="706" t="s">
        <v>1148</v>
      </c>
      <c r="B846" s="706">
        <v>2026</v>
      </c>
      <c r="C846" s="706" t="s">
        <v>2705</v>
      </c>
      <c r="D846" s="706" t="s">
        <v>2706</v>
      </c>
      <c r="E846" s="706" t="s">
        <v>1143</v>
      </c>
      <c r="F846" s="706" t="s">
        <v>1152</v>
      </c>
      <c r="G846" s="706">
        <v>0</v>
      </c>
      <c r="H846" s="706">
        <v>0</v>
      </c>
      <c r="I846" s="706">
        <v>68540.09</v>
      </c>
      <c r="J846" s="706">
        <v>201546.09</v>
      </c>
      <c r="K846" s="706">
        <v>233592.09</v>
      </c>
      <c r="L846" s="706">
        <v>333834.21999999997</v>
      </c>
      <c r="M846" s="706">
        <v>368145.9</v>
      </c>
      <c r="N846" s="706">
        <v>368145.9</v>
      </c>
      <c r="O846" s="706">
        <v>368145.9</v>
      </c>
      <c r="P846" s="706">
        <v>0</v>
      </c>
      <c r="Q846" s="706">
        <v>0</v>
      </c>
      <c r="R846" s="706">
        <v>0</v>
      </c>
      <c r="S846" s="706">
        <v>46018.239999999998</v>
      </c>
      <c r="T846" s="706">
        <v>46018.239999999998</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G62613</v>
      </c>
      <c r="AK846" s="905" t="str">
        <f t="shared" si="81"/>
        <v>COUT-BUICK ENVISTA</v>
      </c>
      <c r="AL846" s="905">
        <f>IFERROR(INDEX(G846:R846,1,MATCH(Parametres!$B$3,G$1:R$1,0)-1)*IF(OR(F846="L",F846="S",F846="I"),-1,1),"")</f>
        <v>368145.9</v>
      </c>
      <c r="AM846" s="905">
        <f t="shared" si="82"/>
        <v>0</v>
      </c>
      <c r="AN846" s="905">
        <f>INDEX(G846:R846,1,MATCH(Parametres!$B$3,G$1:R$1,0))*IF(OR(F846="L",F846="S",F846="I"),-1,1)</f>
        <v>368145.9</v>
      </c>
      <c r="AO846" s="487" t="str">
        <f>+VLOOKUP($AJ846,Data_Validation!$A:$D,1,0)</f>
        <v>G62613</v>
      </c>
      <c r="AP846" s="487" t="str">
        <f>+VLOOKUP($AJ846,Data_Validation!$A:$D,3,0)</f>
        <v>Véhicules neufs</v>
      </c>
      <c r="AQ846" s="487" t="str">
        <f>+VLOOKUP($AJ846,Data_Validation!$A:$D,4,0)</f>
        <v>Camions détail</v>
      </c>
      <c r="AR846" s="487" t="s">
        <v>299</v>
      </c>
      <c r="AS846" s="487">
        <f>+VLOOKUP($AJ846,Data_Validation!$A:$E,5,0)</f>
        <v>0</v>
      </c>
      <c r="AT846" s="904" t="str">
        <f t="shared" si="83"/>
        <v>G62613</v>
      </c>
      <c r="AU846" s="488" t="str">
        <f t="shared" si="84"/>
        <v>COUT-BUICK ENVISTA</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2707</v>
      </c>
      <c r="D847" s="706" t="s">
        <v>2708</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G62620</v>
      </c>
      <c r="AK847" s="905" t="str">
        <f t="shared" si="81"/>
        <v>COUT-SPICKUP/COLORADO-LOC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G62620</v>
      </c>
      <c r="AU847" s="488" t="str">
        <f t="shared" si="84"/>
        <v>COUT-SPICKUP/COLORADO-LOC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hidden="1" customHeight="1">
      <c r="A848" s="706" t="s">
        <v>1148</v>
      </c>
      <c r="B848" s="706">
        <v>2026</v>
      </c>
      <c r="C848" s="706" t="s">
        <v>2709</v>
      </c>
      <c r="D848" s="706" t="s">
        <v>2710</v>
      </c>
      <c r="E848" s="706" t="s">
        <v>1143</v>
      </c>
      <c r="F848" s="706" t="s">
        <v>1152</v>
      </c>
      <c r="G848" s="706">
        <v>59099.95</v>
      </c>
      <c r="H848" s="706">
        <v>116082.85</v>
      </c>
      <c r="I848" s="706">
        <v>116082.85</v>
      </c>
      <c r="J848" s="706">
        <v>175743.94</v>
      </c>
      <c r="K848" s="706">
        <v>243964.63</v>
      </c>
      <c r="L848" s="706">
        <v>300223.63</v>
      </c>
      <c r="M848" s="706">
        <v>496266.72</v>
      </c>
      <c r="N848" s="706">
        <v>496266.72</v>
      </c>
      <c r="O848" s="706">
        <v>496266.72</v>
      </c>
      <c r="P848" s="706">
        <v>0</v>
      </c>
      <c r="Q848" s="706">
        <v>0</v>
      </c>
      <c r="R848" s="706">
        <v>0</v>
      </c>
      <c r="S848" s="706">
        <v>62033.34</v>
      </c>
      <c r="T848" s="706">
        <v>62033.34</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G62700</v>
      </c>
      <c r="AK848" s="905" t="str">
        <f t="shared" si="81"/>
        <v>COUT-TRAVERSE</v>
      </c>
      <c r="AL848" s="905">
        <f>IFERROR(INDEX(G848:R848,1,MATCH(Parametres!$B$3,G$1:R$1,0)-1)*IF(OR(F848="L",F848="S",F848="I"),-1,1),"")</f>
        <v>496266.72</v>
      </c>
      <c r="AM848" s="1047">
        <f t="shared" si="82"/>
        <v>0</v>
      </c>
      <c r="AN848" s="905">
        <f>INDEX(G848:R848,1,MATCH(Parametres!$B$3,G$1:R$1,0))*IF(OR(F848="L",F848="S",F848="I"),-1,1)</f>
        <v>496266.72</v>
      </c>
      <c r="AO848" s="487" t="str">
        <f>+VLOOKUP($AJ848,Data_Validation!$A:$D,1,0)</f>
        <v>G62700</v>
      </c>
      <c r="AP848" s="487" t="str">
        <f>+VLOOKUP($AJ848,Data_Validation!$A:$D,3,0)</f>
        <v>Véhicules neufs</v>
      </c>
      <c r="AQ848" s="487" t="str">
        <f>+VLOOKUP($AJ848,Data_Validation!$A:$D,4,0)</f>
        <v>Camions détail</v>
      </c>
      <c r="AR848" s="487" t="s">
        <v>299</v>
      </c>
      <c r="AS848" s="487">
        <f>+VLOOKUP($AJ848,Data_Validation!$A:$E,5,0)</f>
        <v>0</v>
      </c>
      <c r="AT848" s="904" t="str">
        <f t="shared" si="83"/>
        <v>G62700</v>
      </c>
      <c r="AU848" s="488" t="str">
        <f t="shared" si="84"/>
        <v>COUT-TRAVERSE</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hidden="1" customHeight="1">
      <c r="A849" s="706" t="s">
        <v>1148</v>
      </c>
      <c r="B849" s="706">
        <v>2026</v>
      </c>
      <c r="C849" s="706" t="s">
        <v>2711</v>
      </c>
      <c r="D849" s="706" t="s">
        <v>2712</v>
      </c>
      <c r="E849" s="706" t="s">
        <v>1143</v>
      </c>
      <c r="F849" s="706" t="s">
        <v>1152</v>
      </c>
      <c r="G849" s="706">
        <v>0</v>
      </c>
      <c r="H849" s="706">
        <v>0</v>
      </c>
      <c r="I849" s="706">
        <v>0</v>
      </c>
      <c r="J849" s="706">
        <v>75348.5</v>
      </c>
      <c r="K849" s="706">
        <v>138372.42000000001</v>
      </c>
      <c r="L849" s="706">
        <v>138372.42000000001</v>
      </c>
      <c r="M849" s="706">
        <v>138372.42000000001</v>
      </c>
      <c r="N849" s="706">
        <v>138372.42000000001</v>
      </c>
      <c r="O849" s="706">
        <v>138372.42000000001</v>
      </c>
      <c r="P849" s="706">
        <v>0</v>
      </c>
      <c r="Q849" s="706">
        <v>0</v>
      </c>
      <c r="R849" s="706">
        <v>0</v>
      </c>
      <c r="S849" s="706">
        <v>17296.55</v>
      </c>
      <c r="T849" s="706">
        <v>17296.55</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G62800</v>
      </c>
      <c r="AK849" s="905" t="str">
        <f t="shared" si="81"/>
        <v>COÛTANT BUICK ENCLAVE</v>
      </c>
      <c r="AL849" s="905">
        <f>IFERROR(INDEX(G849:R849,1,MATCH(Parametres!$B$3,G$1:R$1,0)-1)*IF(OR(F849="L",F849="S",F849="I"),-1,1),"")</f>
        <v>138372.42000000001</v>
      </c>
      <c r="AM849" s="1047">
        <f t="shared" si="82"/>
        <v>0</v>
      </c>
      <c r="AN849" s="905">
        <f>INDEX(G849:R849,1,MATCH(Parametres!$B$3,G$1:R$1,0))*IF(OR(F849="L",F849="S",F849="I"),-1,1)</f>
        <v>138372.42000000001</v>
      </c>
      <c r="AO849" s="487" t="str">
        <f>+VLOOKUP($AJ849,Data_Validation!$A:$D,1,0)</f>
        <v>G62800</v>
      </c>
      <c r="AP849" s="487" t="str">
        <f>+VLOOKUP($AJ849,Data_Validation!$A:$D,3,0)</f>
        <v>Véhicules neufs</v>
      </c>
      <c r="AQ849" s="487" t="str">
        <f>+VLOOKUP($AJ849,Data_Validation!$A:$D,4,0)</f>
        <v>Camions détail</v>
      </c>
      <c r="AR849" s="487" t="s">
        <v>299</v>
      </c>
      <c r="AS849" s="487">
        <f>+VLOOKUP($AJ849,Data_Validation!$A:$E,5,0)</f>
        <v>0</v>
      </c>
      <c r="AT849" s="904" t="str">
        <f t="shared" si="83"/>
        <v>G62800</v>
      </c>
      <c r="AU849" s="488" t="str">
        <f t="shared" si="84"/>
        <v>COÛTANT BUICK ENCLAVE</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hidden="1" customHeight="1">
      <c r="A850" s="706" t="s">
        <v>1148</v>
      </c>
      <c r="B850" s="706">
        <v>2026</v>
      </c>
      <c r="C850" s="706" t="s">
        <v>2713</v>
      </c>
      <c r="D850" s="706" t="s">
        <v>2714</v>
      </c>
      <c r="E850" s="706" t="s">
        <v>1143</v>
      </c>
      <c r="F850" s="706" t="s">
        <v>1152</v>
      </c>
      <c r="G850" s="706">
        <v>39100.9</v>
      </c>
      <c r="H850" s="706">
        <v>73216.850000000006</v>
      </c>
      <c r="I850" s="706">
        <v>73216.850000000006</v>
      </c>
      <c r="J850" s="706">
        <v>111303.69</v>
      </c>
      <c r="K850" s="706">
        <v>111303.69</v>
      </c>
      <c r="L850" s="706">
        <v>183089.15</v>
      </c>
      <c r="M850" s="706">
        <v>183089.15</v>
      </c>
      <c r="N850" s="706">
        <v>219797.95</v>
      </c>
      <c r="O850" s="706">
        <v>219797.95</v>
      </c>
      <c r="P850" s="706">
        <v>0</v>
      </c>
      <c r="Q850" s="706">
        <v>0</v>
      </c>
      <c r="R850" s="706">
        <v>0</v>
      </c>
      <c r="S850" s="706">
        <v>27474.74</v>
      </c>
      <c r="T850" s="706">
        <v>27474.74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G62804</v>
      </c>
      <c r="AK850" s="905" t="str">
        <f t="shared" si="81"/>
        <v>COUT BUICK ENCORE</v>
      </c>
      <c r="AL850" s="905">
        <f>IFERROR(INDEX(G850:R850,1,MATCH(Parametres!$B$3,G$1:R$1,0)-1)*IF(OR(F850="L",F850="S",F850="I"),-1,1),"")</f>
        <v>183089.15</v>
      </c>
      <c r="AM850" s="905">
        <f t="shared" si="82"/>
        <v>36708.800000000017</v>
      </c>
      <c r="AN850" s="905">
        <f>INDEX(G850:R850,1,MATCH(Parametres!$B$3,G$1:R$1,0))*IF(OR(F850="L",F850="S",F850="I"),-1,1)</f>
        <v>219797.95</v>
      </c>
      <c r="AO850" s="487" t="str">
        <f>+VLOOKUP($AJ850,Data_Validation!$A:$D,1,0)</f>
        <v>G62804</v>
      </c>
      <c r="AP850" s="487" t="str">
        <f>+VLOOKUP($AJ850,Data_Validation!$A:$D,3,0)</f>
        <v>Véhicules neufs</v>
      </c>
      <c r="AQ850" s="487" t="str">
        <f>+VLOOKUP($AJ850,Data_Validation!$A:$D,4,0)</f>
        <v>Camions détail</v>
      </c>
      <c r="AR850" s="487" t="s">
        <v>299</v>
      </c>
      <c r="AS850" s="487">
        <f>+VLOOKUP($AJ850,Data_Validation!$A:$E,5,0)</f>
        <v>0</v>
      </c>
      <c r="AT850" s="904" t="str">
        <f t="shared" si="83"/>
        <v>G62804</v>
      </c>
      <c r="AU850" s="488" t="str">
        <f t="shared" si="84"/>
        <v>COUT BUICK ENCORE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2715</v>
      </c>
      <c r="D851" s="706" t="s">
        <v>2716</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G62820</v>
      </c>
      <c r="AK851" s="905" t="str">
        <f t="shared" si="81"/>
        <v>COUT-TRAIL BALZER    -LOC</v>
      </c>
      <c r="AL851" s="905">
        <f>IFERROR(INDEX(G851:R851,1,MATCH(Parametres!$B$3,G$1:R$1,0)-1)*IF(OR(F851="L",F851="S",F851="I"),-1,1),"")</f>
        <v>0</v>
      </c>
      <c r="AM851" s="1047">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G62820</v>
      </c>
      <c r="AU851" s="488" t="str">
        <f t="shared" si="84"/>
        <v>COUT-TRAIL BALZER    -LOC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hidden="1" customHeight="1">
      <c r="A852" s="706" t="s">
        <v>1148</v>
      </c>
      <c r="B852" s="706">
        <v>2026</v>
      </c>
      <c r="C852" s="706" t="s">
        <v>2717</v>
      </c>
      <c r="D852" s="706" t="s">
        <v>2718</v>
      </c>
      <c r="E852" s="706" t="s">
        <v>1143</v>
      </c>
      <c r="F852" s="706" t="s">
        <v>1152</v>
      </c>
      <c r="G852" s="706">
        <v>163604.79999999999</v>
      </c>
      <c r="H852" s="706">
        <v>254067.85</v>
      </c>
      <c r="I852" s="706">
        <v>348128.49</v>
      </c>
      <c r="J852" s="706">
        <v>469050.88</v>
      </c>
      <c r="K852" s="706">
        <v>533516.16</v>
      </c>
      <c r="L852" s="706">
        <v>562547.81000000006</v>
      </c>
      <c r="M852" s="706">
        <v>715139.27</v>
      </c>
      <c r="N852" s="706">
        <v>799710.65</v>
      </c>
      <c r="O852" s="706">
        <v>799710.65</v>
      </c>
      <c r="P852" s="706">
        <v>0</v>
      </c>
      <c r="Q852" s="706">
        <v>0</v>
      </c>
      <c r="R852" s="706">
        <v>0</v>
      </c>
      <c r="S852" s="706">
        <v>99963.83</v>
      </c>
      <c r="T852" s="706">
        <v>99963.83</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G62850</v>
      </c>
      <c r="AK852" s="905" t="str">
        <f t="shared" si="81"/>
        <v>COUTANT CHEVROLET TRAX</v>
      </c>
      <c r="AL852" s="905">
        <f>IFERROR(INDEX(G852:R852,1,MATCH(Parametres!$B$3,G$1:R$1,0)-1)*IF(OR(F852="L",F852="S",F852="I"),-1,1),"")</f>
        <v>715139.27</v>
      </c>
      <c r="AM852" s="1047">
        <f t="shared" si="82"/>
        <v>84571.38</v>
      </c>
      <c r="AN852" s="905">
        <f>INDEX(G852:R852,1,MATCH(Parametres!$B$3,G$1:R$1,0))*IF(OR(F852="L",F852="S",F852="I"),-1,1)</f>
        <v>799710.65</v>
      </c>
      <c r="AO852" s="487" t="str">
        <f>+VLOOKUP($AJ852,Data_Validation!$A:$D,1,0)</f>
        <v>G62850</v>
      </c>
      <c r="AP852" s="487" t="str">
        <f>+VLOOKUP($AJ852,Data_Validation!$A:$D,3,0)</f>
        <v>Véhicules neufs</v>
      </c>
      <c r="AQ852" s="487" t="str">
        <f>+VLOOKUP($AJ852,Data_Validation!$A:$D,4,0)</f>
        <v>Camions détail</v>
      </c>
      <c r="AR852" s="487" t="s">
        <v>299</v>
      </c>
      <c r="AS852" s="487">
        <f>+VLOOKUP($AJ852,Data_Validation!$A:$E,5,0)</f>
        <v>0</v>
      </c>
      <c r="AT852" s="904" t="str">
        <f t="shared" si="83"/>
        <v>G62850</v>
      </c>
      <c r="AU852" s="488" t="str">
        <f t="shared" si="84"/>
        <v>COUTANT CHEVROLET TRAX</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2719</v>
      </c>
      <c r="D853" s="706" t="s">
        <v>2720</v>
      </c>
      <c r="E853" s="706" t="s">
        <v>1143</v>
      </c>
      <c r="F853" s="706" t="s">
        <v>1152</v>
      </c>
      <c r="G853" s="706">
        <v>275883.74</v>
      </c>
      <c r="H853" s="706">
        <v>367937.75</v>
      </c>
      <c r="I853" s="706">
        <v>626758.68000000005</v>
      </c>
      <c r="J853" s="706">
        <v>626758.68000000005</v>
      </c>
      <c r="K853" s="706">
        <v>693368.68</v>
      </c>
      <c r="L853" s="706">
        <v>874729.5</v>
      </c>
      <c r="M853" s="706">
        <v>874729.5</v>
      </c>
      <c r="N853" s="706">
        <v>874729.5</v>
      </c>
      <c r="O853" s="706">
        <v>874729.5</v>
      </c>
      <c r="P853" s="706">
        <v>0</v>
      </c>
      <c r="Q853" s="706">
        <v>0</v>
      </c>
      <c r="R853" s="706">
        <v>0</v>
      </c>
      <c r="S853" s="706">
        <v>109341.19</v>
      </c>
      <c r="T853" s="706">
        <v>109341.19</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G62900</v>
      </c>
      <c r="AK853" s="905" t="str">
        <f t="shared" si="81"/>
        <v>COUT-TAHOE/SUBURBAN</v>
      </c>
      <c r="AL853" s="905">
        <f>IFERROR(INDEX(G853:R853,1,MATCH(Parametres!$B$3,G$1:R$1,0)-1)*IF(OR(F853="L",F853="S",F853="I"),-1,1),"")</f>
        <v>874729.5</v>
      </c>
      <c r="AM853" s="1047">
        <f t="shared" si="82"/>
        <v>0</v>
      </c>
      <c r="AN853" s="905">
        <f>INDEX(G853:R853,1,MATCH(Parametres!$B$3,G$1:R$1,0))*IF(OR(F853="L",F853="S",F853="I"),-1,1)</f>
        <v>874729.5</v>
      </c>
      <c r="AO853" s="487" t="str">
        <f>+VLOOKUP($AJ853,Data_Validation!$A:$D,1,0)</f>
        <v>G62900</v>
      </c>
      <c r="AP853" s="487" t="str">
        <f>+VLOOKUP($AJ853,Data_Validation!$A:$D,3,0)</f>
        <v>Véhicules neufs</v>
      </c>
      <c r="AQ853" s="487" t="str">
        <f>+VLOOKUP($AJ853,Data_Validation!$A:$D,4,0)</f>
        <v>Camions détail</v>
      </c>
      <c r="AR853" s="487" t="s">
        <v>299</v>
      </c>
      <c r="AS853" s="487">
        <f>+VLOOKUP($AJ853,Data_Validation!$A:$E,5,0)</f>
        <v>0</v>
      </c>
      <c r="AT853" s="904" t="str">
        <f t="shared" si="83"/>
        <v>G62900</v>
      </c>
      <c r="AU853" s="488" t="str">
        <f t="shared" si="84"/>
        <v>COUT-TAHOE/SUBURBAN</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2721</v>
      </c>
      <c r="D854" s="706" t="s">
        <v>2722</v>
      </c>
      <c r="E854" s="706" t="s">
        <v>1143</v>
      </c>
      <c r="F854" s="706" t="s">
        <v>1152</v>
      </c>
      <c r="G854" s="706">
        <v>278797.93</v>
      </c>
      <c r="H854" s="706">
        <v>563208.92000000004</v>
      </c>
      <c r="I854" s="706">
        <v>1033013.62</v>
      </c>
      <c r="J854" s="706">
        <v>1319349.4099999999</v>
      </c>
      <c r="K854" s="706">
        <v>1763629.82</v>
      </c>
      <c r="L854" s="706">
        <v>2289254.42</v>
      </c>
      <c r="M854" s="706">
        <v>2579710.81</v>
      </c>
      <c r="N854" s="706">
        <v>2714563.83</v>
      </c>
      <c r="O854" s="706">
        <v>2714563.83</v>
      </c>
      <c r="P854" s="706">
        <v>0</v>
      </c>
      <c r="Q854" s="706">
        <v>0</v>
      </c>
      <c r="R854" s="706">
        <v>0</v>
      </c>
      <c r="S854" s="706">
        <v>339320.48</v>
      </c>
      <c r="T854" s="706">
        <v>339320.48</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G63000</v>
      </c>
      <c r="AK854" s="905" t="str">
        <f t="shared" si="81"/>
        <v>COUT-CL 1500 SILVERADO</v>
      </c>
      <c r="AL854" s="905">
        <f>IFERROR(INDEX(G854:R854,1,MATCH(Parametres!$B$3,G$1:R$1,0)-1)*IF(OR(F854="L",F854="S",F854="I"),-1,1),"")</f>
        <v>2579710.81</v>
      </c>
      <c r="AM854" s="905">
        <f t="shared" si="82"/>
        <v>134853.02000000002</v>
      </c>
      <c r="AN854" s="905">
        <f>INDEX(G854:R854,1,MATCH(Parametres!$B$3,G$1:R$1,0))*IF(OR(F854="L",F854="S",F854="I"),-1,1)</f>
        <v>2714563.83</v>
      </c>
      <c r="AO854" s="487" t="str">
        <f>+VLOOKUP($AJ854,Data_Validation!$A:$D,1,0)</f>
        <v>G63000</v>
      </c>
      <c r="AP854" s="487" t="str">
        <f>+VLOOKUP($AJ854,Data_Validation!$A:$D,3,0)</f>
        <v>Véhicules neufs</v>
      </c>
      <c r="AQ854" s="487" t="str">
        <f>+VLOOKUP($AJ854,Data_Validation!$A:$D,4,0)</f>
        <v>Camions détail</v>
      </c>
      <c r="AR854" s="487" t="s">
        <v>299</v>
      </c>
      <c r="AS854" s="487">
        <f>+VLOOKUP($AJ854,Data_Validation!$A:$E,5,0)</f>
        <v>0</v>
      </c>
      <c r="AT854" s="904" t="str">
        <f t="shared" si="83"/>
        <v>G63000</v>
      </c>
      <c r="AU854" s="488" t="str">
        <f t="shared" si="84"/>
        <v>COUT-CL 1500 SILVERADO</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2723</v>
      </c>
      <c r="D855" s="706" t="s">
        <v>2724</v>
      </c>
      <c r="E855" s="706" t="s">
        <v>1143</v>
      </c>
      <c r="F855" s="706" t="s">
        <v>1152</v>
      </c>
      <c r="G855" s="706">
        <v>0</v>
      </c>
      <c r="H855" s="706">
        <v>0</v>
      </c>
      <c r="I855" s="706">
        <v>0</v>
      </c>
      <c r="J855" s="706">
        <v>216195.74</v>
      </c>
      <c r="K855" s="706">
        <v>216195.74</v>
      </c>
      <c r="L855" s="706">
        <v>216195.74</v>
      </c>
      <c r="M855" s="706">
        <v>324367.78999999998</v>
      </c>
      <c r="N855" s="706">
        <v>324367.78999999998</v>
      </c>
      <c r="O855" s="706">
        <v>324367.78999999998</v>
      </c>
      <c r="P855" s="706">
        <v>0</v>
      </c>
      <c r="Q855" s="706">
        <v>0</v>
      </c>
      <c r="R855" s="706">
        <v>0</v>
      </c>
      <c r="S855" s="706">
        <v>40545.97</v>
      </c>
      <c r="T855" s="706">
        <v>40545.97</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G63001</v>
      </c>
      <c r="AK855" s="905" t="str">
        <f t="shared" si="81"/>
        <v>COUT - SILVERADO EV</v>
      </c>
      <c r="AL855" s="905">
        <f>IFERROR(INDEX(G855:R855,1,MATCH(Parametres!$B$3,G$1:R$1,0)-1)*IF(OR(F855="L",F855="S",F855="I"),-1,1),"")</f>
        <v>324367.78999999998</v>
      </c>
      <c r="AM855" s="1047">
        <f t="shared" si="82"/>
        <v>0</v>
      </c>
      <c r="AN855" s="905">
        <f>INDEX(G855:R855,1,MATCH(Parametres!$B$3,G$1:R$1,0))*IF(OR(F855="L",F855="S",F855="I"),-1,1)</f>
        <v>324367.78999999998</v>
      </c>
      <c r="AO855" s="487" t="str">
        <f>+VLOOKUP($AJ855,Data_Validation!$A:$D,1,0)</f>
        <v>G63001</v>
      </c>
      <c r="AP855" s="487" t="str">
        <f>+VLOOKUP($AJ855,Data_Validation!$A:$D,3,0)</f>
        <v>Véhicules neufs</v>
      </c>
      <c r="AQ855" s="487" t="str">
        <f>+VLOOKUP($AJ855,Data_Validation!$A:$D,4,0)</f>
        <v>Camions electriques</v>
      </c>
      <c r="AR855" s="487" t="s">
        <v>299</v>
      </c>
      <c r="AS855" s="487">
        <f>+VLOOKUP($AJ855,Data_Validation!$A:$E,5,0)</f>
        <v>0</v>
      </c>
      <c r="AT855" s="904" t="str">
        <f t="shared" si="83"/>
        <v>G63001</v>
      </c>
      <c r="AU855" s="488" t="str">
        <f t="shared" si="84"/>
        <v>COUT - SILVERADO EV</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2725</v>
      </c>
      <c r="D856" s="706" t="s">
        <v>2726</v>
      </c>
      <c r="E856" s="706" t="s">
        <v>1143</v>
      </c>
      <c r="F856" s="706" t="s">
        <v>1152</v>
      </c>
      <c r="G856" s="706">
        <v>92749.89</v>
      </c>
      <c r="H856" s="706">
        <v>396129</v>
      </c>
      <c r="I856" s="706">
        <v>728145.5</v>
      </c>
      <c r="J856" s="706">
        <v>728145.5</v>
      </c>
      <c r="K856" s="706">
        <v>960653.88</v>
      </c>
      <c r="L856" s="706">
        <v>1371355.67</v>
      </c>
      <c r="M856" s="706">
        <v>1620159.3</v>
      </c>
      <c r="N856" s="706">
        <v>1711026.72</v>
      </c>
      <c r="O856" s="706">
        <v>1711026.72</v>
      </c>
      <c r="P856" s="706">
        <v>0</v>
      </c>
      <c r="Q856" s="706">
        <v>0</v>
      </c>
      <c r="R856" s="706">
        <v>0</v>
      </c>
      <c r="S856" s="706">
        <v>213878.34</v>
      </c>
      <c r="T856" s="706">
        <v>213878.34</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G63002</v>
      </c>
      <c r="AK856" s="905" t="str">
        <f t="shared" ref="AK856:AK919" si="87">D856</f>
        <v>COUT - YUKON</v>
      </c>
      <c r="AL856" s="905">
        <f>IFERROR(INDEX(G856:R856,1,MATCH(Parametres!$B$3,G$1:R$1,0)-1)*IF(OR(F856="L",F856="S",F856="I"),-1,1),"")</f>
        <v>1620159.3</v>
      </c>
      <c r="AM856" s="905">
        <f t="shared" ref="AM856:AM919" si="88">AN856-AL856</f>
        <v>90867.419999999925</v>
      </c>
      <c r="AN856" s="905">
        <f>INDEX(G856:R856,1,MATCH(Parametres!$B$3,G$1:R$1,0))*IF(OR(F856="L",F856="S",F856="I"),-1,1)</f>
        <v>1711026.72</v>
      </c>
      <c r="AO856" s="487" t="str">
        <f>+VLOOKUP($AJ856,Data_Validation!$A:$D,1,0)</f>
        <v>G63002</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G63002</v>
      </c>
      <c r="AU856" s="488" t="str">
        <f t="shared" ref="AU856:AU919" si="90">D856</f>
        <v>COUT - YUKON</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hidden="1" customHeight="1">
      <c r="A857" s="706" t="s">
        <v>1148</v>
      </c>
      <c r="B857" s="706">
        <v>2026</v>
      </c>
      <c r="C857" s="706" t="s">
        <v>2727</v>
      </c>
      <c r="D857" s="706" t="s">
        <v>2728</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G63020</v>
      </c>
      <c r="AK857" s="905" t="str">
        <f t="shared" si="87"/>
        <v>COUT-CL 1500 SILVERAD-LOC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G63020</v>
      </c>
      <c r="AU857" s="488" t="str">
        <f t="shared" si="90"/>
        <v>COUT-CL 1500 SILVERAD-LOC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2729</v>
      </c>
      <c r="D858" s="706" t="s">
        <v>2730</v>
      </c>
      <c r="E858" s="706" t="s">
        <v>1143</v>
      </c>
      <c r="F858" s="706" t="s">
        <v>1152</v>
      </c>
      <c r="G858" s="706">
        <v>95881.95</v>
      </c>
      <c r="H858" s="706">
        <v>284200.96999999997</v>
      </c>
      <c r="I858" s="706">
        <v>667588.17000000004</v>
      </c>
      <c r="J858" s="706">
        <v>667588.17000000004</v>
      </c>
      <c r="K858" s="706">
        <v>763930.31</v>
      </c>
      <c r="L858" s="706">
        <v>865397.4</v>
      </c>
      <c r="M858" s="706">
        <v>943864.51</v>
      </c>
      <c r="N858" s="706">
        <v>1138555.77</v>
      </c>
      <c r="O858" s="706">
        <v>1138555.77</v>
      </c>
      <c r="P858" s="706">
        <v>0</v>
      </c>
      <c r="Q858" s="706">
        <v>0</v>
      </c>
      <c r="R858" s="706">
        <v>0</v>
      </c>
      <c r="S858" s="706">
        <v>142319.47</v>
      </c>
      <c r="T858" s="706">
        <v>142319.47</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G63100</v>
      </c>
      <c r="AK858" s="905" t="str">
        <f t="shared" si="87"/>
        <v>COUT-CL 2500 SILVERADO</v>
      </c>
      <c r="AL858" s="905">
        <f>IFERROR(INDEX(G858:R858,1,MATCH(Parametres!$B$3,G$1:R$1,0)-1)*IF(OR(F858="L",F858="S",F858="I"),-1,1),"")</f>
        <v>943864.51</v>
      </c>
      <c r="AM858" s="905">
        <f t="shared" si="88"/>
        <v>194691.26</v>
      </c>
      <c r="AN858" s="905">
        <f>INDEX(G858:R858,1,MATCH(Parametres!$B$3,G$1:R$1,0))*IF(OR(F858="L",F858="S",F858="I"),-1,1)</f>
        <v>1138555.77</v>
      </c>
      <c r="AO858" s="487" t="str">
        <f>+VLOOKUP($AJ858,Data_Validation!$A:$D,1,0)</f>
        <v>G63100</v>
      </c>
      <c r="AP858" s="487" t="str">
        <f>+VLOOKUP($AJ858,Data_Validation!$A:$D,3,0)</f>
        <v>Véhicules neufs</v>
      </c>
      <c r="AQ858" s="487" t="str">
        <f>+VLOOKUP($AJ858,Data_Validation!$A:$D,4,0)</f>
        <v>Camions détail</v>
      </c>
      <c r="AR858" s="487" t="s">
        <v>299</v>
      </c>
      <c r="AS858" s="487">
        <f>+VLOOKUP($AJ858,Data_Validation!$A:$E,5,0)</f>
        <v>0</v>
      </c>
      <c r="AT858" s="904" t="str">
        <f t="shared" si="89"/>
        <v>G63100</v>
      </c>
      <c r="AU858" s="488" t="str">
        <f t="shared" si="90"/>
        <v>COUT-CL 2500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2731</v>
      </c>
      <c r="D859" s="706" t="s">
        <v>2732</v>
      </c>
      <c r="E859" s="706" t="s">
        <v>1143</v>
      </c>
      <c r="F859" s="706" t="s">
        <v>1152</v>
      </c>
      <c r="G859" s="706">
        <v>147986.73000000001</v>
      </c>
      <c r="H859" s="706">
        <v>532197.18999999994</v>
      </c>
      <c r="I859" s="706">
        <v>842661.14</v>
      </c>
      <c r="J859" s="706">
        <v>1593081.49</v>
      </c>
      <c r="K859" s="706">
        <v>1961574.24</v>
      </c>
      <c r="L859" s="706">
        <v>2121431.2999999998</v>
      </c>
      <c r="M859" s="706">
        <v>2644271.8199999998</v>
      </c>
      <c r="N859" s="706">
        <v>3158456.8</v>
      </c>
      <c r="O859" s="706">
        <v>3158456.8</v>
      </c>
      <c r="P859" s="706">
        <v>0</v>
      </c>
      <c r="Q859" s="706">
        <v>0</v>
      </c>
      <c r="R859" s="706">
        <v>0</v>
      </c>
      <c r="S859" s="706">
        <v>394807.1</v>
      </c>
      <c r="T859" s="706">
        <v>394807.1</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G63102</v>
      </c>
      <c r="AK859" s="905" t="str">
        <f t="shared" si="87"/>
        <v>COUTANT CL 1500 SIERRA</v>
      </c>
      <c r="AL859" s="905">
        <f>IFERROR(INDEX(G859:R859,1,MATCH(Parametres!$B$3,G$1:R$1,0)-1)*IF(OR(F859="L",F859="S",F859="I"),-1,1),"")</f>
        <v>2644271.8199999998</v>
      </c>
      <c r="AM859" s="905">
        <f t="shared" si="88"/>
        <v>514184.98</v>
      </c>
      <c r="AN859" s="905">
        <f>INDEX(G859:R859,1,MATCH(Parametres!$B$3,G$1:R$1,0))*IF(OR(F859="L",F859="S",F859="I"),-1,1)</f>
        <v>3158456.8</v>
      </c>
      <c r="AO859" s="487" t="str">
        <f>+VLOOKUP($AJ859,Data_Validation!$A:$D,1,0)</f>
        <v>G63102</v>
      </c>
      <c r="AP859" s="487" t="str">
        <f>+VLOOKUP($AJ859,Data_Validation!$A:$D,3,0)</f>
        <v>Véhicules neufs</v>
      </c>
      <c r="AQ859" s="487" t="str">
        <f>+VLOOKUP($AJ859,Data_Validation!$A:$D,4,0)</f>
        <v>Camions détail</v>
      </c>
      <c r="AR859" s="487" t="s">
        <v>299</v>
      </c>
      <c r="AS859" s="487">
        <f>+VLOOKUP($AJ859,Data_Validation!$A:$E,5,0)</f>
        <v>0</v>
      </c>
      <c r="AT859" s="904" t="str">
        <f t="shared" si="89"/>
        <v>G63102</v>
      </c>
      <c r="AU859" s="488" t="str">
        <f t="shared" si="90"/>
        <v>COUTANT CL 1500 SIERRA</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hidden="1" customHeight="1">
      <c r="A860" s="706" t="s">
        <v>1148</v>
      </c>
      <c r="B860" s="706">
        <v>2026</v>
      </c>
      <c r="C860" s="706" t="s">
        <v>2733</v>
      </c>
      <c r="D860" s="706" t="s">
        <v>2734</v>
      </c>
      <c r="E860" s="706" t="s">
        <v>1143</v>
      </c>
      <c r="F860" s="706" t="s">
        <v>1152</v>
      </c>
      <c r="G860" s="706">
        <v>108075.05</v>
      </c>
      <c r="H860" s="706">
        <v>211150.1</v>
      </c>
      <c r="I860" s="706">
        <v>211150.1</v>
      </c>
      <c r="J860" s="706">
        <v>320050.96999999997</v>
      </c>
      <c r="K860" s="706">
        <v>320050.96999999997</v>
      </c>
      <c r="L860" s="706">
        <v>413048.11</v>
      </c>
      <c r="M860" s="706">
        <v>413048.11</v>
      </c>
      <c r="N860" s="706">
        <v>413048.11</v>
      </c>
      <c r="O860" s="706">
        <v>413048.11</v>
      </c>
      <c r="P860" s="706">
        <v>0</v>
      </c>
      <c r="Q860" s="706">
        <v>0</v>
      </c>
      <c r="R860" s="706">
        <v>0</v>
      </c>
      <c r="S860" s="706">
        <v>51631.01</v>
      </c>
      <c r="T860" s="706">
        <v>51631.01</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G63103</v>
      </c>
      <c r="AK860" s="905" t="str">
        <f t="shared" si="87"/>
        <v>COUT - SIERRA EV</v>
      </c>
      <c r="AL860" s="905">
        <f>IFERROR(INDEX(G860:R860,1,MATCH(Parametres!$B$3,G$1:R$1,0)-1)*IF(OR(F860="L",F860="S",F860="I"),-1,1),"")</f>
        <v>413048.11</v>
      </c>
      <c r="AM860" s="1047">
        <f t="shared" si="88"/>
        <v>0</v>
      </c>
      <c r="AN860" s="905">
        <f>INDEX(G860:R860,1,MATCH(Parametres!$B$3,G$1:R$1,0))*IF(OR(F860="L",F860="S",F860="I"),-1,1)</f>
        <v>413048.11</v>
      </c>
      <c r="AO860" s="487" t="str">
        <f>+VLOOKUP($AJ860,Data_Validation!$A:$D,1,0)</f>
        <v>G63103</v>
      </c>
      <c r="AP860" s="487" t="str">
        <f>+VLOOKUP($AJ860,Data_Validation!$A:$D,3,0)</f>
        <v>Véhicules neufs</v>
      </c>
      <c r="AQ860" s="487" t="str">
        <f>+VLOOKUP($AJ860,Data_Validation!$A:$D,4,0)</f>
        <v>Camions electriques</v>
      </c>
      <c r="AR860" s="487" t="s">
        <v>299</v>
      </c>
      <c r="AS860" s="487">
        <f>+VLOOKUP($AJ860,Data_Validation!$A:$E,5,0)</f>
        <v>0</v>
      </c>
      <c r="AT860" s="904" t="str">
        <f t="shared" si="89"/>
        <v>G63103</v>
      </c>
      <c r="AU860" s="488" t="str">
        <f t="shared" si="90"/>
        <v>COUT - SIERRA EV</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hidden="1" customHeight="1">
      <c r="A861" s="706" t="s">
        <v>1148</v>
      </c>
      <c r="B861" s="706">
        <v>2026</v>
      </c>
      <c r="C861" s="706" t="s">
        <v>2735</v>
      </c>
      <c r="D861" s="706" t="s">
        <v>2736</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G63120</v>
      </c>
      <c r="AK861" s="905" t="str">
        <f t="shared" si="87"/>
        <v>COUT-CL 2500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G63120</v>
      </c>
      <c r="AU861" s="488" t="str">
        <f t="shared" si="90"/>
        <v>COUT-CL 2500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2737</v>
      </c>
      <c r="D862" s="706" t="s">
        <v>2738</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G63200</v>
      </c>
      <c r="AK862" s="905" t="str">
        <f t="shared" si="87"/>
        <v>COUT-CL 3500 SILVERADO</v>
      </c>
      <c r="AL862" s="905">
        <f>IFERROR(INDEX(G862:R862,1,MATCH(Parametres!$B$3,G$1:R$1,0)-1)*IF(OR(F862="L",F862="S",F862="I"),-1,1),"")</f>
        <v>0</v>
      </c>
      <c r="AM862" s="905">
        <f t="shared" si="88"/>
        <v>0</v>
      </c>
      <c r="AN862" s="905">
        <f>INDEX(G862:R862,1,MATCH(Parametres!$B$3,G$1:R$1,0))*IF(OR(F862="L",F862="S",F862="I"),-1,1)</f>
        <v>0</v>
      </c>
      <c r="AO862" s="487" t="str">
        <f>+VLOOKUP($AJ862,Data_Validation!$A:$D,1,0)</f>
        <v>G63200</v>
      </c>
      <c r="AP862" s="487" t="str">
        <f>+VLOOKUP($AJ862,Data_Validation!$A:$D,3,0)</f>
        <v>Véhicules neufs</v>
      </c>
      <c r="AQ862" s="487" t="str">
        <f>+VLOOKUP($AJ862,Data_Validation!$A:$D,4,0)</f>
        <v>Camions détail</v>
      </c>
      <c r="AR862" s="487" t="s">
        <v>299</v>
      </c>
      <c r="AS862" s="487">
        <f>+VLOOKUP($AJ862,Data_Validation!$A:$E,5,0)</f>
        <v>0</v>
      </c>
      <c r="AT862" s="904" t="str">
        <f t="shared" si="89"/>
        <v>G63200</v>
      </c>
      <c r="AU862" s="488" t="str">
        <f t="shared" si="90"/>
        <v>COUT-CL 3500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hidden="1" customHeight="1">
      <c r="A863" s="706" t="s">
        <v>1148</v>
      </c>
      <c r="B863" s="706">
        <v>2026</v>
      </c>
      <c r="C863" s="706" t="s">
        <v>2739</v>
      </c>
      <c r="D863" s="706" t="s">
        <v>2740</v>
      </c>
      <c r="E863" s="706" t="s">
        <v>1143</v>
      </c>
      <c r="F863" s="706" t="s">
        <v>1152</v>
      </c>
      <c r="G863" s="706">
        <v>319231.27</v>
      </c>
      <c r="H863" s="706">
        <v>319231.27</v>
      </c>
      <c r="I863" s="706">
        <v>523709.44</v>
      </c>
      <c r="J863" s="706">
        <v>944789.7</v>
      </c>
      <c r="K863" s="706">
        <v>1339823.54</v>
      </c>
      <c r="L863" s="706">
        <v>1458323.17</v>
      </c>
      <c r="M863" s="706">
        <v>1679736.99</v>
      </c>
      <c r="N863" s="706">
        <v>1783762.04</v>
      </c>
      <c r="O863" s="706">
        <v>1783762.04</v>
      </c>
      <c r="P863" s="706">
        <v>0</v>
      </c>
      <c r="Q863" s="706">
        <v>0</v>
      </c>
      <c r="R863" s="706">
        <v>0</v>
      </c>
      <c r="S863" s="706">
        <v>222970.26</v>
      </c>
      <c r="T863" s="706">
        <v>222970.26</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G63202</v>
      </c>
      <c r="AK863" s="905" t="str">
        <f t="shared" si="87"/>
        <v>COUT- CL 2500 SIERRA</v>
      </c>
      <c r="AL863" s="905">
        <f>IFERROR(INDEX(G863:R863,1,MATCH(Parametres!$B$3,G$1:R$1,0)-1)*IF(OR(F863="L",F863="S",F863="I"),-1,1),"")</f>
        <v>1679736.99</v>
      </c>
      <c r="AM863" s="905">
        <f t="shared" si="88"/>
        <v>104025.05000000005</v>
      </c>
      <c r="AN863" s="905">
        <f>INDEX(G863:R863,1,MATCH(Parametres!$B$3,G$1:R$1,0))*IF(OR(F863="L",F863="S",F863="I"),-1,1)</f>
        <v>1783762.04</v>
      </c>
      <c r="AO863" s="487" t="str">
        <f>+VLOOKUP($AJ863,Data_Validation!$A:$D,1,0)</f>
        <v>G63202</v>
      </c>
      <c r="AP863" s="487" t="str">
        <f>+VLOOKUP($AJ863,Data_Validation!$A:$D,3,0)</f>
        <v>Véhicules neufs</v>
      </c>
      <c r="AQ863" s="487" t="str">
        <f>+VLOOKUP($AJ863,Data_Validation!$A:$D,4,0)</f>
        <v>Camions détail</v>
      </c>
      <c r="AR863" s="487" t="s">
        <v>299</v>
      </c>
      <c r="AS863" s="487">
        <f>+VLOOKUP($AJ863,Data_Validation!$A:$E,5,0)</f>
        <v>0</v>
      </c>
      <c r="AT863" s="904" t="str">
        <f t="shared" si="89"/>
        <v>G63202</v>
      </c>
      <c r="AU863" s="488" t="str">
        <f t="shared" si="90"/>
        <v>COUT- CL 2500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hidden="1" customHeight="1">
      <c r="A864" s="706" t="s">
        <v>1148</v>
      </c>
      <c r="B864" s="706">
        <v>2026</v>
      </c>
      <c r="C864" s="706" t="s">
        <v>2741</v>
      </c>
      <c r="D864" s="706" t="s">
        <v>2742</v>
      </c>
      <c r="E864" s="706" t="s">
        <v>1143</v>
      </c>
      <c r="F864" s="706" t="s">
        <v>1152</v>
      </c>
      <c r="G864" s="706">
        <v>215186.38</v>
      </c>
      <c r="H864" s="706">
        <v>215186.38</v>
      </c>
      <c r="I864" s="706">
        <v>323067.49</v>
      </c>
      <c r="J864" s="706">
        <v>323067.49</v>
      </c>
      <c r="K864" s="706">
        <v>323067.49</v>
      </c>
      <c r="L864" s="706">
        <v>323067.49</v>
      </c>
      <c r="M864" s="706">
        <v>323067.49</v>
      </c>
      <c r="N864" s="706">
        <v>323067.49</v>
      </c>
      <c r="O864" s="706">
        <v>323067.49</v>
      </c>
      <c r="P864" s="706">
        <v>0</v>
      </c>
      <c r="Q864" s="706">
        <v>0</v>
      </c>
      <c r="R864" s="706">
        <v>0</v>
      </c>
      <c r="S864" s="706">
        <v>40383.440000000002</v>
      </c>
      <c r="T864" s="706">
        <v>40383.440000000002</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G63203</v>
      </c>
      <c r="AK864" s="905" t="str">
        <f t="shared" si="87"/>
        <v>COUTANT - SIERRA 3500</v>
      </c>
      <c r="AL864" s="905">
        <f>IFERROR(INDEX(G864:R864,1,MATCH(Parametres!$B$3,G$1:R$1,0)-1)*IF(OR(F864="L",F864="S",F864="I"),-1,1),"")</f>
        <v>323067.49</v>
      </c>
      <c r="AM864" s="905">
        <f t="shared" si="88"/>
        <v>0</v>
      </c>
      <c r="AN864" s="905">
        <f>INDEX(G864:R864,1,MATCH(Parametres!$B$3,G$1:R$1,0))*IF(OR(F864="L",F864="S",F864="I"),-1,1)</f>
        <v>323067.49</v>
      </c>
      <c r="AO864" s="487" t="str">
        <f>+VLOOKUP($AJ864,Data_Validation!$A:$D,1,0)</f>
        <v>G63203</v>
      </c>
      <c r="AP864" s="487" t="str">
        <f>+VLOOKUP($AJ864,Data_Validation!$A:$D,3,0)</f>
        <v>Véhicules neufs</v>
      </c>
      <c r="AQ864" s="487" t="str">
        <f>+VLOOKUP($AJ864,Data_Validation!$A:$D,4,0)</f>
        <v>Camions détail</v>
      </c>
      <c r="AR864" s="487" t="s">
        <v>299</v>
      </c>
      <c r="AS864" s="487">
        <f>+VLOOKUP($AJ864,Data_Validation!$A:$E,5,0)</f>
        <v>0</v>
      </c>
      <c r="AT864" s="904" t="str">
        <f t="shared" si="89"/>
        <v>G63203</v>
      </c>
      <c r="AU864" s="488" t="str">
        <f t="shared" si="90"/>
        <v>COUTANT - SIERRA 3500</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2743</v>
      </c>
      <c r="D865" s="706" t="s">
        <v>2744</v>
      </c>
      <c r="E865" s="706" t="s">
        <v>1143</v>
      </c>
      <c r="F865" s="706" t="s">
        <v>1152</v>
      </c>
      <c r="G865" s="706">
        <v>0</v>
      </c>
      <c r="H865" s="706">
        <v>0</v>
      </c>
      <c r="I865" s="706">
        <v>0</v>
      </c>
      <c r="J865" s="706">
        <v>0</v>
      </c>
      <c r="K865" s="706">
        <v>0</v>
      </c>
      <c r="L865" s="706">
        <v>36856</v>
      </c>
      <c r="M865" s="706">
        <v>36856</v>
      </c>
      <c r="N865" s="706">
        <v>36856</v>
      </c>
      <c r="O865" s="706">
        <v>36856</v>
      </c>
      <c r="P865" s="706">
        <v>0</v>
      </c>
      <c r="Q865" s="706">
        <v>0</v>
      </c>
      <c r="R865" s="706">
        <v>0</v>
      </c>
      <c r="S865" s="706">
        <v>4607</v>
      </c>
      <c r="T865" s="706">
        <v>4607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G63300</v>
      </c>
      <c r="AK865" s="905" t="str">
        <f t="shared" si="87"/>
        <v>COUT-BLAZER</v>
      </c>
      <c r="AL865" s="905">
        <f>IFERROR(INDEX(G865:R865,1,MATCH(Parametres!$B$3,G$1:R$1,0)-1)*IF(OR(F865="L",F865="S",F865="I"),-1,1),"")</f>
        <v>36856</v>
      </c>
      <c r="AM865" s="905">
        <f t="shared" si="88"/>
        <v>0</v>
      </c>
      <c r="AN865" s="905">
        <f>INDEX(G865:R865,1,MATCH(Parametres!$B$3,G$1:R$1,0))*IF(OR(F865="L",F865="S",F865="I"),-1,1)</f>
        <v>36856</v>
      </c>
      <c r="AO865" s="487" t="str">
        <f>+VLOOKUP($AJ865,Data_Validation!$A:$D,1,0)</f>
        <v>G63300</v>
      </c>
      <c r="AP865" s="487" t="str">
        <f>+VLOOKUP($AJ865,Data_Validation!$A:$D,3,0)</f>
        <v>Véhicules neufs</v>
      </c>
      <c r="AQ865" s="487" t="str">
        <f>+VLOOKUP($AJ865,Data_Validation!$A:$D,4,0)</f>
        <v>Camions détail</v>
      </c>
      <c r="AR865" s="487" t="s">
        <v>299</v>
      </c>
      <c r="AS865" s="487">
        <f>+VLOOKUP($AJ865,Data_Validation!$A:$E,5,0)</f>
        <v>0</v>
      </c>
      <c r="AT865" s="904" t="str">
        <f t="shared" si="89"/>
        <v>G63300</v>
      </c>
      <c r="AU865" s="488" t="str">
        <f t="shared" si="90"/>
        <v>COUT-BLAZER</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2745</v>
      </c>
      <c r="D866" s="706" t="s">
        <v>2746</v>
      </c>
      <c r="E866" s="706" t="s">
        <v>1143</v>
      </c>
      <c r="F866" s="706" t="s">
        <v>1152</v>
      </c>
      <c r="G866" s="706">
        <v>0</v>
      </c>
      <c r="H866" s="706">
        <v>0</v>
      </c>
      <c r="I866" s="706">
        <v>179333.38</v>
      </c>
      <c r="J866" s="706">
        <v>334500.34000000003</v>
      </c>
      <c r="K866" s="706">
        <v>449487.89</v>
      </c>
      <c r="L866" s="706">
        <v>449487.89</v>
      </c>
      <c r="M866" s="706">
        <v>449487.89</v>
      </c>
      <c r="N866" s="706">
        <v>449487.89</v>
      </c>
      <c r="O866" s="706">
        <v>449487.89</v>
      </c>
      <c r="P866" s="706">
        <v>0</v>
      </c>
      <c r="Q866" s="706">
        <v>0</v>
      </c>
      <c r="R866" s="706">
        <v>0</v>
      </c>
      <c r="S866" s="706">
        <v>56185.99</v>
      </c>
      <c r="T866" s="706">
        <v>56185.99</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G63301</v>
      </c>
      <c r="AK866" s="905" t="str">
        <f t="shared" si="87"/>
        <v>COUT-BLAZER EV</v>
      </c>
      <c r="AL866" s="905">
        <f>IFERROR(INDEX(G866:R866,1,MATCH(Parametres!$B$3,G$1:R$1,0)-1)*IF(OR(F866="L",F866="S",F866="I"),-1,1),"")</f>
        <v>449487.89</v>
      </c>
      <c r="AM866" s="905">
        <f t="shared" si="88"/>
        <v>0</v>
      </c>
      <c r="AN866" s="905">
        <f>INDEX(G866:R866,1,MATCH(Parametres!$B$3,G$1:R$1,0))*IF(OR(F866="L",F866="S",F866="I"),-1,1)</f>
        <v>449487.89</v>
      </c>
      <c r="AO866" s="487" t="str">
        <f>+VLOOKUP($AJ866,Data_Validation!$A:$D,1,0)</f>
        <v>G63301</v>
      </c>
      <c r="AP866" s="487" t="str">
        <f>+VLOOKUP($AJ866,Data_Validation!$A:$D,3,0)</f>
        <v>Véhicules neufs</v>
      </c>
      <c r="AQ866" s="487" t="str">
        <f>+VLOOKUP($AJ866,Data_Validation!$A:$D,4,0)</f>
        <v>Camions electriques</v>
      </c>
      <c r="AR866" s="487" t="s">
        <v>299</v>
      </c>
      <c r="AS866" s="487">
        <f>+VLOOKUP($AJ866,Data_Validation!$A:$E,5,0)</f>
        <v>0</v>
      </c>
      <c r="AT866" s="904" t="str">
        <f t="shared" si="89"/>
        <v>G63301</v>
      </c>
      <c r="AU866" s="488" t="str">
        <f t="shared" si="90"/>
        <v>COUT-BLAZER EV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2747</v>
      </c>
      <c r="D867" s="706" t="s">
        <v>2748</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G63320</v>
      </c>
      <c r="AK867" s="905" t="str">
        <f t="shared" si="87"/>
        <v>COUT-CL 3500 SILVERAD-LOC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G63320</v>
      </c>
      <c r="AU867" s="488" t="str">
        <f t="shared" si="90"/>
        <v>COUT-CL 3500 SILVERAD-LOC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2749</v>
      </c>
      <c r="D868" s="706" t="s">
        <v>2750</v>
      </c>
      <c r="E868" s="706" t="s">
        <v>1143</v>
      </c>
      <c r="F868" s="706" t="s">
        <v>1152</v>
      </c>
      <c r="G868" s="706">
        <v>82360.75</v>
      </c>
      <c r="H868" s="706">
        <v>169932.97</v>
      </c>
      <c r="I868" s="706">
        <v>216193.02</v>
      </c>
      <c r="J868" s="706">
        <v>256081.92000000001</v>
      </c>
      <c r="K868" s="706">
        <v>302252.92</v>
      </c>
      <c r="L868" s="706">
        <v>345066.99</v>
      </c>
      <c r="M868" s="706">
        <v>381754.99</v>
      </c>
      <c r="N868" s="706">
        <v>381754.99</v>
      </c>
      <c r="O868" s="706">
        <v>381754.99</v>
      </c>
      <c r="P868" s="706">
        <v>0</v>
      </c>
      <c r="Q868" s="706">
        <v>0</v>
      </c>
      <c r="R868" s="706">
        <v>0</v>
      </c>
      <c r="S868" s="706">
        <v>47719.37</v>
      </c>
      <c r="T868" s="706">
        <v>47719.37</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G63400</v>
      </c>
      <c r="AK868" s="905" t="str">
        <f t="shared" si="87"/>
        <v>COUTANT EQUINOX</v>
      </c>
      <c r="AL868" s="905">
        <f>IFERROR(INDEX(G868:R868,1,MATCH(Parametres!$B$3,G$1:R$1,0)-1)*IF(OR(F868="L",F868="S",F868="I"),-1,1),"")</f>
        <v>381754.99</v>
      </c>
      <c r="AM868" s="905">
        <f t="shared" si="88"/>
        <v>0</v>
      </c>
      <c r="AN868" s="905">
        <f>INDEX(G868:R868,1,MATCH(Parametres!$B$3,G$1:R$1,0))*IF(OR(F868="L",F868="S",F868="I"),-1,1)</f>
        <v>381754.99</v>
      </c>
      <c r="AO868" s="487" t="str">
        <f>+VLOOKUP($AJ868,Data_Validation!$A:$D,1,0)</f>
        <v>G63400</v>
      </c>
      <c r="AP868" s="487" t="str">
        <f>+VLOOKUP($AJ868,Data_Validation!$A:$D,3,0)</f>
        <v>Véhicules neufs</v>
      </c>
      <c r="AQ868" s="487" t="str">
        <f>+VLOOKUP($AJ868,Data_Validation!$A:$D,4,0)</f>
        <v>Camions détail</v>
      </c>
      <c r="AR868" s="487" t="s">
        <v>299</v>
      </c>
      <c r="AS868" s="487">
        <f>+VLOOKUP($AJ868,Data_Validation!$A:$E,5,0)</f>
        <v>0</v>
      </c>
      <c r="AT868" s="904" t="str">
        <f t="shared" si="89"/>
        <v>G63400</v>
      </c>
      <c r="AU868" s="488" t="str">
        <f t="shared" si="90"/>
        <v>COUTANT EQUINOX</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2751</v>
      </c>
      <c r="D869" s="706" t="s">
        <v>2752</v>
      </c>
      <c r="E869" s="706" t="s">
        <v>1143</v>
      </c>
      <c r="F869" s="706" t="s">
        <v>1152</v>
      </c>
      <c r="G869" s="706">
        <v>0</v>
      </c>
      <c r="H869" s="706">
        <v>109230.59</v>
      </c>
      <c r="I869" s="706">
        <v>343158.24</v>
      </c>
      <c r="J869" s="706">
        <v>1393624.66</v>
      </c>
      <c r="K869" s="706">
        <v>1540456.79</v>
      </c>
      <c r="L869" s="706">
        <v>1589977.28</v>
      </c>
      <c r="M869" s="706">
        <v>1906175.12</v>
      </c>
      <c r="N869" s="706">
        <v>2326031.7000000002</v>
      </c>
      <c r="O869" s="706">
        <v>2326031.7000000002</v>
      </c>
      <c r="P869" s="706">
        <v>0</v>
      </c>
      <c r="Q869" s="706">
        <v>0</v>
      </c>
      <c r="R869" s="706">
        <v>0</v>
      </c>
      <c r="S869" s="706">
        <v>290753.96000000002</v>
      </c>
      <c r="T869" s="706">
        <v>290753.96000000002</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G63401</v>
      </c>
      <c r="AK869" s="905" t="str">
        <f t="shared" si="87"/>
        <v>COUT - EQUINOX EV</v>
      </c>
      <c r="AL869" s="905">
        <f>IFERROR(INDEX(G869:R869,1,MATCH(Parametres!$B$3,G$1:R$1,0)-1)*IF(OR(F869="L",F869="S",F869="I"),-1,1),"")</f>
        <v>1906175.12</v>
      </c>
      <c r="AM869" s="905">
        <f t="shared" si="88"/>
        <v>419856.58000000007</v>
      </c>
      <c r="AN869" s="905">
        <f>INDEX(G869:R869,1,MATCH(Parametres!$B$3,G$1:R$1,0))*IF(OR(F869="L",F869="S",F869="I"),-1,1)</f>
        <v>2326031.7000000002</v>
      </c>
      <c r="AO869" s="487" t="str">
        <f>+VLOOKUP($AJ869,Data_Validation!$A:$D,1,0)</f>
        <v>G63401</v>
      </c>
      <c r="AP869" s="487" t="str">
        <f>+VLOOKUP($AJ869,Data_Validation!$A:$D,3,0)</f>
        <v>Véhicules neufs</v>
      </c>
      <c r="AQ869" s="487" t="str">
        <f>+VLOOKUP($AJ869,Data_Validation!$A:$D,4,0)</f>
        <v>Camions electriques</v>
      </c>
      <c r="AR869" s="487" t="s">
        <v>299</v>
      </c>
      <c r="AS869" s="487">
        <f>+VLOOKUP($AJ869,Data_Validation!$A:$E,5,0)</f>
        <v>0</v>
      </c>
      <c r="AT869" s="904" t="str">
        <f t="shared" si="89"/>
        <v>G63401</v>
      </c>
      <c r="AU869" s="488" t="str">
        <f t="shared" si="90"/>
        <v>COUT - EQUINOX EV</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2753</v>
      </c>
      <c r="D870" s="706" t="s">
        <v>2754</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G63420</v>
      </c>
      <c r="AK870" s="905" t="str">
        <f t="shared" si="87"/>
        <v>COUT-TRACKER         -LOC</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G63420</v>
      </c>
      <c r="AU870" s="488" t="str">
        <f t="shared" si="90"/>
        <v>COUT-TRACKER         -LOC</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2755</v>
      </c>
      <c r="D871" s="706" t="s">
        <v>2756</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G63500</v>
      </c>
      <c r="AK871" s="905" t="str">
        <f t="shared" si="87"/>
        <v>COUT CHEV CITY</v>
      </c>
      <c r="AL871" s="905">
        <f>IFERROR(INDEX(G871:R871,1,MATCH(Parametres!$B$3,G$1:R$1,0)-1)*IF(OR(F871="L",F871="S",F871="I"),-1,1),"")</f>
        <v>0</v>
      </c>
      <c r="AM871" s="905">
        <f t="shared" si="88"/>
        <v>0</v>
      </c>
      <c r="AN871" s="905">
        <f>INDEX(G871:R871,1,MATCH(Parametres!$B$3,G$1:R$1,0))*IF(OR(F871="L",F871="S",F871="I"),-1,1)</f>
        <v>0</v>
      </c>
      <c r="AO871" s="487" t="str">
        <f>+VLOOKUP($AJ871,Data_Validation!$A:$D,1,0)</f>
        <v>G63500</v>
      </c>
      <c r="AP871" s="487" t="str">
        <f>+VLOOKUP($AJ871,Data_Validation!$A:$D,3,0)</f>
        <v>Véhicules neufs</v>
      </c>
      <c r="AQ871" s="487" t="str">
        <f>+VLOOKUP($AJ871,Data_Validation!$A:$D,4,0)</f>
        <v>Camions détail</v>
      </c>
      <c r="AR871" s="487" t="s">
        <v>299</v>
      </c>
      <c r="AS871" s="487">
        <f>+VLOOKUP($AJ871,Data_Validation!$A:$E,5,0)</f>
        <v>0</v>
      </c>
      <c r="AT871" s="904" t="str">
        <f t="shared" si="89"/>
        <v>G63500</v>
      </c>
      <c r="AU871" s="488" t="str">
        <f t="shared" si="90"/>
        <v>COUT CHEV CITY</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2757</v>
      </c>
      <c r="D872" s="706" t="s">
        <v>2758</v>
      </c>
      <c r="E872" s="706" t="s">
        <v>1143</v>
      </c>
      <c r="F872" s="706" t="s">
        <v>1152</v>
      </c>
      <c r="G872" s="706">
        <v>0</v>
      </c>
      <c r="H872" s="706">
        <v>0</v>
      </c>
      <c r="I872" s="706">
        <v>0</v>
      </c>
      <c r="J872" s="706">
        <v>0</v>
      </c>
      <c r="K872" s="706">
        <v>0</v>
      </c>
      <c r="L872" s="706">
        <v>0</v>
      </c>
      <c r="M872" s="706">
        <v>126926.91</v>
      </c>
      <c r="N872" s="706">
        <v>126926.91</v>
      </c>
      <c r="O872" s="706">
        <v>126926.91</v>
      </c>
      <c r="P872" s="706">
        <v>0</v>
      </c>
      <c r="Q872" s="706">
        <v>0</v>
      </c>
      <c r="R872" s="706">
        <v>0</v>
      </c>
      <c r="S872" s="706">
        <v>15865.86</v>
      </c>
      <c r="T872" s="706">
        <v>15865.86</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G63501</v>
      </c>
      <c r="AK872" s="905" t="str">
        <f t="shared" si="87"/>
        <v>COUT - HUMMER EV SUV</v>
      </c>
      <c r="AL872" s="905">
        <f>IFERROR(INDEX(G872:R872,1,MATCH(Parametres!$B$3,G$1:R$1,0)-1)*IF(OR(F872="L",F872="S",F872="I"),-1,1),"")</f>
        <v>126926.91</v>
      </c>
      <c r="AM872" s="905">
        <f t="shared" si="88"/>
        <v>0</v>
      </c>
      <c r="AN872" s="905">
        <f>INDEX(G872:R872,1,MATCH(Parametres!$B$3,G$1:R$1,0))*IF(OR(F872="L",F872="S",F872="I"),-1,1)</f>
        <v>126926.91</v>
      </c>
      <c r="AO872" s="487" t="str">
        <f>+VLOOKUP($AJ872,Data_Validation!$A:$D,1,0)</f>
        <v>G63501</v>
      </c>
      <c r="AP872" s="487" t="str">
        <f>+VLOOKUP($AJ872,Data_Validation!$A:$D,3,0)</f>
        <v>Véhicules neufs</v>
      </c>
      <c r="AQ872" s="487" t="str">
        <f>+VLOOKUP($AJ872,Data_Validation!$A:$D,4,0)</f>
        <v>Camions electriques</v>
      </c>
      <c r="AR872" s="487" t="s">
        <v>299</v>
      </c>
      <c r="AS872" s="487">
        <f>+VLOOKUP($AJ872,Data_Validation!$A:$E,5,0)</f>
        <v>0</v>
      </c>
      <c r="AT872" s="904" t="str">
        <f t="shared" si="89"/>
        <v>G63501</v>
      </c>
      <c r="AU872" s="488" t="str">
        <f t="shared" si="90"/>
        <v>COUT - HUMMER EV SUV</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2759</v>
      </c>
      <c r="D873" s="706" t="s">
        <v>2760</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G63520</v>
      </c>
      <c r="AK873" s="905" t="str">
        <f t="shared" si="87"/>
        <v>COUT-SSR             -LOC</v>
      </c>
      <c r="AL873" s="905">
        <f>IFERROR(INDEX(G873:R873,1,MATCH(Parametres!$B$3,G$1:R$1,0)-1)*IF(OR(F873="L",F873="S",F873="I"),-1,1),"")</f>
        <v>0</v>
      </c>
      <c r="AM873" s="905">
        <f t="shared" si="88"/>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89"/>
        <v>G63520</v>
      </c>
      <c r="AU873" s="488" t="str">
        <f t="shared" si="90"/>
        <v>COUT-SSR             -LOC</v>
      </c>
      <c r="AV873" s="899">
        <f>IFERROR(INDEX(V873:AG873,1,MATCH(Parametres!$B$3,V$1:AG$1,0)-1)*IF(OR(C873="L",C873="S",C873="I"),-1,1),"")</f>
        <v>0</v>
      </c>
      <c r="AW873" s="899">
        <f t="shared" si="91"/>
        <v>0</v>
      </c>
      <c r="AX873" s="899">
        <f>INDEX(V873:AG873,1,MATCH(Parametres!$B$3,V$1:AG$1,0))*IF(OR(C873="L",C873="S",C873="I"),-1,1)</f>
        <v>0</v>
      </c>
      <c r="AY873" s="487" t="s">
        <v>337</v>
      </c>
      <c r="AZ873" s="487" t="e">
        <f>+VLOOKUP($AJ873,Data_Validation!$A:$E,5,0)</f>
        <v>#N/A</v>
      </c>
    </row>
    <row r="874" spans="1:52" ht="15" hidden="1" customHeight="1">
      <c r="A874" s="706" t="s">
        <v>1148</v>
      </c>
      <c r="B874" s="706">
        <v>2026</v>
      </c>
      <c r="C874" s="706" t="s">
        <v>2761</v>
      </c>
      <c r="D874" s="706" t="s">
        <v>2762</v>
      </c>
      <c r="E874" s="706" t="s">
        <v>1143</v>
      </c>
      <c r="F874" s="706" t="s">
        <v>1152</v>
      </c>
      <c r="G874" s="706">
        <v>39482.629999999997</v>
      </c>
      <c r="H874" s="706">
        <v>72151.679999999993</v>
      </c>
      <c r="I874" s="706">
        <v>72151.679999999993</v>
      </c>
      <c r="J874" s="706">
        <v>72151.679999999993</v>
      </c>
      <c r="K874" s="706">
        <v>109007.67999999999</v>
      </c>
      <c r="L874" s="706">
        <v>109007.67999999999</v>
      </c>
      <c r="M874" s="706">
        <v>109007.67999999999</v>
      </c>
      <c r="N874" s="706">
        <v>183917.06</v>
      </c>
      <c r="O874" s="706">
        <v>183917.06</v>
      </c>
      <c r="P874" s="706">
        <v>0</v>
      </c>
      <c r="Q874" s="706">
        <v>0</v>
      </c>
      <c r="R874" s="706">
        <v>0</v>
      </c>
      <c r="S874" s="706">
        <v>22989.63</v>
      </c>
      <c r="T874" s="706">
        <v>22989.63</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G63600</v>
      </c>
      <c r="AK874" s="905" t="str">
        <f t="shared" si="87"/>
        <v>COUT-TRAIL BLAZER</v>
      </c>
      <c r="AL874" s="905">
        <f>IFERROR(INDEX(G874:R874,1,MATCH(Parametres!$B$3,G$1:R$1,0)-1)*IF(OR(F874="L",F874="S",F874="I"),-1,1),"")</f>
        <v>109007.67999999999</v>
      </c>
      <c r="AM874" s="905">
        <f t="shared" si="88"/>
        <v>74909.38</v>
      </c>
      <c r="AN874" s="905">
        <f>INDEX(G874:R874,1,MATCH(Parametres!$B$3,G$1:R$1,0))*IF(OR(F874="L",F874="S",F874="I"),-1,1)</f>
        <v>183917.06</v>
      </c>
      <c r="AO874" s="487" t="str">
        <f>+VLOOKUP($AJ874,Data_Validation!$A:$D,1,0)</f>
        <v>G63600</v>
      </c>
      <c r="AP874" s="487" t="str">
        <f>+VLOOKUP($AJ874,Data_Validation!$A:$D,3,0)</f>
        <v>Véhicules neufs</v>
      </c>
      <c r="AQ874" s="487" t="str">
        <f>+VLOOKUP($AJ874,Data_Validation!$A:$D,4,0)</f>
        <v>Camions détail</v>
      </c>
      <c r="AR874" s="487" t="s">
        <v>299</v>
      </c>
      <c r="AS874" s="487">
        <f>+VLOOKUP($AJ874,Data_Validation!$A:$E,5,0)</f>
        <v>0</v>
      </c>
      <c r="AT874" s="904" t="str">
        <f t="shared" si="89"/>
        <v>G63600</v>
      </c>
      <c r="AU874" s="488" t="str">
        <f t="shared" si="90"/>
        <v>COUT-TRAIL BLAZER</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2763</v>
      </c>
      <c r="D875" s="706" t="s">
        <v>2764</v>
      </c>
      <c r="E875" s="706" t="s">
        <v>1143</v>
      </c>
      <c r="F875" s="706" t="s">
        <v>1152</v>
      </c>
      <c r="G875" s="706">
        <v>0</v>
      </c>
      <c r="H875" s="706">
        <v>0</v>
      </c>
      <c r="I875" s="706">
        <v>63923</v>
      </c>
      <c r="J875" s="706">
        <v>128882.14</v>
      </c>
      <c r="K875" s="706">
        <v>193939.26</v>
      </c>
      <c r="L875" s="706">
        <v>193939.26</v>
      </c>
      <c r="M875" s="706">
        <v>193939.26</v>
      </c>
      <c r="N875" s="706">
        <v>193939.26</v>
      </c>
      <c r="O875" s="706">
        <v>193939.26</v>
      </c>
      <c r="P875" s="706">
        <v>0</v>
      </c>
      <c r="Q875" s="706">
        <v>0</v>
      </c>
      <c r="R875" s="706">
        <v>0</v>
      </c>
      <c r="S875" s="706">
        <v>24242.41</v>
      </c>
      <c r="T875" s="706">
        <v>24242.41</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G63602</v>
      </c>
      <c r="AK875" s="905" t="str">
        <f t="shared" si="87"/>
        <v>COÛT- GMC  ACADIA</v>
      </c>
      <c r="AL875" s="905">
        <f>IFERROR(INDEX(G875:R875,1,MATCH(Parametres!$B$3,G$1:R$1,0)-1)*IF(OR(F875="L",F875="S",F875="I"),-1,1),"")</f>
        <v>193939.26</v>
      </c>
      <c r="AM875" s="905">
        <f t="shared" si="88"/>
        <v>0</v>
      </c>
      <c r="AN875" s="905">
        <f>INDEX(G875:R875,1,MATCH(Parametres!$B$3,G$1:R$1,0))*IF(OR(F875="L",F875="S",F875="I"),-1,1)</f>
        <v>193939.26</v>
      </c>
      <c r="AO875" s="487" t="str">
        <f>+VLOOKUP($AJ875,Data_Validation!$A:$D,1,0)</f>
        <v>G63602</v>
      </c>
      <c r="AP875" s="487" t="str">
        <f>+VLOOKUP($AJ875,Data_Validation!$A:$D,3,0)</f>
        <v>Véhicules neufs</v>
      </c>
      <c r="AQ875" s="487" t="str">
        <f>+VLOOKUP($AJ875,Data_Validation!$A:$D,4,0)</f>
        <v>Camions détail</v>
      </c>
      <c r="AR875" s="487" t="s">
        <v>299</v>
      </c>
      <c r="AS875" s="487">
        <f>+VLOOKUP($AJ875,Data_Validation!$A:$E,5,0)</f>
        <v>0</v>
      </c>
      <c r="AT875" s="904" t="str">
        <f t="shared" si="89"/>
        <v>G63602</v>
      </c>
      <c r="AU875" s="488" t="str">
        <f t="shared" si="90"/>
        <v>COÛT- GMC  ACADIA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2765</v>
      </c>
      <c r="D876" s="706" t="s">
        <v>2766</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G63800</v>
      </c>
      <c r="AK876" s="905" t="str">
        <f t="shared" si="87"/>
        <v>COUT-CHEV CAMION AUTRE</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G63800</v>
      </c>
      <c r="AU876" s="488" t="str">
        <f t="shared" si="90"/>
        <v>COUT-CHEV CAMION AUTRE</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2767</v>
      </c>
      <c r="D877" s="706" t="s">
        <v>2768</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G63820</v>
      </c>
      <c r="AK877" s="905" t="str">
        <f t="shared" si="87"/>
        <v>COUT-CHEV CAMION AUTR-LOC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G63820</v>
      </c>
      <c r="AU877" s="488" t="str">
        <f t="shared" si="90"/>
        <v>COUT-CHEV CAMION AUTR-LOC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hidden="1" customHeight="1">
      <c r="A878" s="706" t="s">
        <v>1148</v>
      </c>
      <c r="B878" s="706">
        <v>2026</v>
      </c>
      <c r="C878" s="706" t="s">
        <v>2769</v>
      </c>
      <c r="D878" s="706" t="s">
        <v>2770</v>
      </c>
      <c r="E878" s="706" t="s">
        <v>1143</v>
      </c>
      <c r="F878" s="706" t="s">
        <v>1152</v>
      </c>
      <c r="G878" s="706">
        <v>7273301.1699999999</v>
      </c>
      <c r="H878" s="706">
        <v>16037449.73</v>
      </c>
      <c r="I878" s="706">
        <v>23829594.66</v>
      </c>
      <c r="J878" s="706">
        <v>34920405.240000002</v>
      </c>
      <c r="K878" s="706">
        <v>46295704.060000002</v>
      </c>
      <c r="L878" s="706">
        <v>55008871.770000003</v>
      </c>
      <c r="M878" s="706">
        <v>59070315.450000003</v>
      </c>
      <c r="N878" s="706">
        <v>61655239.159999996</v>
      </c>
      <c r="O878" s="706">
        <v>61655239.159999996</v>
      </c>
      <c r="P878" s="706">
        <v>0</v>
      </c>
      <c r="Q878" s="706">
        <v>0</v>
      </c>
      <c r="R878" s="706">
        <v>0</v>
      </c>
      <c r="S878" s="706">
        <v>7706904.9000000004</v>
      </c>
      <c r="T878" s="706">
        <v>7706904.9000000004</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G64000</v>
      </c>
      <c r="AK878" s="905" t="str">
        <f t="shared" si="87"/>
        <v>COÛTANT PARC CAMIONS</v>
      </c>
      <c r="AL878" s="905">
        <f>IFERROR(INDEX(G878:R878,1,MATCH(Parametres!$B$3,G$1:R$1,0)-1)*IF(OR(F878="L",F878="S",F878="I"),-1,1),"")</f>
        <v>59070315.450000003</v>
      </c>
      <c r="AM878" s="1047">
        <f t="shared" si="88"/>
        <v>2584923.7099999934</v>
      </c>
      <c r="AN878" s="905">
        <f>INDEX(G878:R878,1,MATCH(Parametres!$B$3,G$1:R$1,0))*IF(OR(F878="L",F878="S",F878="I"),-1,1)</f>
        <v>61655239.159999996</v>
      </c>
      <c r="AO878" s="487" t="str">
        <f>+VLOOKUP($AJ878,Data_Validation!$A:$D,1,0)</f>
        <v>G64000</v>
      </c>
      <c r="AP878" s="487" t="str">
        <f>+VLOOKUP($AJ878,Data_Validation!$A:$D,3,0)</f>
        <v>Véhicules neufs</v>
      </c>
      <c r="AQ878" s="487" t="str">
        <f>+VLOOKUP($AJ878,Data_Validation!$A:$D,4,0)</f>
        <v>Flottes</v>
      </c>
      <c r="AR878" s="487" t="s">
        <v>299</v>
      </c>
      <c r="AS878" s="487">
        <f>+VLOOKUP($AJ878,Data_Validation!$A:$E,5,0)</f>
        <v>0</v>
      </c>
      <c r="AT878" s="904" t="str">
        <f t="shared" si="89"/>
        <v>G64000</v>
      </c>
      <c r="AU878" s="488" t="str">
        <f t="shared" si="90"/>
        <v>COÛTANT PARC CAMIONS</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2771</v>
      </c>
      <c r="D879" s="706" t="s">
        <v>2772</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G64100</v>
      </c>
      <c r="AK879" s="905" t="str">
        <f t="shared" si="87"/>
        <v>COUT-CAMIONS INTERNE</v>
      </c>
      <c r="AL879" s="905">
        <f>IFERROR(INDEX(G879:R879,1,MATCH(Parametres!$B$3,G$1:R$1,0)-1)*IF(OR(F879="L",F879="S",F879="I"),-1,1),"")</f>
        <v>0</v>
      </c>
      <c r="AM879" s="905">
        <f t="shared" si="88"/>
        <v>0</v>
      </c>
      <c r="AN879" s="905">
        <f>INDEX(G879:R879,1,MATCH(Parametres!$B$3,G$1:R$1,0))*IF(OR(F879="L",F879="S",F879="I"),-1,1)</f>
        <v>0</v>
      </c>
      <c r="AO879" s="487" t="str">
        <f>+VLOOKUP($AJ879,Data_Validation!$A:$D,1,0)</f>
        <v>G64100</v>
      </c>
      <c r="AP879" s="487" t="str">
        <f>+VLOOKUP($AJ879,Data_Validation!$A:$D,3,0)</f>
        <v>Véhicules neufs</v>
      </c>
      <c r="AQ879" s="487" t="str">
        <f>+VLOOKUP($AJ879,Data_Validation!$A:$D,4,0)</f>
        <v>Flottes</v>
      </c>
      <c r="AR879" s="487" t="s">
        <v>299</v>
      </c>
      <c r="AS879" s="487">
        <f>+VLOOKUP($AJ879,Data_Validation!$A:$E,5,0)</f>
        <v>0</v>
      </c>
      <c r="AT879" s="904" t="str">
        <f t="shared" si="89"/>
        <v>G64100</v>
      </c>
      <c r="AU879" s="488" t="str">
        <f t="shared" si="90"/>
        <v>COUT-CAMIONS INTERNE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3383</v>
      </c>
      <c r="D880" s="706" t="s">
        <v>3384</v>
      </c>
      <c r="E880" s="706" t="s">
        <v>333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G64140</v>
      </c>
      <c r="AK880" s="905" t="str">
        <f t="shared" si="87"/>
        <v>COUT - M.O LOURD -SAAQ</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G64140</v>
      </c>
      <c r="AU880" s="488" t="str">
        <f t="shared" si="90"/>
        <v>COUT - M.O LOURD -SAAQ</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2773</v>
      </c>
      <c r="D881" s="706" t="s">
        <v>2774</v>
      </c>
      <c r="E881" s="706" t="s">
        <v>333</v>
      </c>
      <c r="F881" s="706" t="s">
        <v>1152</v>
      </c>
      <c r="G881" s="706">
        <v>34529.760000000002</v>
      </c>
      <c r="H881" s="706">
        <v>53306.91</v>
      </c>
      <c r="I881" s="706">
        <v>79327.56</v>
      </c>
      <c r="J881" s="706">
        <v>136672.56</v>
      </c>
      <c r="K881" s="706">
        <v>162823.12</v>
      </c>
      <c r="L881" s="706">
        <v>190841.3</v>
      </c>
      <c r="M881" s="706">
        <v>225746.73</v>
      </c>
      <c r="N881" s="706">
        <v>246928.82</v>
      </c>
      <c r="O881" s="706">
        <v>247186.25</v>
      </c>
      <c r="P881" s="706">
        <v>0</v>
      </c>
      <c r="Q881" s="706">
        <v>0</v>
      </c>
      <c r="R881" s="706">
        <v>0</v>
      </c>
      <c r="S881" s="706">
        <v>30866.1</v>
      </c>
      <c r="T881" s="706">
        <v>30866.1</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G64300</v>
      </c>
      <c r="AK881" s="905" t="str">
        <f t="shared" si="87"/>
        <v>COUT-PLAN PROTECTION</v>
      </c>
      <c r="AL881" s="905">
        <f>IFERROR(INDEX(G881:R881,1,MATCH(Parametres!$B$3,G$1:R$1,0)-1)*IF(OR(F881="L",F881="S",F881="I"),-1,1),"")</f>
        <v>225746.73</v>
      </c>
      <c r="AM881" s="1047">
        <f t="shared" si="88"/>
        <v>21182.089999999997</v>
      </c>
      <c r="AN881" s="905">
        <f>INDEX(G881:R881,1,MATCH(Parametres!$B$3,G$1:R$1,0))*IF(OR(F881="L",F881="S",F881="I"),-1,1)</f>
        <v>246928.82</v>
      </c>
      <c r="AO881" s="487" t="str">
        <f>+VLOOKUP($AJ881,Data_Validation!$A:$D,1,0)</f>
        <v>G64300</v>
      </c>
      <c r="AP881" s="487" t="str">
        <f>+VLOOKUP($AJ881,Data_Validation!$A:$D,3,0)</f>
        <v>Véhicules neufs</v>
      </c>
      <c r="AQ881" s="487" t="str">
        <f>+VLOOKUP($AJ881,Data_Validation!$A:$D,4,0)</f>
        <v>Rev. Protections</v>
      </c>
      <c r="AR881" s="487" t="s">
        <v>299</v>
      </c>
      <c r="AS881" s="487">
        <f>+VLOOKUP($AJ881,Data_Validation!$A:$E,5,0)</f>
        <v>0</v>
      </c>
      <c r="AT881" s="904" t="str">
        <f t="shared" si="89"/>
        <v>G64300</v>
      </c>
      <c r="AU881" s="488" t="str">
        <f t="shared" si="90"/>
        <v>COUT-PLAN PROTECTION</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2775</v>
      </c>
      <c r="D882" s="706" t="s">
        <v>2776</v>
      </c>
      <c r="E882" s="706" t="s">
        <v>333</v>
      </c>
      <c r="F882" s="706" t="s">
        <v>1152</v>
      </c>
      <c r="G882" s="706">
        <v>0</v>
      </c>
      <c r="H882" s="706">
        <v>0</v>
      </c>
      <c r="I882" s="706">
        <v>0</v>
      </c>
      <c r="J882" s="706">
        <v>0</v>
      </c>
      <c r="K882" s="706">
        <v>0</v>
      </c>
      <c r="L882" s="706">
        <v>0</v>
      </c>
      <c r="M882" s="706">
        <v>0</v>
      </c>
      <c r="N882" s="706">
        <v>-279</v>
      </c>
      <c r="O882" s="706">
        <v>-279</v>
      </c>
      <c r="P882" s="706">
        <v>0</v>
      </c>
      <c r="Q882" s="706">
        <v>0</v>
      </c>
      <c r="R882" s="706">
        <v>0</v>
      </c>
      <c r="S882" s="706">
        <v>-34.880000000000003</v>
      </c>
      <c r="T882" s="706">
        <v>-34.880000000000003</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G64400</v>
      </c>
      <c r="AK882" s="905" t="str">
        <f t="shared" si="87"/>
        <v>COÛTANT PROTECTION PLUS</v>
      </c>
      <c r="AL882" s="905">
        <f>IFERROR(INDEX(G882:R882,1,MATCH(Parametres!$B$3,G$1:R$1,0)-1)*IF(OR(F882="L",F882="S",F882="I"),-1,1),"")</f>
        <v>0</v>
      </c>
      <c r="AM882" s="1047">
        <f t="shared" si="88"/>
        <v>-279</v>
      </c>
      <c r="AN882" s="905">
        <f>INDEX(G882:R882,1,MATCH(Parametres!$B$3,G$1:R$1,0))*IF(OR(F882="L",F882="S",F882="I"),-1,1)</f>
        <v>-279</v>
      </c>
      <c r="AO882" s="487" t="str">
        <f>+VLOOKUP($AJ882,Data_Validation!$A:$D,1,0)</f>
        <v>G64400</v>
      </c>
      <c r="AP882" s="487" t="str">
        <f>+VLOOKUP($AJ882,Data_Validation!$A:$D,3,0)</f>
        <v>Véhicules neufs</v>
      </c>
      <c r="AQ882" s="487" t="str">
        <f>+VLOOKUP($AJ882,Data_Validation!$A:$D,4,0)</f>
        <v>Rev. Protections</v>
      </c>
      <c r="AR882" s="487" t="s">
        <v>299</v>
      </c>
      <c r="AS882" s="487">
        <f>+VLOOKUP($AJ882,Data_Validation!$A:$E,5,0)</f>
        <v>0</v>
      </c>
      <c r="AT882" s="904" t="str">
        <f t="shared" si="89"/>
        <v>G64400</v>
      </c>
      <c r="AU882" s="488" t="str">
        <f t="shared" si="90"/>
        <v>COÛTANT PROTECTION PLUS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2777</v>
      </c>
      <c r="D883" s="706" t="s">
        <v>3385</v>
      </c>
      <c r="E883" s="706" t="s">
        <v>333</v>
      </c>
      <c r="F883" s="706" t="s">
        <v>1152</v>
      </c>
      <c r="G883" s="706">
        <v>600.12</v>
      </c>
      <c r="H883" s="706">
        <v>1014.6</v>
      </c>
      <c r="I883" s="706">
        <v>1618.72</v>
      </c>
      <c r="J883" s="706">
        <v>3268.99</v>
      </c>
      <c r="K883" s="706">
        <v>6581.72</v>
      </c>
      <c r="L883" s="706">
        <v>8073.78</v>
      </c>
      <c r="M883" s="706">
        <v>12615.9</v>
      </c>
      <c r="N883" s="706">
        <v>13601.02</v>
      </c>
      <c r="O883" s="706">
        <v>13601.02</v>
      </c>
      <c r="P883" s="706">
        <v>0</v>
      </c>
      <c r="Q883" s="706">
        <v>0</v>
      </c>
      <c r="R883" s="706">
        <v>0</v>
      </c>
      <c r="S883" s="706">
        <v>1700.13</v>
      </c>
      <c r="T883" s="706">
        <v>1700.13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G64501</v>
      </c>
      <c r="AK883" s="905" t="str">
        <f t="shared" si="87"/>
        <v>COUT-ANTIROUILLE - NF</v>
      </c>
      <c r="AL883" s="905">
        <f>IFERROR(INDEX(G883:R883,1,MATCH(Parametres!$B$3,G$1:R$1,0)-1)*IF(OR(F883="L",F883="S",F883="I"),-1,1),"")</f>
        <v>12615.9</v>
      </c>
      <c r="AM883" s="1047">
        <f t="shared" si="88"/>
        <v>985.1200000000008</v>
      </c>
      <c r="AN883" s="905">
        <f>INDEX(G883:R883,1,MATCH(Parametres!$B$3,G$1:R$1,0))*IF(OR(F883="L",F883="S",F883="I"),-1,1)</f>
        <v>13601.02</v>
      </c>
      <c r="AO883" s="487" t="str">
        <f>+VLOOKUP($AJ883,Data_Validation!$A:$D,1,0)</f>
        <v>G64501</v>
      </c>
      <c r="AP883" s="487" t="str">
        <f>+VLOOKUP($AJ883,Data_Validation!$A:$D,3,0)</f>
        <v>Véhicules neufs</v>
      </c>
      <c r="AQ883" s="487" t="str">
        <f>+VLOOKUP($AJ883,Data_Validation!$A:$D,4,0)</f>
        <v>Rev. Autres</v>
      </c>
      <c r="AR883" s="487" t="s">
        <v>299</v>
      </c>
      <c r="AS883" s="487">
        <f>+VLOOKUP($AJ883,Data_Validation!$A:$E,5,0)</f>
        <v>0</v>
      </c>
      <c r="AT883" s="904" t="str">
        <f t="shared" si="89"/>
        <v>G64501</v>
      </c>
      <c r="AU883" s="488" t="str">
        <f t="shared" si="90"/>
        <v>COUT-ANTIROUILLE - NF</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2779</v>
      </c>
      <c r="D884" s="706" t="s">
        <v>2387</v>
      </c>
      <c r="E884" s="706" t="s">
        <v>333</v>
      </c>
      <c r="F884" s="706" t="s">
        <v>1152</v>
      </c>
      <c r="G884" s="706">
        <v>231.14</v>
      </c>
      <c r="H884" s="706">
        <v>940.47</v>
      </c>
      <c r="I884" s="706">
        <v>778.47</v>
      </c>
      <c r="J884" s="706">
        <v>1525.75</v>
      </c>
      <c r="K884" s="706">
        <v>2854.78</v>
      </c>
      <c r="L884" s="706">
        <v>4784.18</v>
      </c>
      <c r="M884" s="706">
        <v>7563.45</v>
      </c>
      <c r="N884" s="706">
        <v>11758.45</v>
      </c>
      <c r="O884" s="706">
        <v>11758.45</v>
      </c>
      <c r="P884" s="706">
        <v>0</v>
      </c>
      <c r="Q884" s="706">
        <v>0</v>
      </c>
      <c r="R884" s="706">
        <v>0</v>
      </c>
      <c r="S884" s="706">
        <v>1469.81</v>
      </c>
      <c r="T884" s="706">
        <v>1469.81</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G64503</v>
      </c>
      <c r="AK884" s="905" t="str">
        <f t="shared" si="87"/>
        <v>V.TEINTÉE-PEINTURE-TISSUS</v>
      </c>
      <c r="AL884" s="905">
        <f>IFERROR(INDEX(G884:R884,1,MATCH(Parametres!$B$3,G$1:R$1,0)-1)*IF(OR(F884="L",F884="S",F884="I"),-1,1),"")</f>
        <v>7563.45</v>
      </c>
      <c r="AM884" s="905">
        <f t="shared" si="88"/>
        <v>4195.0000000000009</v>
      </c>
      <c r="AN884" s="905">
        <f>INDEX(G884:R884,1,MATCH(Parametres!$B$3,G$1:R$1,0))*IF(OR(F884="L",F884="S",F884="I"),-1,1)</f>
        <v>11758.45</v>
      </c>
      <c r="AO884" s="487" t="str">
        <f>+VLOOKUP($AJ884,Data_Validation!$A:$D,1,0)</f>
        <v>G64503</v>
      </c>
      <c r="AP884" s="487" t="str">
        <f>+VLOOKUP($AJ884,Data_Validation!$A:$D,3,0)</f>
        <v>Véhicules neufs</v>
      </c>
      <c r="AQ884" s="487" t="str">
        <f>+VLOOKUP($AJ884,Data_Validation!$A:$D,4,0)</f>
        <v>Rev. Autres</v>
      </c>
      <c r="AR884" s="487" t="s">
        <v>299</v>
      </c>
      <c r="AS884" s="487">
        <f>+VLOOKUP($AJ884,Data_Validation!$A:$E,5,0)</f>
        <v>0</v>
      </c>
      <c r="AT884" s="904" t="str">
        <f t="shared" si="89"/>
        <v>G64503</v>
      </c>
      <c r="AU884" s="488" t="str">
        <f t="shared" si="90"/>
        <v>V.TEINTÉE-PEINTURE-TISSUS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2780</v>
      </c>
      <c r="D885" s="706" t="s">
        <v>2781</v>
      </c>
      <c r="E885" s="706" t="s">
        <v>333</v>
      </c>
      <c r="F885" s="706" t="s">
        <v>1152</v>
      </c>
      <c r="G885" s="706">
        <v>0</v>
      </c>
      <c r="H885" s="706">
        <v>2838.5</v>
      </c>
      <c r="I885" s="706">
        <v>4779.7700000000004</v>
      </c>
      <c r="J885" s="706">
        <v>6961.67</v>
      </c>
      <c r="K885" s="706">
        <v>6961.67</v>
      </c>
      <c r="L885" s="706">
        <v>6961.67</v>
      </c>
      <c r="M885" s="706">
        <v>9299.67</v>
      </c>
      <c r="N885" s="706">
        <v>9299.67</v>
      </c>
      <c r="O885" s="706">
        <v>9299.67</v>
      </c>
      <c r="P885" s="706">
        <v>0</v>
      </c>
      <c r="Q885" s="706">
        <v>0</v>
      </c>
      <c r="R885" s="706">
        <v>0</v>
      </c>
      <c r="S885" s="706">
        <v>1162.46</v>
      </c>
      <c r="T885" s="706">
        <v>1162.46</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G64504</v>
      </c>
      <c r="AK885" s="905" t="str">
        <f t="shared" si="87"/>
        <v>COUT-VALEUR REMPLACEMENT</v>
      </c>
      <c r="AL885" s="905">
        <f>IFERROR(INDEX(G885:R885,1,MATCH(Parametres!$B$3,G$1:R$1,0)-1)*IF(OR(F885="L",F885="S",F885="I"),-1,1),"")</f>
        <v>9299.67</v>
      </c>
      <c r="AM885" s="905">
        <f t="shared" si="88"/>
        <v>0</v>
      </c>
      <c r="AN885" s="905">
        <f>INDEX(G885:R885,1,MATCH(Parametres!$B$3,G$1:R$1,0))*IF(OR(F885="L",F885="S",F885="I"),-1,1)</f>
        <v>9299.67</v>
      </c>
      <c r="AO885" s="487" t="str">
        <f>+VLOOKUP($AJ885,Data_Validation!$A:$D,1,0)</f>
        <v>G64504</v>
      </c>
      <c r="AP885" s="487" t="str">
        <f>+VLOOKUP($AJ885,Data_Validation!$A:$D,3,0)</f>
        <v>Véhicules neufs</v>
      </c>
      <c r="AQ885" s="487" t="str">
        <f>+VLOOKUP($AJ885,Data_Validation!$A:$D,4,0)</f>
        <v>Rev. Protections</v>
      </c>
      <c r="AR885" s="487" t="s">
        <v>299</v>
      </c>
      <c r="AS885" s="487">
        <f>+VLOOKUP($AJ885,Data_Validation!$A:$E,5,0)</f>
        <v>0</v>
      </c>
      <c r="AT885" s="904" t="str">
        <f t="shared" si="89"/>
        <v>G64504</v>
      </c>
      <c r="AU885" s="488" t="str">
        <f t="shared" si="90"/>
        <v>COUT-VALEUR REMPLACEMENT</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2782</v>
      </c>
      <c r="D886" s="706" t="s">
        <v>3386</v>
      </c>
      <c r="E886" s="706" t="s">
        <v>333</v>
      </c>
      <c r="F886" s="706" t="s">
        <v>1152</v>
      </c>
      <c r="G886" s="706">
        <v>2360.92</v>
      </c>
      <c r="H886" s="706">
        <v>4670.92</v>
      </c>
      <c r="I886" s="706">
        <v>6700.24</v>
      </c>
      <c r="J886" s="706">
        <v>9714.4</v>
      </c>
      <c r="K886" s="706">
        <v>13158.88</v>
      </c>
      <c r="L886" s="706">
        <v>14463.4</v>
      </c>
      <c r="M886" s="706">
        <v>18053.560000000001</v>
      </c>
      <c r="N886" s="706">
        <v>20991.68</v>
      </c>
      <c r="O886" s="706">
        <v>20991.68</v>
      </c>
      <c r="P886" s="706">
        <v>0</v>
      </c>
      <c r="Q886" s="706">
        <v>0</v>
      </c>
      <c r="R886" s="706">
        <v>0</v>
      </c>
      <c r="S886" s="706">
        <v>2623.96</v>
      </c>
      <c r="T886" s="706">
        <v>2623.96</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G64505</v>
      </c>
      <c r="AK886" s="905" t="str">
        <f t="shared" si="87"/>
        <v>COUT-ANTIVOL ET TAG-NF</v>
      </c>
      <c r="AL886" s="905">
        <f>IFERROR(INDEX(G886:R886,1,MATCH(Parametres!$B$3,G$1:R$1,0)-1)*IF(OR(F886="L",F886="S",F886="I"),-1,1),"")</f>
        <v>18053.560000000001</v>
      </c>
      <c r="AM886" s="905">
        <f t="shared" si="88"/>
        <v>2938.119999999999</v>
      </c>
      <c r="AN886" s="905">
        <f>INDEX(G886:R886,1,MATCH(Parametres!$B$3,G$1:R$1,0))*IF(OR(F886="L",F886="S",F886="I"),-1,1)</f>
        <v>20991.68</v>
      </c>
      <c r="AO886" s="487" t="str">
        <f>+VLOOKUP($AJ886,Data_Validation!$A:$D,1,0)</f>
        <v>G64505</v>
      </c>
      <c r="AP886" s="487" t="str">
        <f>+VLOOKUP($AJ886,Data_Validation!$A:$D,3,0)</f>
        <v>Véhicules neufs</v>
      </c>
      <c r="AQ886" s="487" t="str">
        <f>+VLOOKUP($AJ886,Data_Validation!$A:$D,4,0)</f>
        <v>Rev. Autres</v>
      </c>
      <c r="AR886" s="487" t="s">
        <v>299</v>
      </c>
      <c r="AS886" s="487">
        <f>+VLOOKUP($AJ886,Data_Validation!$A:$E,5,0)</f>
        <v>0</v>
      </c>
      <c r="AT886" s="904" t="str">
        <f t="shared" si="89"/>
        <v>G64505</v>
      </c>
      <c r="AU886" s="488" t="str">
        <f t="shared" si="90"/>
        <v>COUT-ANTIVOL ET TAG-NF</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2784</v>
      </c>
      <c r="D887" s="706" t="s">
        <v>2785</v>
      </c>
      <c r="E887" s="706" t="s">
        <v>1143</v>
      </c>
      <c r="F887" s="706" t="s">
        <v>1152</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G64600</v>
      </c>
      <c r="AK887" s="905" t="str">
        <f t="shared" si="87"/>
        <v>COUT-AUTO OCC.DET.OPTIMUM</v>
      </c>
      <c r="AL887" s="905">
        <f>IFERROR(INDEX(G887:R887,1,MATCH(Parametres!$B$3,G$1:R$1,0)-1)*IF(OR(F887="L",F887="S",F887="I"),-1,1),"")</f>
        <v>0</v>
      </c>
      <c r="AM887" s="905">
        <f t="shared" si="88"/>
        <v>0</v>
      </c>
      <c r="AN887" s="905">
        <f>INDEX(G887:R887,1,MATCH(Parametres!$B$3,G$1:R$1,0))*IF(OR(F887="L",F887="S",F887="I"),-1,1)</f>
        <v>0</v>
      </c>
      <c r="AO887" s="487" t="str">
        <f>+VLOOKUP($AJ887,Data_Validation!$A:$D,1,0)</f>
        <v>G64600</v>
      </c>
      <c r="AP887" s="487" t="str">
        <f>+VLOOKUP($AJ887,Data_Validation!$A:$D,3,0)</f>
        <v>Véhicules usagés</v>
      </c>
      <c r="AQ887" s="487" t="str">
        <f>+VLOOKUP($AJ887,Data_Validation!$A:$D,4,0)</f>
        <v>Certifié</v>
      </c>
      <c r="AR887" s="487" t="s">
        <v>299</v>
      </c>
      <c r="AS887" s="487">
        <f>+VLOOKUP($AJ887,Data_Validation!$A:$E,5,0)</f>
        <v>0</v>
      </c>
      <c r="AT887" s="904" t="str">
        <f t="shared" si="89"/>
        <v>G64600</v>
      </c>
      <c r="AU887" s="488" t="str">
        <f t="shared" si="90"/>
        <v>COUT-AUTO OCC.DET.OPTIMUM</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2786</v>
      </c>
      <c r="D888" s="706" t="s">
        <v>3387</v>
      </c>
      <c r="E888" s="706" t="s">
        <v>1143</v>
      </c>
      <c r="F888" s="706" t="s">
        <v>1152</v>
      </c>
      <c r="G888" s="706">
        <v>85546.39</v>
      </c>
      <c r="H888" s="706">
        <v>148258.85999999999</v>
      </c>
      <c r="I888" s="706">
        <v>190675.95</v>
      </c>
      <c r="J888" s="706">
        <v>285157.03000000003</v>
      </c>
      <c r="K888" s="706">
        <v>386436.24</v>
      </c>
      <c r="L888" s="706">
        <v>462445.61</v>
      </c>
      <c r="M888" s="706">
        <v>607565.01</v>
      </c>
      <c r="N888" s="706">
        <v>621723.5</v>
      </c>
      <c r="O888" s="706">
        <v>621723.5</v>
      </c>
      <c r="P888" s="706">
        <v>0</v>
      </c>
      <c r="Q888" s="706">
        <v>0</v>
      </c>
      <c r="R888" s="706">
        <v>0</v>
      </c>
      <c r="S888" s="706">
        <v>77715.44</v>
      </c>
      <c r="T888" s="706">
        <v>77715.44</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G64601</v>
      </c>
      <c r="AK888" s="905" t="str">
        <f t="shared" si="87"/>
        <v>COUT-AUTO OCC.GM N-CERT</v>
      </c>
      <c r="AL888" s="905">
        <f>IFERROR(INDEX(G888:R888,1,MATCH(Parametres!$B$3,G$1:R$1,0)-1)*IF(OR(F888="L",F888="S",F888="I"),-1,1),"")</f>
        <v>607565.01</v>
      </c>
      <c r="AM888" s="905">
        <f t="shared" si="88"/>
        <v>14158.489999999991</v>
      </c>
      <c r="AN888" s="905">
        <f>INDEX(G888:R888,1,MATCH(Parametres!$B$3,G$1:R$1,0))*IF(OR(F888="L",F888="S",F888="I"),-1,1)</f>
        <v>621723.5</v>
      </c>
      <c r="AO888" s="487" t="str">
        <f>+VLOOKUP($AJ888,Data_Validation!$A:$D,1,0)</f>
        <v>G64601</v>
      </c>
      <c r="AP888" s="487" t="str">
        <f>+VLOOKUP($AJ888,Data_Validation!$A:$D,3,0)</f>
        <v>Véhicules usagés</v>
      </c>
      <c r="AQ888" s="487" t="str">
        <f>+VLOOKUP($AJ888,Data_Validation!$A:$D,4,0)</f>
        <v>Non Certifié</v>
      </c>
      <c r="AR888" s="487" t="s">
        <v>299</v>
      </c>
      <c r="AS888" s="487">
        <f>+VLOOKUP($AJ888,Data_Validation!$A:$E,5,0)</f>
        <v>0</v>
      </c>
      <c r="AT888" s="904" t="str">
        <f t="shared" si="89"/>
        <v>G64601</v>
      </c>
      <c r="AU888" s="488" t="str">
        <f t="shared" si="90"/>
        <v>COUT-AUTO OCC.GM N-CERT</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3388</v>
      </c>
      <c r="D889" s="706" t="s">
        <v>3389</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G64602</v>
      </c>
      <c r="AK889" s="905" t="str">
        <f t="shared" si="87"/>
        <v>COUT-AUTO AUTRE MARQ</v>
      </c>
      <c r="AL889" s="905">
        <f>IFERROR(INDEX(G889:R889,1,MATCH(Parametres!$B$3,G$1:R$1,0)-1)*IF(OR(F889="L",F889="S",F889="I"),-1,1),"")</f>
        <v>0</v>
      </c>
      <c r="AM889" s="905">
        <f t="shared" si="88"/>
        <v>0</v>
      </c>
      <c r="AN889" s="905">
        <f>INDEX(G889:R889,1,MATCH(Parametres!$B$3,G$1:R$1,0))*IF(OR(F889="L",F889="S",F889="I"),-1,1)</f>
        <v>0</v>
      </c>
      <c r="AO889" s="487" t="str">
        <f>+VLOOKUP($AJ889,Data_Validation!$A:$D,1,0)</f>
        <v>G64602</v>
      </c>
      <c r="AP889" s="487" t="str">
        <f>+VLOOKUP($AJ889,Data_Validation!$A:$D,3,0)</f>
        <v>Véhicules usagés</v>
      </c>
      <c r="AQ889" s="487" t="str">
        <f>+VLOOKUP($AJ889,Data_Validation!$A:$D,4,0)</f>
        <v>Autres Marques</v>
      </c>
      <c r="AR889" s="487" t="s">
        <v>299</v>
      </c>
      <c r="AS889" s="487">
        <f>+VLOOKUP($AJ889,Data_Validation!$A:$E,5,0)</f>
        <v>0</v>
      </c>
      <c r="AT889" s="904" t="str">
        <f t="shared" si="89"/>
        <v>G64602</v>
      </c>
      <c r="AU889" s="488" t="str">
        <f t="shared" si="90"/>
        <v>COUT-AUTO AUTRE MARQ</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3147</v>
      </c>
      <c r="D890" s="706" t="s">
        <v>3148</v>
      </c>
      <c r="E890" s="706" t="s">
        <v>1143</v>
      </c>
      <c r="F890" s="706" t="s">
        <v>1152</v>
      </c>
      <c r="G890" s="706">
        <v>0</v>
      </c>
      <c r="H890" s="706">
        <v>0</v>
      </c>
      <c r="I890" s="706">
        <v>0</v>
      </c>
      <c r="J890" s="706">
        <v>0</v>
      </c>
      <c r="K890" s="706">
        <v>0</v>
      </c>
      <c r="L890" s="706">
        <v>7217.34</v>
      </c>
      <c r="M890" s="706">
        <v>7217.34</v>
      </c>
      <c r="N890" s="706">
        <v>7217.34</v>
      </c>
      <c r="O890" s="706">
        <v>7217.34</v>
      </c>
      <c r="P890" s="706">
        <v>0</v>
      </c>
      <c r="Q890" s="706">
        <v>0</v>
      </c>
      <c r="R890" s="706">
        <v>0</v>
      </c>
      <c r="S890" s="706">
        <v>902.17</v>
      </c>
      <c r="T890" s="706">
        <v>902.17</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G64603</v>
      </c>
      <c r="AK890" s="905" t="str">
        <f t="shared" si="87"/>
        <v>COUT-RACHAT BAIL AUTO</v>
      </c>
      <c r="AL890" s="905">
        <f>IFERROR(INDEX(G890:R890,1,MATCH(Parametres!$B$3,G$1:R$1,0)-1)*IF(OR(F890="L",F890="S",F890="I"),-1,1),"")</f>
        <v>7217.34</v>
      </c>
      <c r="AM890" s="905">
        <f t="shared" si="88"/>
        <v>0</v>
      </c>
      <c r="AN890" s="905">
        <f>INDEX(G890:R890,1,MATCH(Parametres!$B$3,G$1:R$1,0))*IF(OR(F890="L",F890="S",F890="I"),-1,1)</f>
        <v>7217.34</v>
      </c>
      <c r="AO890" s="487" t="str">
        <f>+VLOOKUP($AJ890,Data_Validation!$A:$D,1,0)</f>
        <v>G64603</v>
      </c>
      <c r="AP890" s="487">
        <f>+VLOOKUP($AJ890,Data_Validation!$A:$D,3,0)</f>
        <v>0</v>
      </c>
      <c r="AQ890" s="487">
        <f>+VLOOKUP($AJ890,Data_Validation!$A:$D,4,0)</f>
        <v>0</v>
      </c>
      <c r="AR890" s="487" t="s">
        <v>299</v>
      </c>
      <c r="AS890" s="487">
        <f>+VLOOKUP($AJ890,Data_Validation!$A:$E,5,0)</f>
        <v>0</v>
      </c>
      <c r="AT890" s="904" t="str">
        <f t="shared" si="89"/>
        <v>G64603</v>
      </c>
      <c r="AU890" s="488" t="str">
        <f t="shared" si="90"/>
        <v>COUT-RACHAT BAIL AUTO</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2788</v>
      </c>
      <c r="D891" s="706" t="s">
        <v>2789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G64620</v>
      </c>
      <c r="AK891" s="905" t="str">
        <f t="shared" si="87"/>
        <v>COUT-LOC.AUTO USAGE OPT.</v>
      </c>
      <c r="AL891" s="905">
        <f>IFERROR(INDEX(G891:R891,1,MATCH(Parametres!$B$3,G$1:R$1,0)-1)*IF(OR(F891="L",F891="S",F891="I"),-1,1),"")</f>
        <v>0</v>
      </c>
      <c r="AM891" s="905">
        <f t="shared" si="88"/>
        <v>0</v>
      </c>
      <c r="AN891" s="905">
        <f>INDEX(G891:R891,1,MATCH(Parametres!$B$3,G$1:R$1,0))*IF(OR(F891="L",F891="S",F891="I"),-1,1)</f>
        <v>0</v>
      </c>
      <c r="AO891" s="487" t="str">
        <f>+VLOOKUP($AJ891,Data_Validation!$A:$D,1,0)</f>
        <v>G64620</v>
      </c>
      <c r="AP891" s="487" t="str">
        <f>+VLOOKUP($AJ891,Data_Validation!$A:$D,3,0)</f>
        <v>Véhicules usagés</v>
      </c>
      <c r="AQ891" s="487" t="str">
        <f>+VLOOKUP($AJ891,Data_Validation!$A:$D,4,0)</f>
        <v>Certifié</v>
      </c>
      <c r="AR891" s="487" t="s">
        <v>299</v>
      </c>
      <c r="AS891" s="487">
        <f>+VLOOKUP($AJ891,Data_Validation!$A:$E,5,0)</f>
        <v>0</v>
      </c>
      <c r="AT891" s="904" t="str">
        <f t="shared" si="89"/>
        <v>G64620</v>
      </c>
      <c r="AU891" s="488" t="str">
        <f t="shared" si="90"/>
        <v>COUT-LOC.AUTO USAGE OPT.</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2790</v>
      </c>
      <c r="D892" s="706" t="s">
        <v>2791</v>
      </c>
      <c r="E892" s="706" t="s">
        <v>333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G64700</v>
      </c>
      <c r="AK892" s="905" t="str">
        <f t="shared" si="87"/>
        <v>REMISE NEUF VOIT.DET.OPT</v>
      </c>
      <c r="AL892" s="905">
        <f>IFERROR(INDEX(G892:R892,1,MATCH(Parametres!$B$3,G$1:R$1,0)-1)*IF(OR(F892="L",F892="S",F892="I"),-1,1),"")</f>
        <v>0</v>
      </c>
      <c r="AM892" s="905">
        <f t="shared" si="88"/>
        <v>0</v>
      </c>
      <c r="AN892" s="905">
        <f>INDEX(G892:R892,1,MATCH(Parametres!$B$3,G$1:R$1,0))*IF(OR(F892="L",F892="S",F892="I"),-1,1)</f>
        <v>0</v>
      </c>
      <c r="AO892" s="487" t="str">
        <f>+VLOOKUP($AJ892,Data_Validation!$A:$D,1,0)</f>
        <v>G64700</v>
      </c>
      <c r="AP892" s="487">
        <f>+VLOOKUP($AJ892,Data_Validation!$A:$D,3,0)</f>
        <v>0</v>
      </c>
      <c r="AQ892" s="487">
        <f>+VLOOKUP($AJ892,Data_Validation!$A:$D,4,0)</f>
        <v>0</v>
      </c>
      <c r="AR892" s="487" t="s">
        <v>299</v>
      </c>
      <c r="AS892" s="487">
        <f>+VLOOKUP($AJ892,Data_Validation!$A:$E,5,0)</f>
        <v>0</v>
      </c>
      <c r="AT892" s="904" t="str">
        <f t="shared" si="89"/>
        <v>G64700</v>
      </c>
      <c r="AU892" s="488" t="str">
        <f t="shared" si="90"/>
        <v>REMISE NEUF VOIT.DET.OPT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2792</v>
      </c>
      <c r="D893" s="706" t="s">
        <v>2793</v>
      </c>
      <c r="E893" s="706" t="s">
        <v>333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G64701</v>
      </c>
      <c r="AK893" s="905" t="str">
        <f t="shared" si="87"/>
        <v>REMISE NEUF VOIT.DET.AUTR</v>
      </c>
      <c r="AL893" s="905">
        <f>IFERROR(INDEX(G893:R893,1,MATCH(Parametres!$B$3,G$1:R$1,0)-1)*IF(OR(F893="L",F893="S",F893="I"),-1,1),"")</f>
        <v>0</v>
      </c>
      <c r="AM893" s="905">
        <f t="shared" si="88"/>
        <v>0</v>
      </c>
      <c r="AN893" s="905">
        <f>INDEX(G893:R893,1,MATCH(Parametres!$B$3,G$1:R$1,0))*IF(OR(F893="L",F893="S",F893="I"),-1,1)</f>
        <v>0</v>
      </c>
      <c r="AO893" s="487" t="str">
        <f>+VLOOKUP($AJ893,Data_Validation!$A:$D,1,0)</f>
        <v>G64701</v>
      </c>
      <c r="AP893" s="487">
        <f>+VLOOKUP($AJ893,Data_Validation!$A:$D,3,0)</f>
        <v>0</v>
      </c>
      <c r="AQ893" s="487">
        <f>+VLOOKUP($AJ893,Data_Validation!$A:$D,4,0)</f>
        <v>0</v>
      </c>
      <c r="AR893" s="487" t="s">
        <v>299</v>
      </c>
      <c r="AS893" s="487">
        <f>+VLOOKUP($AJ893,Data_Validation!$A:$E,5,0)</f>
        <v>0</v>
      </c>
      <c r="AT893" s="904" t="str">
        <f t="shared" si="89"/>
        <v>G64701</v>
      </c>
      <c r="AU893" s="488" t="str">
        <f t="shared" si="90"/>
        <v>REMISE NEUF VOIT.DET.AUTR</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2794</v>
      </c>
      <c r="D894" s="706" t="s">
        <v>2795</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G64720</v>
      </c>
      <c r="AK894" s="905" t="str">
        <f t="shared" si="87"/>
        <v>REM.NEUF LOC.AUTO DET.OPT</v>
      </c>
      <c r="AL894" s="905">
        <f>IFERROR(INDEX(G894:R894,1,MATCH(Parametres!$B$3,G$1:R$1,0)-1)*IF(OR(F894="L",F894="S",F894="I"),-1,1),"")</f>
        <v>0</v>
      </c>
      <c r="AM894" s="905">
        <f t="shared" si="88"/>
        <v>0</v>
      </c>
      <c r="AN894" s="905">
        <f>INDEX(G894:R894,1,MATCH(Parametres!$B$3,G$1:R$1,0))*IF(OR(F894="L",F894="S",F894="I"),-1,1)</f>
        <v>0</v>
      </c>
      <c r="AO894" s="487" t="str">
        <f>+VLOOKUP($AJ894,Data_Validation!$A:$D,1,0)</f>
        <v>G64720</v>
      </c>
      <c r="AP894" s="487">
        <f>+VLOOKUP($AJ894,Data_Validation!$A:$D,3,0)</f>
        <v>0</v>
      </c>
      <c r="AQ894" s="487">
        <f>+VLOOKUP($AJ894,Data_Validation!$A:$D,4,0)</f>
        <v>0</v>
      </c>
      <c r="AR894" s="487" t="s">
        <v>299</v>
      </c>
      <c r="AS894" s="487">
        <f>+VLOOKUP($AJ894,Data_Validation!$A:$E,5,0)</f>
        <v>0</v>
      </c>
      <c r="AT894" s="904" t="str">
        <f t="shared" si="89"/>
        <v>G64720</v>
      </c>
      <c r="AU894" s="488" t="str">
        <f t="shared" si="90"/>
        <v>REM.NEUF LOC.AUTO 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2796</v>
      </c>
      <c r="D895" s="706" t="s">
        <v>2797</v>
      </c>
      <c r="E895" s="706" t="s">
        <v>1143</v>
      </c>
      <c r="F895" s="706" t="s">
        <v>1152</v>
      </c>
      <c r="G895" s="706">
        <v>8607.98</v>
      </c>
      <c r="H895" s="706">
        <v>117294.94</v>
      </c>
      <c r="I895" s="706">
        <v>305950.17</v>
      </c>
      <c r="J895" s="706">
        <v>398583.17</v>
      </c>
      <c r="K895" s="706">
        <v>349464.12</v>
      </c>
      <c r="L895" s="706">
        <v>442024.39</v>
      </c>
      <c r="M895" s="706">
        <v>479154.39</v>
      </c>
      <c r="N895" s="706">
        <v>574472.04</v>
      </c>
      <c r="O895" s="706">
        <v>574472.04</v>
      </c>
      <c r="P895" s="706">
        <v>0</v>
      </c>
      <c r="Q895" s="706">
        <v>0</v>
      </c>
      <c r="R895" s="706">
        <v>0</v>
      </c>
      <c r="S895" s="706">
        <v>71809.009999999995</v>
      </c>
      <c r="T895" s="706">
        <v>71809.009999999995</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G64800</v>
      </c>
      <c r="AK895" s="905" t="str">
        <f t="shared" si="87"/>
        <v>COUT-AUTOS USAGES EN GROS</v>
      </c>
      <c r="AL895" s="905">
        <f>IFERROR(INDEX(G895:R895,1,MATCH(Parametres!$B$3,G$1:R$1,0)-1)*IF(OR(F895="L",F895="S",F895="I"),-1,1),"")</f>
        <v>479154.39</v>
      </c>
      <c r="AM895" s="1047">
        <f t="shared" si="88"/>
        <v>95317.650000000023</v>
      </c>
      <c r="AN895" s="905">
        <f>INDEX(G895:R895,1,MATCH(Parametres!$B$3,G$1:R$1,0))*IF(OR(F895="L",F895="S",F895="I"),-1,1)</f>
        <v>574472.04</v>
      </c>
      <c r="AO895" s="487" t="str">
        <f>+VLOOKUP($AJ895,Data_Validation!$A:$D,1,0)</f>
        <v>G64800</v>
      </c>
      <c r="AP895" s="487" t="str">
        <f>+VLOOKUP($AJ895,Data_Validation!$A:$D,3,0)</f>
        <v>Véhicules usagés</v>
      </c>
      <c r="AQ895" s="487" t="str">
        <f>+VLOOKUP($AJ895,Data_Validation!$A:$D,4,0)</f>
        <v>Ventes au Gros</v>
      </c>
      <c r="AR895" s="487" t="s">
        <v>299</v>
      </c>
      <c r="AS895" s="487">
        <f>+VLOOKUP($AJ895,Data_Validation!$A:$E,5,0)</f>
        <v>0</v>
      </c>
      <c r="AT895" s="904" t="str">
        <f t="shared" si="89"/>
        <v>G64800</v>
      </c>
      <c r="AU895" s="488" t="str">
        <f t="shared" si="90"/>
        <v>COUT-AUTOS USAGES EN GROS</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2798</v>
      </c>
      <c r="D896" s="706" t="s">
        <v>2799</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G64900</v>
      </c>
      <c r="AK896" s="905" t="str">
        <f t="shared" si="87"/>
        <v>RECTIFICATION STOCK AUTO</v>
      </c>
      <c r="AL896" s="905">
        <f>IFERROR(INDEX(G896:R896,1,MATCH(Parametres!$B$3,G$1:R$1,0)-1)*IF(OR(F896="L",F896="S",F896="I"),-1,1),"")</f>
        <v>0</v>
      </c>
      <c r="AM896" s="905">
        <f t="shared" si="88"/>
        <v>0</v>
      </c>
      <c r="AN896" s="905">
        <f>INDEX(G896:R896,1,MATCH(Parametres!$B$3,G$1:R$1,0))*IF(OR(F896="L",F896="S",F896="I"),-1,1)</f>
        <v>0</v>
      </c>
      <c r="AO896" s="487" t="str">
        <f>+VLOOKUP($AJ896,Data_Validation!$A:$D,1,0)</f>
        <v>G64900</v>
      </c>
      <c r="AP896" s="487">
        <f>+VLOOKUP($AJ896,Data_Validation!$A:$D,3,0)</f>
        <v>0</v>
      </c>
      <c r="AQ896" s="487">
        <f>+VLOOKUP($AJ896,Data_Validation!$A:$D,4,0)</f>
        <v>0</v>
      </c>
      <c r="AR896" s="487" t="s">
        <v>299</v>
      </c>
      <c r="AS896" s="487">
        <f>+VLOOKUP($AJ896,Data_Validation!$A:$E,5,0)</f>
        <v>0</v>
      </c>
      <c r="AT896" s="904" t="str">
        <f t="shared" si="89"/>
        <v>G64900</v>
      </c>
      <c r="AU896" s="488" t="str">
        <f t="shared" si="90"/>
        <v>RECTIFICATION STOCK AUTO</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2800</v>
      </c>
      <c r="D897" s="706" t="s">
        <v>3390</v>
      </c>
      <c r="E897" s="706" t="s">
        <v>1143</v>
      </c>
      <c r="F897" s="706" t="s">
        <v>1152</v>
      </c>
      <c r="G897" s="706">
        <v>41059.599999999999</v>
      </c>
      <c r="H897" s="706">
        <v>349469.58</v>
      </c>
      <c r="I897" s="706">
        <v>1233604.7</v>
      </c>
      <c r="J897" s="706">
        <v>2065159.12</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G65000</v>
      </c>
      <c r="AK897" s="905" t="str">
        <f t="shared" si="87"/>
        <v>COUT-OCC.CAMION DET CERTI</v>
      </c>
      <c r="AL897" s="905">
        <f>IFERROR(INDEX(G897:R897,1,MATCH(Parametres!$B$3,G$1:R$1,0)-1)*IF(OR(F897="L",F897="S",F897="I"),-1,1),"")</f>
        <v>0</v>
      </c>
      <c r="AM897" s="905">
        <f t="shared" si="88"/>
        <v>0</v>
      </c>
      <c r="AN897" s="905">
        <f>INDEX(G897:R897,1,MATCH(Parametres!$B$3,G$1:R$1,0))*IF(OR(F897="L",F897="S",F897="I"),-1,1)</f>
        <v>0</v>
      </c>
      <c r="AO897" s="487" t="str">
        <f>+VLOOKUP($AJ897,Data_Validation!$A:$D,1,0)</f>
        <v>G65000</v>
      </c>
      <c r="AP897" s="487" t="str">
        <f>+VLOOKUP($AJ897,Data_Validation!$A:$D,3,0)</f>
        <v>Véhicules usagés</v>
      </c>
      <c r="AQ897" s="487" t="str">
        <f>+VLOOKUP($AJ897,Data_Validation!$A:$D,4,0)</f>
        <v>Ventes au Gros</v>
      </c>
      <c r="AR897" s="487" t="s">
        <v>299</v>
      </c>
      <c r="AS897" s="487" t="str">
        <f>+VLOOKUP($AJ897,Data_Validation!$A:$E,5,0)</f>
        <v>Oui</v>
      </c>
      <c r="AT897" s="904" t="str">
        <f t="shared" si="89"/>
        <v>G65000</v>
      </c>
      <c r="AU897" s="488" t="str">
        <f t="shared" si="90"/>
        <v>COUT-OCC.CAMION DET CERTI</v>
      </c>
      <c r="AV897" s="899">
        <f>IFERROR(INDEX(V897:AG897,1,MATCH(Parametres!$B$3,V$1:AG$1,0)-1)*IF(OR(C897="L",C897="S",C897="I"),-1,1),"")</f>
        <v>0</v>
      </c>
      <c r="AW897" s="899">
        <f t="shared" si="91"/>
        <v>0</v>
      </c>
      <c r="AX897" s="899">
        <f>INDEX(V897:AG897,1,MATCH(Parametres!$B$3,V$1:AG$1,0))*IF(OR(C897="L",C897="S",C897="I"),-1,1)</f>
        <v>0</v>
      </c>
      <c r="AY897" s="487" t="s">
        <v>337</v>
      </c>
      <c r="AZ897" s="487" t="str">
        <f>+VLOOKUP($AJ897,Data_Validation!$A:$E,5,0)</f>
        <v>Oui</v>
      </c>
    </row>
    <row r="898" spans="1:52" ht="15" hidden="1" customHeight="1">
      <c r="A898" s="706" t="s">
        <v>1148</v>
      </c>
      <c r="B898" s="706">
        <v>2026</v>
      </c>
      <c r="C898" s="706" t="s">
        <v>2802</v>
      </c>
      <c r="D898" s="706" t="s">
        <v>3391</v>
      </c>
      <c r="E898" s="706" t="s">
        <v>1143</v>
      </c>
      <c r="F898" s="706" t="s">
        <v>1152</v>
      </c>
      <c r="G898" s="706">
        <v>437492.78</v>
      </c>
      <c r="H898" s="706">
        <v>686180.56</v>
      </c>
      <c r="I898" s="706">
        <v>1224288.25</v>
      </c>
      <c r="J898" s="706">
        <v>2082692.23</v>
      </c>
      <c r="K898" s="706">
        <v>2979869.09</v>
      </c>
      <c r="L898" s="706">
        <v>3600566.98</v>
      </c>
      <c r="M898" s="706">
        <v>4301841.68</v>
      </c>
      <c r="N898" s="706">
        <v>4979774.16</v>
      </c>
      <c r="O898" s="706">
        <v>4979774.16</v>
      </c>
      <c r="P898" s="706">
        <v>0</v>
      </c>
      <c r="Q898" s="706">
        <v>0</v>
      </c>
      <c r="R898" s="706">
        <v>0</v>
      </c>
      <c r="S898" s="706">
        <v>622471.77</v>
      </c>
      <c r="T898" s="706">
        <v>622471.77</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G65001</v>
      </c>
      <c r="AK898" s="905" t="str">
        <f t="shared" si="87"/>
        <v>COUT-CAMION OCC.GM N-CERT</v>
      </c>
      <c r="AL898" s="905">
        <f>IFERROR(INDEX(G898:R898,1,MATCH(Parametres!$B$3,G$1:R$1,0)-1)*IF(OR(F898="L",F898="S",F898="I"),-1,1),"")</f>
        <v>4301841.68</v>
      </c>
      <c r="AM898" s="905">
        <f t="shared" si="88"/>
        <v>677932.48000000045</v>
      </c>
      <c r="AN898" s="905">
        <f>INDEX(G898:R898,1,MATCH(Parametres!$B$3,G$1:R$1,0))*IF(OR(F898="L",F898="S",F898="I"),-1,1)</f>
        <v>4979774.16</v>
      </c>
      <c r="AO898" s="487" t="str">
        <f>+VLOOKUP($AJ898,Data_Validation!$A:$D,1,0)</f>
        <v>G65001</v>
      </c>
      <c r="AP898" s="487" t="str">
        <f>+VLOOKUP($AJ898,Data_Validation!$A:$D,3,0)</f>
        <v>Véhicules usagés</v>
      </c>
      <c r="AQ898" s="487" t="str">
        <f>+VLOOKUP($AJ898,Data_Validation!$A:$D,4,0)</f>
        <v>Non Certifié</v>
      </c>
      <c r="AR898" s="487" t="s">
        <v>299</v>
      </c>
      <c r="AS898" s="487">
        <f>+VLOOKUP($AJ898,Data_Validation!$A:$E,5,0)</f>
        <v>0</v>
      </c>
      <c r="AT898" s="904" t="str">
        <f t="shared" si="89"/>
        <v>G65001</v>
      </c>
      <c r="AU898" s="488" t="str">
        <f t="shared" si="90"/>
        <v>COUT-CAMION OCC.GM N-CERT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3392</v>
      </c>
      <c r="D899" s="706" t="s">
        <v>3393</v>
      </c>
      <c r="E899" s="706" t="s">
        <v>1143</v>
      </c>
      <c r="F899" s="706" t="s">
        <v>1152</v>
      </c>
      <c r="G899" s="706">
        <v>0</v>
      </c>
      <c r="H899" s="706">
        <v>0</v>
      </c>
      <c r="I899" s="706">
        <v>0</v>
      </c>
      <c r="J899" s="706">
        <v>0</v>
      </c>
      <c r="K899" s="706">
        <v>0</v>
      </c>
      <c r="L899" s="706">
        <v>0</v>
      </c>
      <c r="M899" s="706">
        <v>0</v>
      </c>
      <c r="N899" s="706">
        <v>109737.96</v>
      </c>
      <c r="O899" s="706">
        <v>109737.96</v>
      </c>
      <c r="P899" s="706">
        <v>0</v>
      </c>
      <c r="Q899" s="706">
        <v>0</v>
      </c>
      <c r="R899" s="706">
        <v>0</v>
      </c>
      <c r="S899" s="706">
        <v>13717.25</v>
      </c>
      <c r="T899" s="706">
        <v>13717.25</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G65002</v>
      </c>
      <c r="AK899" s="905" t="str">
        <f t="shared" si="87"/>
        <v>COUT- CAMION AUTRE MARQ</v>
      </c>
      <c r="AL899" s="905">
        <f>IFERROR(INDEX(G899:R899,1,MATCH(Parametres!$B$3,G$1:R$1,0)-1)*IF(OR(F899="L",F899="S",F899="I"),-1,1),"")</f>
        <v>0</v>
      </c>
      <c r="AM899" s="905">
        <f t="shared" si="88"/>
        <v>109737.96</v>
      </c>
      <c r="AN899" s="905">
        <f>INDEX(G899:R899,1,MATCH(Parametres!$B$3,G$1:R$1,0))*IF(OR(F899="L",F899="S",F899="I"),-1,1)</f>
        <v>109737.96</v>
      </c>
      <c r="AO899" s="487" t="str">
        <f>+VLOOKUP($AJ899,Data_Validation!$A:$D,1,0)</f>
        <v>G65002</v>
      </c>
      <c r="AP899" s="487" t="str">
        <f>+VLOOKUP($AJ899,Data_Validation!$A:$D,3,0)</f>
        <v>Véhicules usagés</v>
      </c>
      <c r="AQ899" s="487" t="str">
        <f>+VLOOKUP($AJ899,Data_Validation!$A:$D,4,0)</f>
        <v>Autres Marques</v>
      </c>
      <c r="AR899" s="487" t="s">
        <v>299</v>
      </c>
      <c r="AS899" s="487">
        <f>+VLOOKUP($AJ899,Data_Validation!$A:$E,5,0)</f>
        <v>0</v>
      </c>
      <c r="AT899" s="904" t="str">
        <f t="shared" si="89"/>
        <v>G65002</v>
      </c>
      <c r="AU899" s="488" t="str">
        <f t="shared" si="90"/>
        <v>COUT- CAMION AUTRE MARQ</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3394</v>
      </c>
      <c r="D900" s="706" t="s">
        <v>3395</v>
      </c>
      <c r="E900" s="706" t="s">
        <v>1143</v>
      </c>
      <c r="F900" s="706" t="s">
        <v>1152</v>
      </c>
      <c r="G900" s="706">
        <v>0</v>
      </c>
      <c r="H900" s="706">
        <v>0</v>
      </c>
      <c r="I900" s="706">
        <v>0</v>
      </c>
      <c r="J900" s="706">
        <v>0</v>
      </c>
      <c r="K900" s="706">
        <v>0</v>
      </c>
      <c r="L900" s="706">
        <v>0</v>
      </c>
      <c r="M900" s="706">
        <v>163049.32</v>
      </c>
      <c r="N900" s="706">
        <v>249601.67</v>
      </c>
      <c r="O900" s="706">
        <v>249601.67</v>
      </c>
      <c r="P900" s="706">
        <v>0</v>
      </c>
      <c r="Q900" s="706">
        <v>0</v>
      </c>
      <c r="R900" s="706">
        <v>0</v>
      </c>
      <c r="S900" s="706">
        <v>31200.21</v>
      </c>
      <c r="T900" s="706">
        <v>31200.21</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G65003</v>
      </c>
      <c r="AK900" s="905" t="str">
        <f t="shared" si="87"/>
        <v>COUT-RACHAT BAIL CAMION</v>
      </c>
      <c r="AL900" s="905">
        <f>IFERROR(INDEX(G900:R900,1,MATCH(Parametres!$B$3,G$1:R$1,0)-1)*IF(OR(F900="L",F900="S",F900="I"),-1,1),"")</f>
        <v>163049.32</v>
      </c>
      <c r="AM900" s="905">
        <f t="shared" si="88"/>
        <v>86552.35</v>
      </c>
      <c r="AN900" s="905">
        <f>INDEX(G900:R900,1,MATCH(Parametres!$B$3,G$1:R$1,0))*IF(OR(F900="L",F900="S",F900="I"),-1,1)</f>
        <v>249601.67</v>
      </c>
      <c r="AO900" s="487" t="str">
        <f>+VLOOKUP($AJ900,Data_Validation!$A:$D,1,0)</f>
        <v>G65003</v>
      </c>
      <c r="AP900" s="487">
        <f>+VLOOKUP($AJ900,Data_Validation!$A:$D,3,0)</f>
        <v>0</v>
      </c>
      <c r="AQ900" s="487">
        <f>+VLOOKUP($AJ900,Data_Validation!$A:$D,4,0)</f>
        <v>0</v>
      </c>
      <c r="AR900" s="487" t="s">
        <v>299</v>
      </c>
      <c r="AS900" s="487">
        <f>+VLOOKUP($AJ900,Data_Validation!$A:$E,5,0)</f>
        <v>0</v>
      </c>
      <c r="AT900" s="904" t="str">
        <f t="shared" si="89"/>
        <v>G65003</v>
      </c>
      <c r="AU900" s="488" t="str">
        <f t="shared" si="90"/>
        <v>COUT-RACHAT BAIL CAMION</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2804</v>
      </c>
      <c r="D901" s="706" t="s">
        <v>2805</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G65020</v>
      </c>
      <c r="AK901" s="905" t="str">
        <f t="shared" si="87"/>
        <v>COUT-LOC.CAM.USAGE OPT.</v>
      </c>
      <c r="AL901" s="905">
        <f>IFERROR(INDEX(G901:R901,1,MATCH(Parametres!$B$3,G$1:R$1,0)-1)*IF(OR(F901="L",F901="S",F901="I"),-1,1),"")</f>
        <v>0</v>
      </c>
      <c r="AM901" s="905">
        <f t="shared" si="88"/>
        <v>0</v>
      </c>
      <c r="AN901" s="905">
        <f>INDEX(G901:R901,1,MATCH(Parametres!$B$3,G$1:R$1,0))*IF(OR(F901="L",F901="S",F901="I"),-1,1)</f>
        <v>0</v>
      </c>
      <c r="AO901" s="487" t="e">
        <f>+VLOOKUP($AJ901,Data_Validation!$A:$D,1,0)</f>
        <v>#N/A</v>
      </c>
      <c r="AP901" s="487" t="e">
        <f>+VLOOKUP($AJ901,Data_Validation!$A:$D,3,0)</f>
        <v>#N/A</v>
      </c>
      <c r="AQ901" s="487" t="e">
        <f>+VLOOKUP($AJ901,Data_Validation!$A:$D,4,0)</f>
        <v>#N/A</v>
      </c>
      <c r="AR901" s="487" t="s">
        <v>299</v>
      </c>
      <c r="AS901" s="487" t="e">
        <f>+VLOOKUP($AJ901,Data_Validation!$A:$E,5,0)</f>
        <v>#N/A</v>
      </c>
      <c r="AT901" s="904" t="str">
        <f t="shared" si="89"/>
        <v>G65020</v>
      </c>
      <c r="AU901" s="488" t="str">
        <f t="shared" si="90"/>
        <v>COUT-LOC.CAM.USAGE OPT.</v>
      </c>
      <c r="AV901" s="899">
        <f>IFERROR(INDEX(V901:AG901,1,MATCH(Parametres!$B$3,V$1:AG$1,0)-1)*IF(OR(C901="L",C901="S",C901="I"),-1,1),"")</f>
        <v>0</v>
      </c>
      <c r="AW901" s="899">
        <f t="shared" si="91"/>
        <v>0</v>
      </c>
      <c r="AX901" s="899">
        <f>INDEX(V901:AG901,1,MATCH(Parametres!$B$3,V$1:AG$1,0))*IF(OR(C901="L",C901="S",C901="I"),-1,1)</f>
        <v>0</v>
      </c>
      <c r="AY901" s="487" t="s">
        <v>337</v>
      </c>
      <c r="AZ901" s="487" t="e">
        <f>+VLOOKUP($AJ901,Data_Validation!$A:$E,5,0)</f>
        <v>#N/A</v>
      </c>
    </row>
    <row r="902" spans="1:52" ht="15" hidden="1" customHeight="1">
      <c r="A902" s="706" t="s">
        <v>1148</v>
      </c>
      <c r="B902" s="706">
        <v>2026</v>
      </c>
      <c r="C902" s="706" t="s">
        <v>2806</v>
      </c>
      <c r="D902" s="706" t="s">
        <v>2807</v>
      </c>
      <c r="E902" s="706" t="s">
        <v>333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G65100</v>
      </c>
      <c r="AK902" s="905" t="str">
        <f t="shared" si="87"/>
        <v>REMISE NEUF CAM.DET.OPT.</v>
      </c>
      <c r="AL902" s="905">
        <f>IFERROR(INDEX(G902:R902,1,MATCH(Parametres!$B$3,G$1:R$1,0)-1)*IF(OR(F902="L",F902="S",F902="I"),-1,1),"")</f>
        <v>0</v>
      </c>
      <c r="AM902" s="905">
        <f t="shared" si="88"/>
        <v>0</v>
      </c>
      <c r="AN902" s="905">
        <f>INDEX(G902:R902,1,MATCH(Parametres!$B$3,G$1:R$1,0))*IF(OR(F902="L",F902="S",F902="I"),-1,1)</f>
        <v>0</v>
      </c>
      <c r="AO902" s="487" t="str">
        <f>+VLOOKUP($AJ902,Data_Validation!$A:$D,1,0)</f>
        <v>G65100</v>
      </c>
      <c r="AP902" s="487">
        <f>+VLOOKUP($AJ902,Data_Validation!$A:$D,3,0)</f>
        <v>0</v>
      </c>
      <c r="AQ902" s="487">
        <f>+VLOOKUP($AJ902,Data_Validation!$A:$D,4,0)</f>
        <v>0</v>
      </c>
      <c r="AR902" s="487" t="s">
        <v>299</v>
      </c>
      <c r="AS902" s="487">
        <f>+VLOOKUP($AJ902,Data_Validation!$A:$E,5,0)</f>
        <v>0</v>
      </c>
      <c r="AT902" s="904" t="str">
        <f t="shared" si="89"/>
        <v>G65100</v>
      </c>
      <c r="AU902" s="488" t="str">
        <f t="shared" si="90"/>
        <v>REMISE NEUF CAM.DET.OPT.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2808</v>
      </c>
      <c r="D903" s="706" t="s">
        <v>2809</v>
      </c>
      <c r="E903" s="706" t="s">
        <v>333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G65101</v>
      </c>
      <c r="AK903" s="905" t="str">
        <f t="shared" si="87"/>
        <v>REMISE NEUF CAM.DET.AUTRE</v>
      </c>
      <c r="AL903" s="905">
        <f>IFERROR(INDEX(G903:R903,1,MATCH(Parametres!$B$3,G$1:R$1,0)-1)*IF(OR(F903="L",F903="S",F903="I"),-1,1),"")</f>
        <v>0</v>
      </c>
      <c r="AM903" s="905">
        <f t="shared" si="88"/>
        <v>0</v>
      </c>
      <c r="AN903" s="905">
        <f>INDEX(G903:R903,1,MATCH(Parametres!$B$3,G$1:R$1,0))*IF(OR(F903="L",F903="S",F903="I"),-1,1)</f>
        <v>0</v>
      </c>
      <c r="AO903" s="487" t="str">
        <f>+VLOOKUP($AJ903,Data_Validation!$A:$D,1,0)</f>
        <v>G65101</v>
      </c>
      <c r="AP903" s="487">
        <f>+VLOOKUP($AJ903,Data_Validation!$A:$D,3,0)</f>
        <v>0</v>
      </c>
      <c r="AQ903" s="487">
        <f>+VLOOKUP($AJ903,Data_Validation!$A:$D,4,0)</f>
        <v>0</v>
      </c>
      <c r="AR903" s="487" t="s">
        <v>299</v>
      </c>
      <c r="AS903" s="487">
        <f>+VLOOKUP($AJ903,Data_Validation!$A:$E,5,0)</f>
        <v>0</v>
      </c>
      <c r="AT903" s="904" t="str">
        <f t="shared" si="89"/>
        <v>G65101</v>
      </c>
      <c r="AU903" s="488" t="str">
        <f t="shared" si="90"/>
        <v>REMISE NEUF CAM.DET.AUTRE</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2810</v>
      </c>
      <c r="D904" s="706" t="s">
        <v>2811</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G65120</v>
      </c>
      <c r="AK904" s="905" t="str">
        <f t="shared" si="87"/>
        <v>REM.NEUF LOC.CAM.DET.OPT.</v>
      </c>
      <c r="AL904" s="905">
        <f>IFERROR(INDEX(G904:R904,1,MATCH(Parametres!$B$3,G$1:R$1,0)-1)*IF(OR(F904="L",F904="S",F904="I"),-1,1),"")</f>
        <v>0</v>
      </c>
      <c r="AM904" s="905">
        <f t="shared" si="88"/>
        <v>0</v>
      </c>
      <c r="AN904" s="905">
        <f>INDEX(G904:R904,1,MATCH(Parametres!$B$3,G$1:R$1,0))*IF(OR(F904="L",F904="S",F904="I"),-1,1)</f>
        <v>0</v>
      </c>
      <c r="AO904" s="487" t="str">
        <f>+VLOOKUP($AJ904,Data_Validation!$A:$D,1,0)</f>
        <v>G65120</v>
      </c>
      <c r="AP904" s="487">
        <f>+VLOOKUP($AJ904,Data_Validation!$A:$D,3,0)</f>
        <v>0</v>
      </c>
      <c r="AQ904" s="487">
        <f>+VLOOKUP($AJ904,Data_Validation!$A:$D,4,0)</f>
        <v>0</v>
      </c>
      <c r="AR904" s="487" t="s">
        <v>299</v>
      </c>
      <c r="AS904" s="487">
        <f>+VLOOKUP($AJ904,Data_Validation!$A:$E,5,0)</f>
        <v>0</v>
      </c>
      <c r="AT904" s="904" t="str">
        <f t="shared" si="89"/>
        <v>G65120</v>
      </c>
      <c r="AU904" s="488" t="str">
        <f t="shared" si="90"/>
        <v>REM.NEUF LOC.CAM.DET.OPT.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2812</v>
      </c>
      <c r="D905" s="706" t="s">
        <v>2813</v>
      </c>
      <c r="E905" s="706" t="s">
        <v>1143</v>
      </c>
      <c r="F905" s="706" t="s">
        <v>1152</v>
      </c>
      <c r="G905" s="706">
        <v>2051010.87</v>
      </c>
      <c r="H905" s="706">
        <v>3639591.88</v>
      </c>
      <c r="I905" s="706">
        <v>6799634.4299999997</v>
      </c>
      <c r="J905" s="706">
        <v>9640410.0500000007</v>
      </c>
      <c r="K905" s="706">
        <v>4652358.87</v>
      </c>
      <c r="L905" s="706">
        <v>5323087.83</v>
      </c>
      <c r="M905" s="706">
        <v>5849809.9699999997</v>
      </c>
      <c r="N905" s="706">
        <v>6765200.54</v>
      </c>
      <c r="O905" s="706">
        <v>6765200.54</v>
      </c>
      <c r="P905" s="706">
        <v>0</v>
      </c>
      <c r="Q905" s="706">
        <v>0</v>
      </c>
      <c r="R905" s="706">
        <v>0</v>
      </c>
      <c r="S905" s="706">
        <v>845650.07</v>
      </c>
      <c r="T905" s="706">
        <v>845650.07</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G65200</v>
      </c>
      <c r="AK905" s="905" t="str">
        <f t="shared" si="87"/>
        <v>COUT-CAM. OCCASION GROS</v>
      </c>
      <c r="AL905" s="905">
        <f>IFERROR(INDEX(G905:R905,1,MATCH(Parametres!$B$3,G$1:R$1,0)-1)*IF(OR(F905="L",F905="S",F905="I"),-1,1),"")</f>
        <v>5849809.9699999997</v>
      </c>
      <c r="AM905" s="1047">
        <f t="shared" si="88"/>
        <v>915390.5700000003</v>
      </c>
      <c r="AN905" s="905">
        <f>INDEX(G905:R905,1,MATCH(Parametres!$B$3,G$1:R$1,0))*IF(OR(F905="L",F905="S",F905="I"),-1,1)</f>
        <v>6765200.54</v>
      </c>
      <c r="AO905" s="487" t="str">
        <f>+VLOOKUP($AJ905,Data_Validation!$A:$D,1,0)</f>
        <v>G65200</v>
      </c>
      <c r="AP905" s="487" t="str">
        <f>+VLOOKUP($AJ905,Data_Validation!$A:$D,3,0)</f>
        <v>Véhicules usagés</v>
      </c>
      <c r="AQ905" s="487" t="str">
        <f>+VLOOKUP($AJ905,Data_Validation!$A:$D,4,0)</f>
        <v>Ventes au Gros</v>
      </c>
      <c r="AR905" s="487" t="s">
        <v>299</v>
      </c>
      <c r="AS905" s="487">
        <f>+VLOOKUP($AJ905,Data_Validation!$A:$E,5,0)</f>
        <v>0</v>
      </c>
      <c r="AT905" s="904" t="str">
        <f t="shared" si="89"/>
        <v>G65200</v>
      </c>
      <c r="AU905" s="488" t="str">
        <f t="shared" si="90"/>
        <v>COUT-CAM. OCCASION GROS</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2814</v>
      </c>
      <c r="D906" s="706" t="s">
        <v>2815</v>
      </c>
      <c r="E906" s="706" t="s">
        <v>1143</v>
      </c>
      <c r="F906" s="706" t="s">
        <v>1152</v>
      </c>
      <c r="G906" s="706">
        <v>6696533.3300000001</v>
      </c>
      <c r="H906" s="706">
        <v>7234033.3300000001</v>
      </c>
      <c r="I906" s="706">
        <v>10174343.33</v>
      </c>
      <c r="J906" s="706">
        <v>15978053.33</v>
      </c>
      <c r="K906" s="706">
        <v>17890973.329999998</v>
      </c>
      <c r="L906" s="706">
        <v>19641398.329999998</v>
      </c>
      <c r="M906" s="706">
        <v>21384898.329999998</v>
      </c>
      <c r="N906" s="706">
        <v>22161763.329999998</v>
      </c>
      <c r="O906" s="706">
        <v>22161763.329999998</v>
      </c>
      <c r="P906" s="706">
        <v>0</v>
      </c>
      <c r="Q906" s="706">
        <v>0</v>
      </c>
      <c r="R906" s="706">
        <v>0</v>
      </c>
      <c r="S906" s="706">
        <v>2770220.42</v>
      </c>
      <c r="T906" s="706">
        <v>2770220.42</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G65201</v>
      </c>
      <c r="AK906" s="905" t="str">
        <f t="shared" si="87"/>
        <v>COUT - WHOLESALE W</v>
      </c>
      <c r="AL906" s="905">
        <f>IFERROR(INDEX(G906:R906,1,MATCH(Parametres!$B$3,G$1:R$1,0)-1)*IF(OR(F906="L",F906="S",F906="I"),-1,1),"")</f>
        <v>21384898.329999998</v>
      </c>
      <c r="AM906" s="1047">
        <f t="shared" si="88"/>
        <v>776865</v>
      </c>
      <c r="AN906" s="905">
        <f>INDEX(G906:R906,1,MATCH(Parametres!$B$3,G$1:R$1,0))*IF(OR(F906="L",F906="S",F906="I"),-1,1)</f>
        <v>22161763.329999998</v>
      </c>
      <c r="AO906" s="487" t="str">
        <f>+VLOOKUP($AJ906,Data_Validation!$A:$D,1,0)</f>
        <v>G65201</v>
      </c>
      <c r="AP906" s="487" t="str">
        <f>+VLOOKUP($AJ906,Data_Validation!$A:$D,3,0)</f>
        <v>Wholesale autres</v>
      </c>
      <c r="AQ906" s="487" t="str">
        <f>+VLOOKUP($AJ906,Data_Validation!$A:$D,4,0)</f>
        <v>Wholesale Luxueux</v>
      </c>
      <c r="AR906" s="487" t="s">
        <v>299</v>
      </c>
      <c r="AS906" s="487">
        <f>+VLOOKUP($AJ906,Data_Validation!$A:$E,5,0)</f>
        <v>0</v>
      </c>
      <c r="AT906" s="904" t="str">
        <f t="shared" si="89"/>
        <v>G65201</v>
      </c>
      <c r="AU906" s="488" t="str">
        <f t="shared" si="90"/>
        <v>COUT - WHOLESALE W</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3158</v>
      </c>
      <c r="D907" s="706" t="s">
        <v>3157</v>
      </c>
      <c r="E907" s="706" t="s">
        <v>1143</v>
      </c>
      <c r="F907" s="706" t="s">
        <v>1152</v>
      </c>
      <c r="G907" s="706">
        <v>0</v>
      </c>
      <c r="H907" s="706">
        <v>0</v>
      </c>
      <c r="I907" s="706">
        <v>0</v>
      </c>
      <c r="J907" s="706">
        <v>0</v>
      </c>
      <c r="K907" s="706">
        <v>1473800</v>
      </c>
      <c r="L907" s="706">
        <v>2064800</v>
      </c>
      <c r="M907" s="706">
        <v>2064800</v>
      </c>
      <c r="N907" s="706">
        <v>2417300</v>
      </c>
      <c r="O907" s="706">
        <v>2417300</v>
      </c>
      <c r="P907" s="706">
        <v>0</v>
      </c>
      <c r="Q907" s="706">
        <v>0</v>
      </c>
      <c r="R907" s="706">
        <v>0</v>
      </c>
      <c r="S907" s="706">
        <v>302162.5</v>
      </c>
      <c r="T907" s="706">
        <v>302162.5</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G65202</v>
      </c>
      <c r="AK907" s="905" t="str">
        <f t="shared" si="87"/>
        <v>VTES- WHOLESALES M</v>
      </c>
      <c r="AL907" s="905">
        <f>IFERROR(INDEX(G907:R907,1,MATCH(Parametres!$B$3,G$1:R$1,0)-1)*IF(OR(F907="L",F907="S",F907="I"),-1,1),"")</f>
        <v>2064800</v>
      </c>
      <c r="AM907" s="1047">
        <f t="shared" si="88"/>
        <v>352500</v>
      </c>
      <c r="AN907" s="905">
        <f>INDEX(G907:R907,1,MATCH(Parametres!$B$3,G$1:R$1,0))*IF(OR(F907="L",F907="S",F907="I"),-1,1)</f>
        <v>2417300</v>
      </c>
      <c r="AO907" s="487" t="str">
        <f>+VLOOKUP($AJ907,Data_Validation!$A:$D,1,0)</f>
        <v>G65202</v>
      </c>
      <c r="AP907" s="487" t="str">
        <f>+VLOOKUP($AJ907,Data_Validation!$A:$D,3,0)</f>
        <v>Wholesale autres</v>
      </c>
      <c r="AQ907" s="487" t="str">
        <f>+VLOOKUP($AJ907,Data_Validation!$A:$D,4,0)</f>
        <v>Wholesale Luxueux</v>
      </c>
      <c r="AR907" s="487" t="s">
        <v>299</v>
      </c>
      <c r="AS907" s="487">
        <f>+VLOOKUP($AJ907,Data_Validation!$A:$E,5,0)</f>
        <v>0</v>
      </c>
      <c r="AT907" s="904" t="str">
        <f t="shared" si="89"/>
        <v>G65202</v>
      </c>
      <c r="AU907" s="488" t="str">
        <f t="shared" si="90"/>
        <v>VTES- WHOLESALES M</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2816</v>
      </c>
      <c r="D908" s="706" t="s">
        <v>2817</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G65300</v>
      </c>
      <c r="AK908" s="905" t="str">
        <f t="shared" si="87"/>
        <v>RECTIFICATION/STOCK/TRUCK</v>
      </c>
      <c r="AL908" s="905">
        <f>IFERROR(INDEX(G908:R908,1,MATCH(Parametres!$B$3,G$1:R$1,0)-1)*IF(OR(F908="L",F908="S",F908="I"),-1,1),"")</f>
        <v>0</v>
      </c>
      <c r="AM908" s="905">
        <f t="shared" si="88"/>
        <v>0</v>
      </c>
      <c r="AN908" s="905">
        <f>INDEX(G908:R908,1,MATCH(Parametres!$B$3,G$1:R$1,0))*IF(OR(F908="L",F908="S",F908="I"),-1,1)</f>
        <v>0</v>
      </c>
      <c r="AO908" s="487" t="str">
        <f>+VLOOKUP($AJ908,Data_Validation!$A:$D,1,0)</f>
        <v>G65300</v>
      </c>
      <c r="AP908" s="487">
        <f>+VLOOKUP($AJ908,Data_Validation!$A:$D,3,0)</f>
        <v>0</v>
      </c>
      <c r="AQ908" s="487">
        <f>+VLOOKUP($AJ908,Data_Validation!$A:$D,4,0)</f>
        <v>0</v>
      </c>
      <c r="AR908" s="487" t="s">
        <v>299</v>
      </c>
      <c r="AS908" s="487">
        <f>+VLOOKUP($AJ908,Data_Validation!$A:$E,5,0)</f>
        <v>0</v>
      </c>
      <c r="AT908" s="904" t="str">
        <f t="shared" si="89"/>
        <v>G65300</v>
      </c>
      <c r="AU908" s="488" t="str">
        <f t="shared" si="90"/>
        <v>RECTIFICATION/STOCK/TRUCK</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2818</v>
      </c>
      <c r="D909" s="706" t="s">
        <v>2819</v>
      </c>
      <c r="E909" s="706" t="s">
        <v>333</v>
      </c>
      <c r="F909" s="706" t="s">
        <v>1152</v>
      </c>
      <c r="G909" s="706">
        <v>18498</v>
      </c>
      <c r="H909" s="706">
        <v>22917.759999999998</v>
      </c>
      <c r="I909" s="706">
        <v>31986.76</v>
      </c>
      <c r="J909" s="706">
        <v>54598.76</v>
      </c>
      <c r="K909" s="706">
        <v>72597.759999999995</v>
      </c>
      <c r="L909" s="706">
        <v>89481.76</v>
      </c>
      <c r="M909" s="706">
        <v>89481.76</v>
      </c>
      <c r="N909" s="706">
        <v>95104.76</v>
      </c>
      <c r="O909" s="706">
        <v>95104.76</v>
      </c>
      <c r="P909" s="706">
        <v>0</v>
      </c>
      <c r="Q909" s="706">
        <v>0</v>
      </c>
      <c r="R909" s="706">
        <v>0</v>
      </c>
      <c r="S909" s="706">
        <v>11888.1</v>
      </c>
      <c r="T909" s="706">
        <v>11888.1</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G65400</v>
      </c>
      <c r="AK909" s="905" t="str">
        <f t="shared" si="87"/>
        <v>COUT-PLAN PROTECTION USAG</v>
      </c>
      <c r="AL909" s="905">
        <f>IFERROR(INDEX(G909:R909,1,MATCH(Parametres!$B$3,G$1:R$1,0)-1)*IF(OR(F909="L",F909="S",F909="I"),-1,1),"")</f>
        <v>89481.76</v>
      </c>
      <c r="AM909" s="1047">
        <f t="shared" si="88"/>
        <v>5623</v>
      </c>
      <c r="AN909" s="905">
        <f>INDEX(G909:R909,1,MATCH(Parametres!$B$3,G$1:R$1,0))*IF(OR(F909="L",F909="S",F909="I"),-1,1)</f>
        <v>95104.76</v>
      </c>
      <c r="AO909" s="487" t="str">
        <f>+VLOOKUP($AJ909,Data_Validation!$A:$D,1,0)</f>
        <v>G65400</v>
      </c>
      <c r="AP909" s="487" t="str">
        <f>+VLOOKUP($AJ909,Data_Validation!$A:$D,3,0)</f>
        <v>Véhicules usagés</v>
      </c>
      <c r="AQ909" s="487" t="str">
        <f>+VLOOKUP($AJ909,Data_Validation!$A:$D,4,0)</f>
        <v>Rev. Protections</v>
      </c>
      <c r="AR909" s="487" t="s">
        <v>299</v>
      </c>
      <c r="AS909" s="487">
        <f>+VLOOKUP($AJ909,Data_Validation!$A:$E,5,0)</f>
        <v>0</v>
      </c>
      <c r="AT909" s="904" t="str">
        <f t="shared" si="89"/>
        <v>G65400</v>
      </c>
      <c r="AU909" s="488" t="str">
        <f t="shared" si="90"/>
        <v>COUT-PLAN PROTECTION USAG</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3396</v>
      </c>
      <c r="D910" s="706" t="s">
        <v>3397</v>
      </c>
      <c r="E910" s="706" t="s">
        <v>333</v>
      </c>
      <c r="F910" s="706" t="s">
        <v>1152</v>
      </c>
      <c r="G910" s="706">
        <v>0</v>
      </c>
      <c r="H910" s="706">
        <v>0</v>
      </c>
      <c r="I910" s="706">
        <v>0</v>
      </c>
      <c r="J910" s="706">
        <v>0</v>
      </c>
      <c r="K910" s="706">
        <v>0</v>
      </c>
      <c r="L910" s="706">
        <v>0</v>
      </c>
      <c r="M910" s="706">
        <v>5911</v>
      </c>
      <c r="N910" s="706">
        <v>5911</v>
      </c>
      <c r="O910" s="706">
        <v>5911</v>
      </c>
      <c r="P910" s="706">
        <v>0</v>
      </c>
      <c r="Q910" s="706">
        <v>0</v>
      </c>
      <c r="R910" s="706">
        <v>0</v>
      </c>
      <c r="S910" s="706">
        <v>738.88</v>
      </c>
      <c r="T910" s="706">
        <v>738.88</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G65401</v>
      </c>
      <c r="AK910" s="905" t="str">
        <f t="shared" si="87"/>
        <v>COUT ANTIROUILLE USAGE</v>
      </c>
      <c r="AL910" s="905">
        <f>IFERROR(INDEX(G910:R910,1,MATCH(Parametres!$B$3,G$1:R$1,0)-1)*IF(OR(F910="L",F910="S",F910="I"),-1,1),"")</f>
        <v>5911</v>
      </c>
      <c r="AM910" s="905">
        <f t="shared" si="88"/>
        <v>0</v>
      </c>
      <c r="AN910" s="905">
        <f>INDEX(G910:R910,1,MATCH(Parametres!$B$3,G$1:R$1,0))*IF(OR(F910="L",F910="S",F910="I"),-1,1)</f>
        <v>5911</v>
      </c>
      <c r="AO910" s="487" t="str">
        <f>+VLOOKUP($AJ910,Data_Validation!$A:$D,1,0)</f>
        <v>G65401</v>
      </c>
      <c r="AP910" s="487" t="str">
        <f>+VLOOKUP($AJ910,Data_Validation!$A:$D,3,0)</f>
        <v>Véhicules usagés</v>
      </c>
      <c r="AQ910" s="487" t="str">
        <f>+VLOOKUP($AJ910,Data_Validation!$A:$D,4,0)</f>
        <v>Rev. Protections</v>
      </c>
      <c r="AR910" s="487" t="s">
        <v>299</v>
      </c>
      <c r="AS910" s="487">
        <f>+VLOOKUP($AJ910,Data_Validation!$A:$E,5,0)</f>
        <v>0</v>
      </c>
      <c r="AT910" s="904" t="str">
        <f t="shared" si="89"/>
        <v>G65401</v>
      </c>
      <c r="AU910" s="488" t="str">
        <f t="shared" si="90"/>
        <v>COUT ANTIROUILLE USAGE</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3398</v>
      </c>
      <c r="D911" s="706" t="s">
        <v>3399</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G65403</v>
      </c>
      <c r="AK911" s="905" t="str">
        <f t="shared" si="87"/>
        <v>COUT VITRE-PEINT-TISS- US</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G65403</v>
      </c>
      <c r="AU911" s="488" t="str">
        <f t="shared" si="90"/>
        <v>COUT VITRE-PEINT-TISS- US</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3400</v>
      </c>
      <c r="D912" s="706" t="s">
        <v>3401</v>
      </c>
      <c r="E912" s="706" t="s">
        <v>333</v>
      </c>
      <c r="F912" s="706" t="s">
        <v>1152</v>
      </c>
      <c r="G912" s="706">
        <v>0</v>
      </c>
      <c r="H912" s="706">
        <v>0</v>
      </c>
      <c r="I912" s="706">
        <v>0</v>
      </c>
      <c r="J912" s="706">
        <v>0</v>
      </c>
      <c r="K912" s="706">
        <v>0</v>
      </c>
      <c r="L912" s="706">
        <v>0</v>
      </c>
      <c r="M912" s="706">
        <v>760</v>
      </c>
      <c r="N912" s="706">
        <v>760</v>
      </c>
      <c r="O912" s="706">
        <v>760</v>
      </c>
      <c r="P912" s="706">
        <v>0</v>
      </c>
      <c r="Q912" s="706">
        <v>0</v>
      </c>
      <c r="R912" s="706">
        <v>0</v>
      </c>
      <c r="S912" s="706">
        <v>95</v>
      </c>
      <c r="T912" s="706">
        <v>95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G65405</v>
      </c>
      <c r="AK912" s="905" t="str">
        <f t="shared" si="87"/>
        <v>COUT ANTIVOL-TAG -OCC</v>
      </c>
      <c r="AL912" s="905">
        <f>IFERROR(INDEX(G912:R912,1,MATCH(Parametres!$B$3,G$1:R$1,0)-1)*IF(OR(F912="L",F912="S",F912="I"),-1,1),"")</f>
        <v>760</v>
      </c>
      <c r="AM912" s="905">
        <f t="shared" si="88"/>
        <v>0</v>
      </c>
      <c r="AN912" s="905">
        <f>INDEX(G912:R912,1,MATCH(Parametres!$B$3,G$1:R$1,0))*IF(OR(F912="L",F912="S",F912="I"),-1,1)</f>
        <v>760</v>
      </c>
      <c r="AO912" s="487" t="str">
        <f>+VLOOKUP($AJ912,Data_Validation!$A:$D,1,0)</f>
        <v>G65405</v>
      </c>
      <c r="AP912" s="487" t="str">
        <f>+VLOOKUP($AJ912,Data_Validation!$A:$D,3,0)</f>
        <v>Véhicules usagés</v>
      </c>
      <c r="AQ912" s="487" t="str">
        <f>+VLOOKUP($AJ912,Data_Validation!$A:$D,4,0)</f>
        <v>Rev. Protections</v>
      </c>
      <c r="AR912" s="487" t="s">
        <v>299</v>
      </c>
      <c r="AS912" s="487">
        <f>+VLOOKUP($AJ912,Data_Validation!$A:$E,5,0)</f>
        <v>0</v>
      </c>
      <c r="AT912" s="904" t="str">
        <f t="shared" si="89"/>
        <v>G65405</v>
      </c>
      <c r="AU912" s="488" t="str">
        <f t="shared" si="90"/>
        <v>COUT ANTIVOL-TAG -OCC</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hidden="1" customHeight="1">
      <c r="A913" s="706" t="s">
        <v>1148</v>
      </c>
      <c r="B913" s="706">
        <v>2026</v>
      </c>
      <c r="C913" s="706" t="s">
        <v>2820</v>
      </c>
      <c r="D913" s="706" t="s">
        <v>2821</v>
      </c>
      <c r="E913" s="706" t="s">
        <v>1143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G65500</v>
      </c>
      <c r="AK913" s="905" t="str">
        <f t="shared" si="87"/>
        <v>RETOUR DE LOCATION-COUT</v>
      </c>
      <c r="AL913" s="905">
        <f>IFERROR(INDEX(G913:R913,1,MATCH(Parametres!$B$3,G$1:R$1,0)-1)*IF(OR(F913="L",F913="S",F913="I"),-1,1),"")</f>
        <v>0</v>
      </c>
      <c r="AM913" s="905">
        <f t="shared" si="88"/>
        <v>0</v>
      </c>
      <c r="AN913" s="905">
        <f>INDEX(G913:R913,1,MATCH(Parametres!$B$3,G$1:R$1,0))*IF(OR(F913="L",F913="S",F913="I"),-1,1)</f>
        <v>0</v>
      </c>
      <c r="AO913" s="487" t="str">
        <f>+VLOOKUP($AJ913,Data_Validation!$A:$D,1,0)</f>
        <v>G65500</v>
      </c>
      <c r="AP913" s="487" t="str">
        <f>+VLOOKUP($AJ913,Data_Validation!$A:$D,3,0)</f>
        <v>Véhicules usagés</v>
      </c>
      <c r="AQ913" s="487" t="str">
        <f>+VLOOKUP($AJ913,Data_Validation!$A:$D,4,0)</f>
        <v>Rev. Protections</v>
      </c>
      <c r="AR913" s="487" t="s">
        <v>299</v>
      </c>
      <c r="AS913" s="487">
        <f>+VLOOKUP($AJ913,Data_Validation!$A:$E,5,0)</f>
        <v>0</v>
      </c>
      <c r="AT913" s="904" t="str">
        <f t="shared" si="89"/>
        <v>G65500</v>
      </c>
      <c r="AU913" s="488" t="str">
        <f t="shared" si="90"/>
        <v>RETOUR DE LOCATION-COUT</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hidden="1" customHeight="1">
      <c r="A914" s="706" t="s">
        <v>1148</v>
      </c>
      <c r="B914" s="706">
        <v>2026</v>
      </c>
      <c r="C914" s="706" t="s">
        <v>2822</v>
      </c>
      <c r="D914" s="706" t="s">
        <v>2823</v>
      </c>
      <c r="E914" s="706" t="s">
        <v>333</v>
      </c>
      <c r="F914" s="706" t="s">
        <v>1152</v>
      </c>
      <c r="G914" s="706">
        <v>1523.9</v>
      </c>
      <c r="H914" s="706">
        <v>1523.9</v>
      </c>
      <c r="I914" s="706">
        <v>2473.8000000000002</v>
      </c>
      <c r="J914" s="706">
        <v>2473.8000000000002</v>
      </c>
      <c r="K914" s="706">
        <v>2473.8000000000002</v>
      </c>
      <c r="L914" s="706">
        <v>2473.8000000000002</v>
      </c>
      <c r="M914" s="706">
        <v>2473.8000000000002</v>
      </c>
      <c r="N914" s="706">
        <v>6127.8</v>
      </c>
      <c r="O914" s="706">
        <v>6127.8</v>
      </c>
      <c r="P914" s="706">
        <v>0</v>
      </c>
      <c r="Q914" s="706">
        <v>0</v>
      </c>
      <c r="R914" s="706">
        <v>0</v>
      </c>
      <c r="S914" s="706">
        <v>765.98</v>
      </c>
      <c r="T914" s="706">
        <v>765.98</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G65600</v>
      </c>
      <c r="AK914" s="905" t="str">
        <f t="shared" si="87"/>
        <v>COUT-REMPLACEMENT USAGES</v>
      </c>
      <c r="AL914" s="905">
        <f>IFERROR(INDEX(G914:R914,1,MATCH(Parametres!$B$3,G$1:R$1,0)-1)*IF(OR(F914="L",F914="S",F914="I"),-1,1),"")</f>
        <v>2473.8000000000002</v>
      </c>
      <c r="AM914" s="905">
        <f t="shared" si="88"/>
        <v>3654</v>
      </c>
      <c r="AN914" s="905">
        <f>INDEX(G914:R914,1,MATCH(Parametres!$B$3,G$1:R$1,0))*IF(OR(F914="L",F914="S",F914="I"),-1,1)</f>
        <v>6127.8</v>
      </c>
      <c r="AO914" s="487" t="str">
        <f>+VLOOKUP($AJ914,Data_Validation!$A:$D,1,0)</f>
        <v>G65600</v>
      </c>
      <c r="AP914" s="487" t="str">
        <f>+VLOOKUP($AJ914,Data_Validation!$A:$D,3,0)</f>
        <v>Véhicules usagés</v>
      </c>
      <c r="AQ914" s="487" t="str">
        <f>+VLOOKUP($AJ914,Data_Validation!$A:$D,4,0)</f>
        <v>Rev. Protections</v>
      </c>
      <c r="AR914" s="487" t="s">
        <v>299</v>
      </c>
      <c r="AS914" s="487">
        <f>+VLOOKUP($AJ914,Data_Validation!$A:$E,5,0)</f>
        <v>0</v>
      </c>
      <c r="AT914" s="904" t="str">
        <f t="shared" si="89"/>
        <v>G65600</v>
      </c>
      <c r="AU914" s="488" t="str">
        <f t="shared" si="90"/>
        <v>COUT-REMPLACEMENT USAGES</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hidden="1" customHeight="1">
      <c r="A915" s="706" t="s">
        <v>1148</v>
      </c>
      <c r="B915" s="706">
        <v>2026</v>
      </c>
      <c r="C915" s="706" t="s">
        <v>2824</v>
      </c>
      <c r="D915" s="706" t="s">
        <v>2825</v>
      </c>
      <c r="E915" s="706" t="s">
        <v>1152</v>
      </c>
      <c r="F915" s="706" t="s">
        <v>1152</v>
      </c>
      <c r="G915" s="706">
        <v>0</v>
      </c>
      <c r="H915" s="706">
        <v>11481.43</v>
      </c>
      <c r="I915" s="706">
        <v>11481.43</v>
      </c>
      <c r="J915" s="706">
        <v>11481.43</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G65601</v>
      </c>
      <c r="AK915" s="905" t="str">
        <f t="shared" si="87"/>
        <v>COUT VEH U.S.A</v>
      </c>
      <c r="AL915" s="905">
        <f>IFERROR(INDEX(G915:R915,1,MATCH(Parametres!$B$3,G$1:R$1,0)-1)*IF(OR(F915="L",F915="S",F915="I"),-1,1),"")</f>
        <v>0</v>
      </c>
      <c r="AM915" s="905">
        <f t="shared" si="88"/>
        <v>0</v>
      </c>
      <c r="AN915" s="905">
        <f>INDEX(G915:R915,1,MATCH(Parametres!$B$3,G$1:R$1,0))*IF(OR(F915="L",F915="S",F915="I"),-1,1)</f>
        <v>0</v>
      </c>
      <c r="AO915" s="487" t="str">
        <f>+VLOOKUP($AJ915,Data_Validation!$A:$D,1,0)</f>
        <v>G65601</v>
      </c>
      <c r="AP915" s="487" t="str">
        <f>+VLOOKUP($AJ915,Data_Validation!$A:$D,3,0)</f>
        <v>Wholesale autres</v>
      </c>
      <c r="AQ915" s="487" t="str">
        <f>+VLOOKUP($AJ915,Data_Validation!$A:$D,4,0)</f>
        <v>Wholesale USA</v>
      </c>
      <c r="AR915" s="487" t="s">
        <v>299</v>
      </c>
      <c r="AS915" s="487">
        <f>+VLOOKUP($AJ915,Data_Validation!$A:$E,5,0)</f>
        <v>0</v>
      </c>
      <c r="AT915" s="904" t="str">
        <f t="shared" si="89"/>
        <v>G65601</v>
      </c>
      <c r="AU915" s="488" t="str">
        <f t="shared" si="90"/>
        <v>COUT VEH U.S.A</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hidden="1" customHeight="1">
      <c r="A916" s="706" t="s">
        <v>1148</v>
      </c>
      <c r="B916" s="706">
        <v>2026</v>
      </c>
      <c r="C916" s="706" t="s">
        <v>2826</v>
      </c>
      <c r="D916" s="706" t="s">
        <v>2827</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G65602</v>
      </c>
      <c r="AK916" s="905" t="str">
        <f t="shared" si="87"/>
        <v>COUT VENTE USA -AJUSTMENT</v>
      </c>
      <c r="AL916" s="905">
        <f>IFERROR(INDEX(G916:R916,1,MATCH(Parametres!$B$3,G$1:R$1,0)-1)*IF(OR(F916="L",F916="S",F916="I"),-1,1),"")</f>
        <v>0</v>
      </c>
      <c r="AM916" s="905">
        <f t="shared" si="88"/>
        <v>0</v>
      </c>
      <c r="AN916" s="905">
        <f>INDEX(G916:R916,1,MATCH(Parametres!$B$3,G$1:R$1,0))*IF(OR(F916="L",F916="S",F916="I"),-1,1)</f>
        <v>0</v>
      </c>
      <c r="AO916" s="487" t="str">
        <f>+VLOOKUP($AJ916,Data_Validation!$A:$D,1,0)</f>
        <v>G65602</v>
      </c>
      <c r="AP916" s="487" t="str">
        <f>+VLOOKUP($AJ916,Data_Validation!$A:$D,3,0)</f>
        <v>Wholesale autres</v>
      </c>
      <c r="AQ916" s="487" t="str">
        <f>+VLOOKUP($AJ916,Data_Validation!$A:$D,4,0)</f>
        <v>Wholesale USA</v>
      </c>
      <c r="AR916" s="487" t="s">
        <v>299</v>
      </c>
      <c r="AS916" s="487">
        <f>+VLOOKUP($AJ916,Data_Validation!$A:$E,5,0)</f>
        <v>0</v>
      </c>
      <c r="AT916" s="904" t="str">
        <f t="shared" si="89"/>
        <v>G65602</v>
      </c>
      <c r="AU916" s="488" t="str">
        <f t="shared" si="90"/>
        <v>COUT VENTE USA -AJUSTMENT</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2828</v>
      </c>
      <c r="D917" s="706" t="s">
        <v>2829</v>
      </c>
      <c r="E917" s="706" t="s">
        <v>1143</v>
      </c>
      <c r="F917" s="706" t="s">
        <v>1152</v>
      </c>
      <c r="G917" s="706">
        <v>1824174.62</v>
      </c>
      <c r="H917" s="706">
        <v>3633133.52</v>
      </c>
      <c r="I917" s="706">
        <v>7320041.8700000001</v>
      </c>
      <c r="J917" s="706">
        <v>11569668.59</v>
      </c>
      <c r="K917" s="706">
        <v>14808103.08</v>
      </c>
      <c r="L917" s="706">
        <v>17839502.09</v>
      </c>
      <c r="M917" s="706">
        <v>19917424.07</v>
      </c>
      <c r="N917" s="706">
        <v>23418547.68</v>
      </c>
      <c r="O917" s="706">
        <v>23419197.34</v>
      </c>
      <c r="P917" s="706">
        <v>0</v>
      </c>
      <c r="Q917" s="706">
        <v>0</v>
      </c>
      <c r="R917" s="706">
        <v>0</v>
      </c>
      <c r="S917" s="706">
        <v>2927318.46</v>
      </c>
      <c r="T917" s="706">
        <v>2927318.46</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G65603</v>
      </c>
      <c r="AK917" s="905" t="str">
        <f t="shared" si="87"/>
        <v>COUTANT VENTES USA</v>
      </c>
      <c r="AL917" s="905">
        <f>IFERROR(INDEX(G917:R917,1,MATCH(Parametres!$B$3,G$1:R$1,0)-1)*IF(OR(F917="L",F917="S",F917="I"),-1,1),"")</f>
        <v>19917424.07</v>
      </c>
      <c r="AM917" s="1047">
        <f t="shared" si="88"/>
        <v>3501123.6099999994</v>
      </c>
      <c r="AN917" s="905">
        <f>INDEX(G917:R917,1,MATCH(Parametres!$B$3,G$1:R$1,0))*IF(OR(F917="L",F917="S",F917="I"),-1,1)</f>
        <v>23418547.68</v>
      </c>
      <c r="AO917" s="487" t="str">
        <f>+VLOOKUP($AJ917,Data_Validation!$A:$D,1,0)</f>
        <v>G65603</v>
      </c>
      <c r="AP917" s="487" t="str">
        <f>+VLOOKUP($AJ917,Data_Validation!$A:$D,3,0)</f>
        <v>Wholesale autres</v>
      </c>
      <c r="AQ917" s="487" t="str">
        <f>+VLOOKUP($AJ917,Data_Validation!$A:$D,4,0)</f>
        <v>Wholesale USA</v>
      </c>
      <c r="AR917" s="487" t="s">
        <v>299</v>
      </c>
      <c r="AS917" s="487">
        <f>+VLOOKUP($AJ917,Data_Validation!$A:$E,5,0)</f>
        <v>0</v>
      </c>
      <c r="AT917" s="904" t="str">
        <f t="shared" si="89"/>
        <v>G65603</v>
      </c>
      <c r="AU917" s="488" t="str">
        <f t="shared" si="90"/>
        <v>COUTANT VENTES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2830</v>
      </c>
      <c r="D918" s="706" t="s">
        <v>2831</v>
      </c>
      <c r="E918" s="706" t="s">
        <v>1143</v>
      </c>
      <c r="F918" s="706" t="s">
        <v>1152</v>
      </c>
      <c r="G918" s="706">
        <v>0</v>
      </c>
      <c r="H918" s="706">
        <v>0</v>
      </c>
      <c r="I918" s="706">
        <v>0</v>
      </c>
      <c r="J918" s="706">
        <v>0</v>
      </c>
      <c r="K918" s="706">
        <v>3688515.75</v>
      </c>
      <c r="L918" s="706">
        <v>5629910.8300000001</v>
      </c>
      <c r="M918" s="706">
        <v>7128148.5800000001</v>
      </c>
      <c r="N918" s="706">
        <v>8909255.25</v>
      </c>
      <c r="O918" s="706">
        <v>8909255.25</v>
      </c>
      <c r="P918" s="706">
        <v>0</v>
      </c>
      <c r="Q918" s="706">
        <v>0</v>
      </c>
      <c r="R918" s="706">
        <v>0</v>
      </c>
      <c r="S918" s="706">
        <v>1113656.9099999999</v>
      </c>
      <c r="T918" s="706">
        <v>1113656.9099999999</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G656031</v>
      </c>
      <c r="AK918" s="905" t="str">
        <f t="shared" si="87"/>
        <v>COUT VENTES INTERCO USA</v>
      </c>
      <c r="AL918" s="905">
        <f>IFERROR(INDEX(G918:R918,1,MATCH(Parametres!$B$3,G$1:R$1,0)-1)*IF(OR(F918="L",F918="S",F918="I"),-1,1),"")</f>
        <v>7128148.5800000001</v>
      </c>
      <c r="AM918" s="1047">
        <f t="shared" si="88"/>
        <v>1781106.67</v>
      </c>
      <c r="AN918" s="905">
        <f>INDEX(G918:R918,1,MATCH(Parametres!$B$3,G$1:R$1,0))*IF(OR(F918="L",F918="S",F918="I"),-1,1)</f>
        <v>8909255.25</v>
      </c>
      <c r="AO918" s="487" t="str">
        <f>+VLOOKUP($AJ918,Data_Validation!$A:$D,1,0)</f>
        <v>G656031</v>
      </c>
      <c r="AP918" s="487">
        <f>+VLOOKUP($AJ918,Data_Validation!$A:$D,3,0)</f>
        <v>0</v>
      </c>
      <c r="AQ918" s="487">
        <f>+VLOOKUP($AJ918,Data_Validation!$A:$D,4,0)</f>
        <v>0</v>
      </c>
      <c r="AR918" s="487" t="s">
        <v>299</v>
      </c>
      <c r="AS918" s="487">
        <f>+VLOOKUP($AJ918,Data_Validation!$A:$E,5,0)</f>
        <v>0</v>
      </c>
      <c r="AT918" s="904" t="str">
        <f t="shared" si="89"/>
        <v>G656031</v>
      </c>
      <c r="AU918" s="488" t="str">
        <f t="shared" si="90"/>
        <v>COUT VENTES INTERCO USA</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2832</v>
      </c>
      <c r="D919" s="706" t="s">
        <v>2833</v>
      </c>
      <c r="E919" s="706" t="s">
        <v>1143</v>
      </c>
      <c r="F919" s="706" t="s">
        <v>1152</v>
      </c>
      <c r="G919" s="706">
        <v>0</v>
      </c>
      <c r="H919" s="706">
        <v>0</v>
      </c>
      <c r="I919" s="706">
        <v>0</v>
      </c>
      <c r="J919" s="706">
        <v>0</v>
      </c>
      <c r="K919" s="706">
        <v>7618583.3200000003</v>
      </c>
      <c r="L919" s="706">
        <v>8208159.9699999997</v>
      </c>
      <c r="M919" s="706">
        <v>9019416.5299999993</v>
      </c>
      <c r="N919" s="706">
        <v>9921873.9800000004</v>
      </c>
      <c r="O919" s="706">
        <v>9921873.9800000004</v>
      </c>
      <c r="P919" s="706">
        <v>0</v>
      </c>
      <c r="Q919" s="706">
        <v>0</v>
      </c>
      <c r="R919" s="706">
        <v>0</v>
      </c>
      <c r="S919" s="706">
        <v>1240234.25</v>
      </c>
      <c r="T919" s="706">
        <v>1240234.25</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G65605</v>
      </c>
      <c r="AK919" s="905" t="str">
        <f t="shared" si="87"/>
        <v>COUT VENTE WHL CANADA</v>
      </c>
      <c r="AL919" s="905">
        <f>IFERROR(INDEX(G919:R919,1,MATCH(Parametres!$B$3,G$1:R$1,0)-1)*IF(OR(F919="L",F919="S",F919="I"),-1,1),"")</f>
        <v>9019416.5299999993</v>
      </c>
      <c r="AM919" s="1047">
        <f t="shared" si="88"/>
        <v>902457.45000000112</v>
      </c>
      <c r="AN919" s="905">
        <f>INDEX(G919:R919,1,MATCH(Parametres!$B$3,G$1:R$1,0))*IF(OR(F919="L",F919="S",F919="I"),-1,1)</f>
        <v>9921873.9800000004</v>
      </c>
      <c r="AO919" s="487" t="str">
        <f>+VLOOKUP($AJ919,Data_Validation!$A:$D,1,0)</f>
        <v>G65605</v>
      </c>
      <c r="AP919" s="487" t="str">
        <f>+VLOOKUP($AJ919,Data_Validation!$A:$D,3,0)</f>
        <v>Wholesale autres</v>
      </c>
      <c r="AQ919" s="487" t="str">
        <f>+VLOOKUP($AJ919,Data_Validation!$A:$D,4,0)</f>
        <v>Wholesale Canada</v>
      </c>
      <c r="AR919" s="487" t="s">
        <v>299</v>
      </c>
      <c r="AS919" s="487">
        <f>+VLOOKUP($AJ919,Data_Validation!$A:$E,5,0)</f>
        <v>0</v>
      </c>
      <c r="AT919" s="904" t="str">
        <f t="shared" si="89"/>
        <v>G65605</v>
      </c>
      <c r="AU919" s="488" t="str">
        <f t="shared" si="90"/>
        <v>COUT VENTE WHL CANADA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hidden="1" customHeight="1">
      <c r="A920" s="706" t="s">
        <v>1148</v>
      </c>
      <c r="B920" s="706">
        <v>2026</v>
      </c>
      <c r="C920" s="706" t="s">
        <v>2834</v>
      </c>
      <c r="D920" s="706" t="s">
        <v>2835</v>
      </c>
      <c r="E920" s="706" t="s">
        <v>333</v>
      </c>
      <c r="F920" s="706" t="s">
        <v>1152</v>
      </c>
      <c r="G920" s="706">
        <v>13446.01</v>
      </c>
      <c r="H920" s="706">
        <v>29099.53</v>
      </c>
      <c r="I920" s="706">
        <v>45415.22</v>
      </c>
      <c r="J920" s="706">
        <v>64137.919999999998</v>
      </c>
      <c r="K920" s="706">
        <v>77049</v>
      </c>
      <c r="L920" s="706">
        <v>93388.15</v>
      </c>
      <c r="M920" s="706">
        <v>110506.13</v>
      </c>
      <c r="N920" s="706">
        <v>123865.83</v>
      </c>
      <c r="O920" s="706">
        <v>125134.23</v>
      </c>
      <c r="P920" s="706">
        <v>0</v>
      </c>
      <c r="Q920" s="706">
        <v>0</v>
      </c>
      <c r="R920" s="706">
        <v>0</v>
      </c>
      <c r="S920" s="706">
        <v>15483.23</v>
      </c>
      <c r="T920" s="706">
        <v>15483.23</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G66010</v>
      </c>
      <c r="AK920" s="905" t="str">
        <f t="shared" ref="AK920:AK983" si="93">D920</f>
        <v>COUT CLIENT VOIT CAM LEG.</v>
      </c>
      <c r="AL920" s="905">
        <f>IFERROR(INDEX(G920:R920,1,MATCH(Parametres!$B$3,G$1:R$1,0)-1)*IF(OR(F920="L",F920="S",F920="I"),-1,1),"")</f>
        <v>110506.13</v>
      </c>
      <c r="AM920" s="905">
        <f t="shared" ref="AM920:AM983" si="94">AN920-AL920</f>
        <v>13359.699999999997</v>
      </c>
      <c r="AN920" s="905">
        <f>INDEX(G920:R920,1,MATCH(Parametres!$B$3,G$1:R$1,0))*IF(OR(F920="L",F920="S",F920="I"),-1,1)</f>
        <v>123865.83</v>
      </c>
      <c r="AO920" s="487" t="str">
        <f>+VLOOKUP($AJ920,Data_Validation!$A:$D,1,0)</f>
        <v>G66010</v>
      </c>
      <c r="AP920" s="487" t="str">
        <f>+VLOOKUP($AJ920,Data_Validation!$A:$D,3,0)</f>
        <v>Service</v>
      </c>
      <c r="AQ920" s="487" t="str">
        <f>+VLOOKUP($AJ920,Data_Validation!$A:$D,4,0)</f>
        <v>M/O Client</v>
      </c>
      <c r="AR920" s="487" t="s">
        <v>299</v>
      </c>
      <c r="AS920" s="487">
        <f>+VLOOKUP($AJ920,Data_Validation!$A:$E,5,0)</f>
        <v>0</v>
      </c>
      <c r="AT920" s="904" t="str">
        <f t="shared" ref="AT920:AT983" si="95">C920</f>
        <v>G66010</v>
      </c>
      <c r="AU920" s="488" t="str">
        <f t="shared" ref="AU920:AU983" si="96">D920</f>
        <v>COUT CLIENT VOIT CAM LEG.</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hidden="1" customHeight="1">
      <c r="A921" s="706" t="s">
        <v>1148</v>
      </c>
      <c r="B921" s="706">
        <v>2026</v>
      </c>
      <c r="C921" s="706" t="s">
        <v>3198</v>
      </c>
      <c r="D921" s="706" t="s">
        <v>3199</v>
      </c>
      <c r="E921" s="706" t="s">
        <v>333</v>
      </c>
      <c r="F921" s="706" t="s">
        <v>1152</v>
      </c>
      <c r="G921" s="706">
        <v>0</v>
      </c>
      <c r="H921" s="706">
        <v>0</v>
      </c>
      <c r="I921" s="706">
        <v>0</v>
      </c>
      <c r="J921" s="706">
        <v>0</v>
      </c>
      <c r="K921" s="706">
        <v>0</v>
      </c>
      <c r="L921" s="706">
        <v>3.25</v>
      </c>
      <c r="M921" s="706">
        <v>3.25</v>
      </c>
      <c r="N921" s="706">
        <v>3.25</v>
      </c>
      <c r="O921" s="706">
        <v>3.25</v>
      </c>
      <c r="P921" s="706">
        <v>0</v>
      </c>
      <c r="Q921" s="706">
        <v>0</v>
      </c>
      <c r="R921" s="706">
        <v>0</v>
      </c>
      <c r="S921" s="706">
        <v>0.41</v>
      </c>
      <c r="T921" s="706">
        <v>0.41</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G66015</v>
      </c>
      <c r="AK921" s="905" t="str">
        <f t="shared" si="93"/>
        <v>COUT ESTHETIQUE CLIENT</v>
      </c>
      <c r="AL921" s="905">
        <f>IFERROR(INDEX(G921:R921,1,MATCH(Parametres!$B$3,G$1:R$1,0)-1)*IF(OR(F921="L",F921="S",F921="I"),-1,1),"")</f>
        <v>3.25</v>
      </c>
      <c r="AM921" s="905">
        <f t="shared" si="94"/>
        <v>0</v>
      </c>
      <c r="AN921" s="905">
        <f>INDEX(G921:R921,1,MATCH(Parametres!$B$3,G$1:R$1,0))*IF(OR(F921="L",F921="S",F921="I"),-1,1)</f>
        <v>3.25</v>
      </c>
      <c r="AO921" s="487" t="str">
        <f>+VLOOKUP($AJ921,Data_Validation!$A:$D,1,0)</f>
        <v>G66015</v>
      </c>
      <c r="AP921" s="487" t="str">
        <f>+VLOOKUP($AJ921,Data_Validation!$A:$D,3,0)</f>
        <v>Service</v>
      </c>
      <c r="AQ921" s="487" t="str">
        <f>+VLOOKUP($AJ921,Data_Validation!$A:$D,4,0)</f>
        <v>M/O Client</v>
      </c>
      <c r="AR921" s="487" t="s">
        <v>299</v>
      </c>
      <c r="AS921" s="487">
        <f>+VLOOKUP($AJ921,Data_Validation!$A:$E,5,0)</f>
        <v>0</v>
      </c>
      <c r="AT921" s="904" t="str">
        <f t="shared" si="95"/>
        <v>G66015</v>
      </c>
      <c r="AU921" s="488" t="str">
        <f t="shared" si="96"/>
        <v>COUT ESTHETIQUE CLIENT</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hidden="1" customHeight="1">
      <c r="A922" s="706" t="s">
        <v>1148</v>
      </c>
      <c r="B922" s="706">
        <v>2026</v>
      </c>
      <c r="C922" s="706" t="s">
        <v>2836</v>
      </c>
      <c r="D922" s="706" t="s">
        <v>2837</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G66020</v>
      </c>
      <c r="AK922" s="905" t="str">
        <f t="shared" si="93"/>
        <v>COUT CON.SER.VOIT CAM LEG</v>
      </c>
      <c r="AL922" s="905">
        <f>IFERROR(INDEX(G922:R922,1,MATCH(Parametres!$B$3,G$1:R$1,0)-1)*IF(OR(F922="L",F922="S",F922="I"),-1,1),"")</f>
        <v>0</v>
      </c>
      <c r="AM922" s="905">
        <f t="shared" si="94"/>
        <v>0</v>
      </c>
      <c r="AN922" s="905">
        <f>INDEX(G922:R922,1,MATCH(Parametres!$B$3,G$1:R$1,0))*IF(OR(F922="L",F922="S",F922="I"),-1,1)</f>
        <v>0</v>
      </c>
      <c r="AO922" s="487" t="str">
        <f>+VLOOKUP($AJ922,Data_Validation!$A:$D,1,0)</f>
        <v>G66020</v>
      </c>
      <c r="AP922" s="487" t="str">
        <f>+VLOOKUP($AJ922,Data_Validation!$A:$D,3,0)</f>
        <v>Service</v>
      </c>
      <c r="AQ922" s="487" t="str">
        <f>+VLOOKUP($AJ922,Data_Validation!$A:$D,4,0)</f>
        <v>M/O Garantie</v>
      </c>
      <c r="AR922" s="487" t="s">
        <v>299</v>
      </c>
      <c r="AS922" s="487">
        <f>+VLOOKUP($AJ922,Data_Validation!$A:$E,5,0)</f>
        <v>0</v>
      </c>
      <c r="AT922" s="904" t="str">
        <f t="shared" si="95"/>
        <v>G66020</v>
      </c>
      <c r="AU922" s="488" t="str">
        <f t="shared" si="96"/>
        <v>COUT CON.SER.VOIT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2838</v>
      </c>
      <c r="D923" s="706" t="s">
        <v>2839</v>
      </c>
      <c r="E923" s="706" t="s">
        <v>333</v>
      </c>
      <c r="F923" s="706" t="s">
        <v>1152</v>
      </c>
      <c r="G923" s="706">
        <v>0</v>
      </c>
      <c r="H923" s="706">
        <v>0</v>
      </c>
      <c r="I923" s="706">
        <v>0</v>
      </c>
      <c r="J923" s="706">
        <v>0</v>
      </c>
      <c r="K923" s="706">
        <v>0</v>
      </c>
      <c r="L923" s="706">
        <v>0</v>
      </c>
      <c r="M923" s="706">
        <v>0</v>
      </c>
      <c r="N923" s="706">
        <v>0</v>
      </c>
      <c r="O923" s="706">
        <v>0</v>
      </c>
      <c r="P923" s="706">
        <v>0</v>
      </c>
      <c r="Q923" s="706">
        <v>0</v>
      </c>
      <c r="R923" s="706">
        <v>0</v>
      </c>
      <c r="S923" s="706">
        <v>0</v>
      </c>
      <c r="T923" s="706">
        <v>0</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G66030</v>
      </c>
      <c r="AK923" s="905" t="str">
        <f t="shared" si="93"/>
        <v>COUT-M.D.PLAN PROT.A.AUTO</v>
      </c>
      <c r="AL923" s="905">
        <f>IFERROR(INDEX(G923:R923,1,MATCH(Parametres!$B$3,G$1:R$1,0)-1)*IF(OR(F923="L",F923="S",F923="I"),-1,1),"")</f>
        <v>0</v>
      </c>
      <c r="AM923" s="905">
        <f t="shared" si="94"/>
        <v>0</v>
      </c>
      <c r="AN923" s="905">
        <f>INDEX(G923:R923,1,MATCH(Parametres!$B$3,G$1:R$1,0))*IF(OR(F923="L",F923="S",F923="I"),-1,1)</f>
        <v>0</v>
      </c>
      <c r="AO923" s="487" t="e">
        <f>+VLOOKUP($AJ923,Data_Validation!$A:$D,1,0)</f>
        <v>#N/A</v>
      </c>
      <c r="AP923" s="487" t="e">
        <f>+VLOOKUP($AJ923,Data_Validation!$A:$D,3,0)</f>
        <v>#N/A</v>
      </c>
      <c r="AQ923" s="487" t="e">
        <f>+VLOOKUP($AJ923,Data_Validation!$A:$D,4,0)</f>
        <v>#N/A</v>
      </c>
      <c r="AR923" s="487" t="s">
        <v>299</v>
      </c>
      <c r="AS923" s="487" t="e">
        <f>+VLOOKUP($AJ923,Data_Validation!$A:$E,5,0)</f>
        <v>#N/A</v>
      </c>
      <c r="AT923" s="904" t="str">
        <f t="shared" si="95"/>
        <v>G66030</v>
      </c>
      <c r="AU923" s="488" t="str">
        <f t="shared" si="96"/>
        <v>COUT-M.D.PLAN PROT.A.AUTO</v>
      </c>
      <c r="AV923" s="899">
        <f>IFERROR(INDEX(V923:AG923,1,MATCH(Parametres!$B$3,V$1:AG$1,0)-1)*IF(OR(C923="L",C923="S",C923="I"),-1,1),"")</f>
        <v>0</v>
      </c>
      <c r="AW923" s="899">
        <f t="shared" si="97"/>
        <v>0</v>
      </c>
      <c r="AX923" s="899">
        <f>INDEX(V923:AG923,1,MATCH(Parametres!$B$3,V$1:AG$1,0))*IF(OR(C923="L",C923="S",C923="I"),-1,1)</f>
        <v>0</v>
      </c>
      <c r="AY923" s="487" t="s">
        <v>337</v>
      </c>
      <c r="AZ923" s="487" t="e">
        <f>+VLOOKUP($AJ923,Data_Validation!$A:$E,5,0)</f>
        <v>#N/A</v>
      </c>
    </row>
    <row r="924" spans="1:52" ht="15" hidden="1" customHeight="1">
      <c r="A924" s="706" t="s">
        <v>1148</v>
      </c>
      <c r="B924" s="706">
        <v>2026</v>
      </c>
      <c r="C924" s="706" t="s">
        <v>2840</v>
      </c>
      <c r="D924" s="706" t="s">
        <v>2841</v>
      </c>
      <c r="E924" s="706" t="s">
        <v>333</v>
      </c>
      <c r="F924" s="706" t="s">
        <v>1152</v>
      </c>
      <c r="G924" s="706">
        <v>518.16</v>
      </c>
      <c r="H924" s="706">
        <v>817.18</v>
      </c>
      <c r="I924" s="706">
        <v>937.18</v>
      </c>
      <c r="J924" s="706">
        <v>1459.1</v>
      </c>
      <c r="K924" s="706">
        <v>2870.89</v>
      </c>
      <c r="L924" s="706">
        <v>3656.76</v>
      </c>
      <c r="M924" s="706">
        <v>4083.31</v>
      </c>
      <c r="N924" s="706">
        <v>4505.42</v>
      </c>
      <c r="O924" s="706">
        <v>4598.92</v>
      </c>
      <c r="P924" s="706">
        <v>0</v>
      </c>
      <c r="Q924" s="706">
        <v>0</v>
      </c>
      <c r="R924" s="706">
        <v>0</v>
      </c>
      <c r="S924" s="706">
        <v>563.17999999999995</v>
      </c>
      <c r="T924" s="706">
        <v>563.17999999999995</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G66040</v>
      </c>
      <c r="AK924" s="905" t="str">
        <f t="shared" si="93"/>
        <v>COUT SER RAP.VOIT CAM LEG</v>
      </c>
      <c r="AL924" s="905">
        <f>IFERROR(INDEX(G924:R924,1,MATCH(Parametres!$B$3,G$1:R$1,0)-1)*IF(OR(F924="L",F924="S",F924="I"),-1,1),"")</f>
        <v>4083.31</v>
      </c>
      <c r="AM924" s="905">
        <f t="shared" si="94"/>
        <v>422.11000000000013</v>
      </c>
      <c r="AN924" s="905">
        <f>INDEX(G924:R924,1,MATCH(Parametres!$B$3,G$1:R$1,0))*IF(OR(F924="L",F924="S",F924="I"),-1,1)</f>
        <v>4505.42</v>
      </c>
      <c r="AO924" s="487" t="str">
        <f>+VLOOKUP($AJ924,Data_Validation!$A:$D,1,0)</f>
        <v>G66040</v>
      </c>
      <c r="AP924" s="487" t="str">
        <f>+VLOOKUP($AJ924,Data_Validation!$A:$D,3,0)</f>
        <v>Service</v>
      </c>
      <c r="AQ924" s="487" t="str">
        <f>+VLOOKUP($AJ924,Data_Validation!$A:$D,4,0)</f>
        <v>M/O Client</v>
      </c>
      <c r="AR924" s="487" t="s">
        <v>299</v>
      </c>
      <c r="AS924" s="487">
        <f>+VLOOKUP($AJ924,Data_Validation!$A:$E,5,0)</f>
        <v>0</v>
      </c>
      <c r="AT924" s="904" t="str">
        <f t="shared" si="95"/>
        <v>G66040</v>
      </c>
      <c r="AU924" s="488" t="str">
        <f t="shared" si="96"/>
        <v>COUT SER RAP.VOIT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3402</v>
      </c>
      <c r="D925" s="706" t="s">
        <v>3403</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G66050</v>
      </c>
      <c r="AK925" s="905" t="str">
        <f t="shared" si="93"/>
        <v>COUT M-0 ELECTRIQUE   CLT</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G66050</v>
      </c>
      <c r="AU925" s="488" t="str">
        <f t="shared" si="96"/>
        <v>COUT M-0 ELECTRIQUE   CLT</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hidden="1" customHeight="1">
      <c r="A926" s="706" t="s">
        <v>1148</v>
      </c>
      <c r="B926" s="706">
        <v>2026</v>
      </c>
      <c r="C926" s="706" t="s">
        <v>2842</v>
      </c>
      <c r="D926" s="706" t="s">
        <v>3404</v>
      </c>
      <c r="E926" s="706" t="s">
        <v>333</v>
      </c>
      <c r="F926" s="706" t="s">
        <v>1152</v>
      </c>
      <c r="G926" s="706">
        <v>20932.87</v>
      </c>
      <c r="H926" s="706">
        <v>42417.59</v>
      </c>
      <c r="I926" s="706">
        <v>67392.460000000006</v>
      </c>
      <c r="J926" s="706">
        <v>93090.14</v>
      </c>
      <c r="K926" s="706">
        <v>109633.39</v>
      </c>
      <c r="L926" s="706">
        <v>114844.03</v>
      </c>
      <c r="M926" s="706">
        <v>121207.03</v>
      </c>
      <c r="N926" s="706">
        <v>125683.29</v>
      </c>
      <c r="O926" s="706">
        <v>126167.85</v>
      </c>
      <c r="P926" s="706">
        <v>0</v>
      </c>
      <c r="Q926" s="706">
        <v>0</v>
      </c>
      <c r="R926" s="706">
        <v>0</v>
      </c>
      <c r="S926" s="706">
        <v>15710.41</v>
      </c>
      <c r="T926" s="706">
        <v>15710.41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G66110</v>
      </c>
      <c r="AK926" s="905" t="str">
        <f t="shared" si="93"/>
        <v>COUT M-D'O CLIENT S.A.A.Q</v>
      </c>
      <c r="AL926" s="905">
        <f>IFERROR(INDEX(G926:R926,1,MATCH(Parametres!$B$3,G$1:R$1,0)-1)*IF(OR(F926="L",F926="S",F926="I"),-1,1),"")</f>
        <v>121207.03</v>
      </c>
      <c r="AM926" s="905">
        <f t="shared" si="94"/>
        <v>4476.2599999999948</v>
      </c>
      <c r="AN926" s="905">
        <f>INDEX(G926:R926,1,MATCH(Parametres!$B$3,G$1:R$1,0))*IF(OR(F926="L",F926="S",F926="I"),-1,1)</f>
        <v>125683.29</v>
      </c>
      <c r="AO926" s="487" t="str">
        <f>+VLOOKUP($AJ926,Data_Validation!$A:$D,1,0)</f>
        <v>G66110</v>
      </c>
      <c r="AP926" s="487" t="str">
        <f>+VLOOKUP($AJ926,Data_Validation!$A:$D,3,0)</f>
        <v>SAAQ</v>
      </c>
      <c r="AQ926" s="487" t="str">
        <f>+VLOOKUP($AJ926,Data_Validation!$A:$D,4,0)</f>
        <v>Inspection - Véhicules Légers</v>
      </c>
      <c r="AR926" s="487" t="s">
        <v>299</v>
      </c>
      <c r="AS926" s="487">
        <f>+VLOOKUP($AJ926,Data_Validation!$A:$E,5,0)</f>
        <v>0</v>
      </c>
      <c r="AT926" s="904" t="str">
        <f t="shared" si="95"/>
        <v>G66110</v>
      </c>
      <c r="AU926" s="488" t="str">
        <f t="shared" si="96"/>
        <v>COUT M-D'O CLIENT S.A.A.Q</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3405</v>
      </c>
      <c r="D927" s="706" t="s">
        <v>3406</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G66111</v>
      </c>
      <c r="AK927" s="905" t="str">
        <f t="shared" si="93"/>
        <v>COUT M-O CLIENT FLOTTES</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G66111</v>
      </c>
      <c r="AU927" s="488" t="str">
        <f t="shared" si="96"/>
        <v>COUT M-O CLIENT FLOTTES</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hidden="1" customHeight="1">
      <c r="A928" s="706" t="s">
        <v>1148</v>
      </c>
      <c r="B928" s="706">
        <v>2026</v>
      </c>
      <c r="C928" s="706" t="s">
        <v>2844</v>
      </c>
      <c r="D928" s="706" t="s">
        <v>2845</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G66120</v>
      </c>
      <c r="AK928" s="905" t="str">
        <f t="shared" si="93"/>
        <v>COUT CLAIM CAMIONS MOYEN</v>
      </c>
      <c r="AL928" s="905">
        <f>IFERROR(INDEX(G928:R928,1,MATCH(Parametres!$B$3,G$1:R$1,0)-1)*IF(OR(F928="L",F928="S",F928="I"),-1,1),"")</f>
        <v>0</v>
      </c>
      <c r="AM928" s="905">
        <f t="shared" si="94"/>
        <v>0</v>
      </c>
      <c r="AN928" s="905">
        <f>INDEX(G928:R928,1,MATCH(Parametres!$B$3,G$1:R$1,0))*IF(OR(F928="L",F928="S",F928="I"),-1,1)</f>
        <v>0</v>
      </c>
      <c r="AO928" s="487" t="str">
        <f>+VLOOKUP($AJ928,Data_Validation!$A:$D,1,0)</f>
        <v>G66120</v>
      </c>
      <c r="AP928" s="487" t="str">
        <f>+VLOOKUP($AJ928,Data_Validation!$A:$D,3,0)</f>
        <v>SAAQ</v>
      </c>
      <c r="AQ928" s="487" t="str">
        <f>+VLOOKUP($AJ928,Data_Validation!$A:$D,4,0)</f>
        <v>Inspection - Véhicules Interne</v>
      </c>
      <c r="AR928" s="487" t="s">
        <v>299</v>
      </c>
      <c r="AS928" s="487">
        <f>+VLOOKUP($AJ928,Data_Validation!$A:$E,5,0)</f>
        <v>0</v>
      </c>
      <c r="AT928" s="904" t="str">
        <f t="shared" si="95"/>
        <v>G66120</v>
      </c>
      <c r="AU928" s="488" t="str">
        <f t="shared" si="96"/>
        <v>COUT CLAIM CAMIONS MOYEN</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2846</v>
      </c>
      <c r="D929" s="706" t="s">
        <v>2847</v>
      </c>
      <c r="E929" s="706" t="s">
        <v>333</v>
      </c>
      <c r="F929" s="706" t="s">
        <v>1152</v>
      </c>
      <c r="G929" s="706">
        <v>0</v>
      </c>
      <c r="H929" s="706">
        <v>0</v>
      </c>
      <c r="I929" s="706">
        <v>0</v>
      </c>
      <c r="J929" s="706">
        <v>0</v>
      </c>
      <c r="K929" s="706">
        <v>6127.11</v>
      </c>
      <c r="L929" s="706">
        <v>23905.25</v>
      </c>
      <c r="M929" s="706">
        <v>42839.58</v>
      </c>
      <c r="N929" s="706">
        <v>57943.14</v>
      </c>
      <c r="O929" s="706">
        <v>58964.81</v>
      </c>
      <c r="P929" s="706">
        <v>0</v>
      </c>
      <c r="Q929" s="706">
        <v>0</v>
      </c>
      <c r="R929" s="706">
        <v>0</v>
      </c>
      <c r="S929" s="706">
        <v>7242.89</v>
      </c>
      <c r="T929" s="706">
        <v>7242.89</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G66140</v>
      </c>
      <c r="AK929" s="905" t="str">
        <f t="shared" si="93"/>
        <v>COUT SER RAP.CAMION MOYEN</v>
      </c>
      <c r="AL929" s="905">
        <f>IFERROR(INDEX(G929:R929,1,MATCH(Parametres!$B$3,G$1:R$1,0)-1)*IF(OR(F929="L",F929="S",F929="I"),-1,1),"")</f>
        <v>42839.58</v>
      </c>
      <c r="AM929" s="905">
        <f t="shared" si="94"/>
        <v>15103.559999999998</v>
      </c>
      <c r="AN929" s="905">
        <f>INDEX(G929:R929,1,MATCH(Parametres!$B$3,G$1:R$1,0))*IF(OR(F929="L",F929="S",F929="I"),-1,1)</f>
        <v>57943.14</v>
      </c>
      <c r="AO929" s="487" t="str">
        <f>+VLOOKUP($AJ929,Data_Validation!$A:$D,1,0)</f>
        <v>G66140</v>
      </c>
      <c r="AP929" s="487" t="str">
        <f>+VLOOKUP($AJ929,Data_Validation!$A:$D,3,0)</f>
        <v>SAAQ</v>
      </c>
      <c r="AQ929" s="487" t="str">
        <f>+VLOOKUP($AJ929,Data_Validation!$A:$D,4,0)</f>
        <v>Inspection - Véhicules Lourds</v>
      </c>
      <c r="AR929" s="487" t="s">
        <v>299</v>
      </c>
      <c r="AS929" s="487">
        <f>+VLOOKUP($AJ929,Data_Validation!$A:$E,5,0)</f>
        <v>0</v>
      </c>
      <c r="AT929" s="904" t="str">
        <f t="shared" si="95"/>
        <v>G66140</v>
      </c>
      <c r="AU929" s="488" t="str">
        <f t="shared" si="96"/>
        <v>COUT SER RAP.CAMION MOYEN</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3407</v>
      </c>
      <c r="D930" s="706" t="s">
        <v>3408</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G66150</v>
      </c>
      <c r="AK930" s="905" t="str">
        <f t="shared" si="93"/>
        <v>COUT M-O ELECTIQUE FLOTTE</v>
      </c>
      <c r="AL930" s="905">
        <f>IFERROR(INDEX(G930:R930,1,MATCH(Parametres!$B$3,G$1:R$1,0)-1)*IF(OR(F930="L",F930="S",F930="I"),-1,1),"")</f>
        <v>0</v>
      </c>
      <c r="AM930" s="905">
        <f t="shared" si="94"/>
        <v>0</v>
      </c>
      <c r="AN930" s="905">
        <f>INDEX(G930:R930,1,MATCH(Parametres!$B$3,G$1:R$1,0))*IF(OR(F930="L",F930="S",F930="I"),-1,1)</f>
        <v>0</v>
      </c>
      <c r="AO930" s="487" t="e">
        <f>+VLOOKUP($AJ930,Data_Validation!$A:$D,1,0)</f>
        <v>#N/A</v>
      </c>
      <c r="AP930" s="487" t="e">
        <f>+VLOOKUP($AJ930,Data_Validation!$A:$D,3,0)</f>
        <v>#N/A</v>
      </c>
      <c r="AQ930" s="487" t="e">
        <f>+VLOOKUP($AJ930,Data_Validation!$A:$D,4,0)</f>
        <v>#N/A</v>
      </c>
      <c r="AR930" s="487" t="s">
        <v>299</v>
      </c>
      <c r="AS930" s="487" t="e">
        <f>+VLOOKUP($AJ930,Data_Validation!$A:$E,5,0)</f>
        <v>#N/A</v>
      </c>
      <c r="AT930" s="904" t="str">
        <f t="shared" si="95"/>
        <v>G66150</v>
      </c>
      <c r="AU930" s="488" t="str">
        <f t="shared" si="96"/>
        <v>COUT M-O ELECTIQUE FLOTTE</v>
      </c>
      <c r="AV930" s="899">
        <f>IFERROR(INDEX(V930:AG930,1,MATCH(Parametres!$B$3,V$1:AG$1,0)-1)*IF(OR(C930="L",C930="S",C930="I"),-1,1),"")</f>
        <v>0</v>
      </c>
      <c r="AW930" s="899">
        <f t="shared" si="97"/>
        <v>0</v>
      </c>
      <c r="AX930" s="899">
        <f>INDEX(V930:AG930,1,MATCH(Parametres!$B$3,V$1:AG$1,0))*IF(OR(C930="L",C930="S",C930="I"),-1,1)</f>
        <v>0</v>
      </c>
      <c r="AY930" s="487" t="s">
        <v>337</v>
      </c>
      <c r="AZ930" s="487" t="e">
        <f>+VLOOKUP($AJ930,Data_Validation!$A:$E,5,0)</f>
        <v>#N/A</v>
      </c>
    </row>
    <row r="931" spans="1:52" ht="15" hidden="1" customHeight="1">
      <c r="A931" s="706" t="s">
        <v>1148</v>
      </c>
      <c r="B931" s="706">
        <v>2026</v>
      </c>
      <c r="C931" s="706" t="s">
        <v>2848</v>
      </c>
      <c r="D931" s="706" t="s">
        <v>2849</v>
      </c>
      <c r="E931" s="706" t="s">
        <v>333</v>
      </c>
      <c r="F931" s="706" t="s">
        <v>1152</v>
      </c>
      <c r="G931" s="706">
        <v>14191.43</v>
      </c>
      <c r="H931" s="706">
        <v>29244.7</v>
      </c>
      <c r="I931" s="706">
        <v>50520.5</v>
      </c>
      <c r="J931" s="706">
        <v>67066.95</v>
      </c>
      <c r="K931" s="706">
        <v>77880.88</v>
      </c>
      <c r="L931" s="706">
        <v>105207.05</v>
      </c>
      <c r="M931" s="706">
        <v>120217.07</v>
      </c>
      <c r="N931" s="706">
        <v>141418.87</v>
      </c>
      <c r="O931" s="706">
        <v>142104.71</v>
      </c>
      <c r="P931" s="706">
        <v>0</v>
      </c>
      <c r="Q931" s="706">
        <v>0</v>
      </c>
      <c r="R931" s="706">
        <v>0</v>
      </c>
      <c r="S931" s="706">
        <v>17677.36</v>
      </c>
      <c r="T931" s="706">
        <v>17677.36</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G66200</v>
      </c>
      <c r="AK931" s="905" t="str">
        <f t="shared" si="93"/>
        <v>COUT-M.D. GARANTIE</v>
      </c>
      <c r="AL931" s="905">
        <f>IFERROR(INDEX(G931:R931,1,MATCH(Parametres!$B$3,G$1:R$1,0)-1)*IF(OR(F931="L",F931="S",F931="I"),-1,1),"")</f>
        <v>120217.07</v>
      </c>
      <c r="AM931" s="905">
        <f t="shared" si="94"/>
        <v>21201.799999999988</v>
      </c>
      <c r="AN931" s="905">
        <f>INDEX(G931:R931,1,MATCH(Parametres!$B$3,G$1:R$1,0))*IF(OR(F931="L",F931="S",F931="I"),-1,1)</f>
        <v>141418.87</v>
      </c>
      <c r="AO931" s="487" t="str">
        <f>+VLOOKUP($AJ931,Data_Validation!$A:$D,1,0)</f>
        <v>G66200</v>
      </c>
      <c r="AP931" s="487" t="str">
        <f>+VLOOKUP($AJ931,Data_Validation!$A:$D,3,0)</f>
        <v>Service</v>
      </c>
      <c r="AQ931" s="487" t="str">
        <f>+VLOOKUP($AJ931,Data_Validation!$A:$D,4,0)</f>
        <v>M/O Garantie</v>
      </c>
      <c r="AR931" s="487" t="s">
        <v>299</v>
      </c>
      <c r="AS931" s="487">
        <f>+VLOOKUP($AJ931,Data_Validation!$A:$E,5,0)</f>
        <v>0</v>
      </c>
      <c r="AT931" s="904" t="str">
        <f t="shared" si="95"/>
        <v>G66200</v>
      </c>
      <c r="AU931" s="488" t="str">
        <f t="shared" si="96"/>
        <v>COUT-M.D. GARANTIE</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2850</v>
      </c>
      <c r="D932" s="706" t="s">
        <v>2851</v>
      </c>
      <c r="E932" s="706" t="s">
        <v>333</v>
      </c>
      <c r="F932" s="706" t="s">
        <v>1152</v>
      </c>
      <c r="G932" s="706">
        <v>13086.47</v>
      </c>
      <c r="H932" s="706">
        <v>27742.02</v>
      </c>
      <c r="I932" s="706">
        <v>45448.12</v>
      </c>
      <c r="J932" s="706">
        <v>63048.71</v>
      </c>
      <c r="K932" s="706">
        <v>78622.61</v>
      </c>
      <c r="L932" s="706">
        <v>96597.02</v>
      </c>
      <c r="M932" s="706">
        <v>110820.52</v>
      </c>
      <c r="N932" s="706">
        <v>123704.96000000001</v>
      </c>
      <c r="O932" s="706">
        <v>124416.69</v>
      </c>
      <c r="P932" s="706">
        <v>0</v>
      </c>
      <c r="Q932" s="706">
        <v>0</v>
      </c>
      <c r="R932" s="706">
        <v>0</v>
      </c>
      <c r="S932" s="706">
        <v>15463.12</v>
      </c>
      <c r="T932" s="706">
        <v>15463.12</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G66300</v>
      </c>
      <c r="AK932" s="905" t="str">
        <f t="shared" si="93"/>
        <v>COUT-M.D. INTERNE</v>
      </c>
      <c r="AL932" s="905">
        <f>IFERROR(INDEX(G932:R932,1,MATCH(Parametres!$B$3,G$1:R$1,0)-1)*IF(OR(F932="L",F932="S",F932="I"),-1,1),"")</f>
        <v>110820.52</v>
      </c>
      <c r="AM932" s="905">
        <f t="shared" si="94"/>
        <v>12884.440000000002</v>
      </c>
      <c r="AN932" s="905">
        <f>INDEX(G932:R932,1,MATCH(Parametres!$B$3,G$1:R$1,0))*IF(OR(F932="L",F932="S",F932="I"),-1,1)</f>
        <v>123704.96000000001</v>
      </c>
      <c r="AO932" s="487" t="str">
        <f>+VLOOKUP($AJ932,Data_Validation!$A:$D,1,0)</f>
        <v>G66300</v>
      </c>
      <c r="AP932" s="487" t="str">
        <f>+VLOOKUP($AJ932,Data_Validation!$A:$D,3,0)</f>
        <v>Service</v>
      </c>
      <c r="AQ932" s="487" t="str">
        <f>+VLOOKUP($AJ932,Data_Validation!$A:$D,4,0)</f>
        <v>M/O Interne</v>
      </c>
      <c r="AR932" s="487" t="s">
        <v>299</v>
      </c>
      <c r="AS932" s="487">
        <f>+VLOOKUP($AJ932,Data_Validation!$A:$E,5,0)</f>
        <v>0</v>
      </c>
      <c r="AT932" s="904" t="str">
        <f t="shared" si="95"/>
        <v>G66300</v>
      </c>
      <c r="AU932" s="488" t="str">
        <f t="shared" si="96"/>
        <v>COUT-M.D. INTERNE</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3409</v>
      </c>
      <c r="D933" s="706" t="s">
        <v>3410</v>
      </c>
      <c r="E933" s="706" t="s">
        <v>333</v>
      </c>
      <c r="F933" s="706" t="s">
        <v>1152</v>
      </c>
      <c r="G933" s="706">
        <v>0</v>
      </c>
      <c r="H933" s="706">
        <v>0</v>
      </c>
      <c r="I933" s="706">
        <v>0</v>
      </c>
      <c r="J933" s="706">
        <v>0</v>
      </c>
      <c r="K933" s="706">
        <v>0</v>
      </c>
      <c r="L933" s="706">
        <v>0</v>
      </c>
      <c r="M933" s="706">
        <v>0</v>
      </c>
      <c r="N933" s="706">
        <v>0</v>
      </c>
      <c r="O933" s="706">
        <v>1334.23</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G66305</v>
      </c>
      <c r="AK933" s="905" t="str">
        <f t="shared" si="93"/>
        <v>COUT ESTHETIQUE INTERNE</v>
      </c>
      <c r="AL933" s="905">
        <f>IFERROR(INDEX(G933:R933,1,MATCH(Parametres!$B$3,G$1:R$1,0)-1)*IF(OR(F933="L",F933="S",F933="I"),-1,1),"")</f>
        <v>0</v>
      </c>
      <c r="AM933" s="905">
        <f t="shared" si="94"/>
        <v>0</v>
      </c>
      <c r="AN933" s="905">
        <f>INDEX(G933:R933,1,MATCH(Parametres!$B$3,G$1:R$1,0))*IF(OR(F933="L",F933="S",F933="I"),-1,1)</f>
        <v>0</v>
      </c>
      <c r="AO933" s="487" t="e">
        <f>+VLOOKUP($AJ933,Data_Validation!$A:$D,1,0)</f>
        <v>#N/A</v>
      </c>
      <c r="AP933" s="487" t="e">
        <f>+VLOOKUP($AJ933,Data_Validation!$A:$D,3,0)</f>
        <v>#N/A</v>
      </c>
      <c r="AQ933" s="487" t="e">
        <f>+VLOOKUP($AJ933,Data_Validation!$A:$D,4,0)</f>
        <v>#N/A</v>
      </c>
      <c r="AR933" s="487" t="s">
        <v>299</v>
      </c>
      <c r="AS933" s="487" t="e">
        <f>+VLOOKUP($AJ933,Data_Validation!$A:$E,5,0)</f>
        <v>#N/A</v>
      </c>
      <c r="AT933" s="904" t="str">
        <f t="shared" si="95"/>
        <v>G66305</v>
      </c>
      <c r="AU933" s="488" t="str">
        <f t="shared" si="96"/>
        <v>COUT ESTHETIQUE INTERNE</v>
      </c>
      <c r="AV933" s="899">
        <f>IFERROR(INDEX(V933:AG933,1,MATCH(Parametres!$B$3,V$1:AG$1,0)-1)*IF(OR(C933="L",C933="S",C933="I"),-1,1),"")</f>
        <v>0</v>
      </c>
      <c r="AW933" s="899">
        <f t="shared" si="97"/>
        <v>0</v>
      </c>
      <c r="AX933" s="899">
        <f>INDEX(V933:AG933,1,MATCH(Parametres!$B$3,V$1:AG$1,0))*IF(OR(C933="L",C933="S",C933="I"),-1,1)</f>
        <v>0</v>
      </c>
      <c r="AY933" s="487" t="s">
        <v>337</v>
      </c>
      <c r="AZ933" s="487" t="e">
        <f>+VLOOKUP($AJ933,Data_Validation!$A:$E,5,0)</f>
        <v>#N/A</v>
      </c>
    </row>
    <row r="934" spans="1:52" ht="15" hidden="1" customHeight="1">
      <c r="A934" s="706" t="s">
        <v>1148</v>
      </c>
      <c r="B934" s="706">
        <v>2026</v>
      </c>
      <c r="C934" s="706" t="s">
        <v>2852</v>
      </c>
      <c r="D934" s="706" t="s">
        <v>2853</v>
      </c>
      <c r="E934" s="706" t="s">
        <v>333</v>
      </c>
      <c r="F934" s="706" t="s">
        <v>1152</v>
      </c>
      <c r="G934" s="706">
        <v>481.76</v>
      </c>
      <c r="H934" s="706">
        <v>594.08000000000004</v>
      </c>
      <c r="I934" s="706">
        <v>664.46</v>
      </c>
      <c r="J934" s="706">
        <v>705.77</v>
      </c>
      <c r="K934" s="706">
        <v>830.53</v>
      </c>
      <c r="L934" s="706">
        <v>830.53</v>
      </c>
      <c r="M934" s="706">
        <v>1007.73</v>
      </c>
      <c r="N934" s="706">
        <v>1220.79</v>
      </c>
      <c r="O934" s="706">
        <v>1220.79</v>
      </c>
      <c r="P934" s="706">
        <v>0</v>
      </c>
      <c r="Q934" s="706">
        <v>0</v>
      </c>
      <c r="R934" s="706">
        <v>0</v>
      </c>
      <c r="S934" s="706">
        <v>152.6</v>
      </c>
      <c r="T934" s="706">
        <v>152.6</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G66320</v>
      </c>
      <c r="AK934" s="905" t="str">
        <f t="shared" si="93"/>
        <v>COUT-MO INTERNE CAM MOYEN</v>
      </c>
      <c r="AL934" s="905">
        <f>IFERROR(INDEX(G934:R934,1,MATCH(Parametres!$B$3,G$1:R$1,0)-1)*IF(OR(F934="L",F934="S",F934="I"),-1,1),"")</f>
        <v>1007.73</v>
      </c>
      <c r="AM934" s="905">
        <f t="shared" si="94"/>
        <v>213.05999999999995</v>
      </c>
      <c r="AN934" s="905">
        <f>INDEX(G934:R934,1,MATCH(Parametres!$B$3,G$1:R$1,0))*IF(OR(F934="L",F934="S",F934="I"),-1,1)</f>
        <v>1220.79</v>
      </c>
      <c r="AO934" s="487" t="str">
        <f>+VLOOKUP($AJ934,Data_Validation!$A:$D,1,0)</f>
        <v>G66320</v>
      </c>
      <c r="AP934" s="487" t="str">
        <f>+VLOOKUP($AJ934,Data_Validation!$A:$D,3,0)</f>
        <v>SAAQ</v>
      </c>
      <c r="AQ934" s="487" t="str">
        <f>+VLOOKUP($AJ934,Data_Validation!$A:$D,4,0)</f>
        <v>Inspection - Véhicules Interne</v>
      </c>
      <c r="AR934" s="487" t="s">
        <v>299</v>
      </c>
      <c r="AS934" s="487">
        <f>+VLOOKUP($AJ934,Data_Validation!$A:$E,5,0)</f>
        <v>0</v>
      </c>
      <c r="AT934" s="904" t="str">
        <f t="shared" si="95"/>
        <v>G66320</v>
      </c>
      <c r="AU934" s="488" t="str">
        <f t="shared" si="96"/>
        <v>COUT-MO INTERNE CAM MOYEN</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2854</v>
      </c>
      <c r="D935" s="706" t="s">
        <v>2855</v>
      </c>
      <c r="E935" s="706" t="s">
        <v>333</v>
      </c>
      <c r="F935" s="706" t="s">
        <v>1152</v>
      </c>
      <c r="G935" s="706">
        <v>3682.15</v>
      </c>
      <c r="H935" s="706">
        <v>8560.8700000000008</v>
      </c>
      <c r="I935" s="706">
        <v>15429.87</v>
      </c>
      <c r="J935" s="706">
        <v>19268.740000000002</v>
      </c>
      <c r="K935" s="706">
        <v>22629.65</v>
      </c>
      <c r="L935" s="706">
        <v>26304.38</v>
      </c>
      <c r="M935" s="706">
        <v>28991.73</v>
      </c>
      <c r="N935" s="706">
        <v>32830.910000000003</v>
      </c>
      <c r="O935" s="706">
        <v>33209.58</v>
      </c>
      <c r="P935" s="706">
        <v>0</v>
      </c>
      <c r="Q935" s="706">
        <v>0</v>
      </c>
      <c r="R935" s="706">
        <v>0</v>
      </c>
      <c r="S935" s="706">
        <v>4103.8599999999997</v>
      </c>
      <c r="T935" s="706">
        <v>4103.8599999999997</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G66400</v>
      </c>
      <c r="AK935" s="905" t="str">
        <f t="shared" si="93"/>
        <v>COUT-M.D. INSP.</v>
      </c>
      <c r="AL935" s="905">
        <f>IFERROR(INDEX(G935:R935,1,MATCH(Parametres!$B$3,G$1:R$1,0)-1)*IF(OR(F935="L",F935="S",F935="I"),-1,1),"")</f>
        <v>28991.73</v>
      </c>
      <c r="AM935" s="905">
        <f t="shared" si="94"/>
        <v>3839.1800000000039</v>
      </c>
      <c r="AN935" s="905">
        <f>INDEX(G935:R935,1,MATCH(Parametres!$B$3,G$1:R$1,0))*IF(OR(F935="L",F935="S",F935="I"),-1,1)</f>
        <v>32830.910000000003</v>
      </c>
      <c r="AO935" s="487" t="str">
        <f>+VLOOKUP($AJ935,Data_Validation!$A:$D,1,0)</f>
        <v>G66400</v>
      </c>
      <c r="AP935" s="487" t="str">
        <f>+VLOOKUP($AJ935,Data_Validation!$A:$D,3,0)</f>
        <v>Service</v>
      </c>
      <c r="AQ935" s="487" t="str">
        <f>+VLOOKUP($AJ935,Data_Validation!$A:$D,4,0)</f>
        <v>M/O Interne</v>
      </c>
      <c r="AR935" s="487" t="s">
        <v>299</v>
      </c>
      <c r="AS935" s="487">
        <f>+VLOOKUP($AJ935,Data_Validation!$A:$E,5,0)</f>
        <v>0</v>
      </c>
      <c r="AT935" s="904" t="str">
        <f t="shared" si="95"/>
        <v>G66400</v>
      </c>
      <c r="AU935" s="488" t="str">
        <f t="shared" si="96"/>
        <v>COUT-M.D. INSP.</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2856</v>
      </c>
      <c r="D936" s="706" t="s">
        <v>2857</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G66420</v>
      </c>
      <c r="AK936" s="905" t="str">
        <f t="shared" si="93"/>
        <v>COUT-MO INSPECTON PDI</v>
      </c>
      <c r="AL936" s="905">
        <f>IFERROR(INDEX(G936:R936,1,MATCH(Parametres!$B$3,G$1:R$1,0)-1)*IF(OR(F936="L",F936="S",F936="I"),-1,1),"")</f>
        <v>0</v>
      </c>
      <c r="AM936" s="905">
        <f t="shared" si="94"/>
        <v>0</v>
      </c>
      <c r="AN936" s="905">
        <f>INDEX(G936:R936,1,MATCH(Parametres!$B$3,G$1:R$1,0))*IF(OR(F936="L",F936="S",F936="I"),-1,1)</f>
        <v>0</v>
      </c>
      <c r="AO936" s="487" t="e">
        <f>+VLOOKUP($AJ936,Data_Validation!$A:$D,1,0)</f>
        <v>#N/A</v>
      </c>
      <c r="AP936" s="487" t="e">
        <f>+VLOOKUP($AJ936,Data_Validation!$A:$D,3,0)</f>
        <v>#N/A</v>
      </c>
      <c r="AQ936" s="487" t="e">
        <f>+VLOOKUP($AJ936,Data_Validation!$A:$D,4,0)</f>
        <v>#N/A</v>
      </c>
      <c r="AR936" s="487" t="s">
        <v>299</v>
      </c>
      <c r="AS936" s="487" t="e">
        <f>+VLOOKUP($AJ936,Data_Validation!$A:$E,5,0)</f>
        <v>#N/A</v>
      </c>
      <c r="AT936" s="904" t="str">
        <f t="shared" si="95"/>
        <v>G66420</v>
      </c>
      <c r="AU936" s="488" t="str">
        <f t="shared" si="96"/>
        <v>COUT-MO INSPECTON PDI</v>
      </c>
      <c r="AV936" s="899">
        <f>IFERROR(INDEX(V936:AG936,1,MATCH(Parametres!$B$3,V$1:AG$1,0)-1)*IF(OR(C936="L",C936="S",C936="I"),-1,1),"")</f>
        <v>0</v>
      </c>
      <c r="AW936" s="899">
        <f t="shared" si="97"/>
        <v>0</v>
      </c>
      <c r="AX936" s="899">
        <f>INDEX(V936:AG936,1,MATCH(Parametres!$B$3,V$1:AG$1,0))*IF(OR(C936="L",C936="S",C936="I"),-1,1)</f>
        <v>0</v>
      </c>
      <c r="AY936" s="487" t="s">
        <v>337</v>
      </c>
      <c r="AZ936" s="487" t="e">
        <f>+VLOOKUP($AJ936,Data_Validation!$A:$E,5,0)</f>
        <v>#N/A</v>
      </c>
    </row>
    <row r="937" spans="1:52" ht="15" hidden="1" customHeight="1">
      <c r="A937" s="706" t="s">
        <v>1148</v>
      </c>
      <c r="B937" s="706">
        <v>2026</v>
      </c>
      <c r="C937" s="706" t="s">
        <v>2858</v>
      </c>
      <c r="D937" s="706" t="s">
        <v>2859</v>
      </c>
      <c r="E937" s="706" t="s">
        <v>333</v>
      </c>
      <c r="F937" s="706" t="s">
        <v>1152</v>
      </c>
      <c r="G937" s="706">
        <v>-249.81</v>
      </c>
      <c r="H937" s="706">
        <v>-2752.08</v>
      </c>
      <c r="I937" s="706">
        <v>969.52</v>
      </c>
      <c r="J937" s="706">
        <v>9033.7199999999993</v>
      </c>
      <c r="K937" s="706">
        <v>8671.65</v>
      </c>
      <c r="L937" s="706">
        <v>9332.99</v>
      </c>
      <c r="M937" s="706">
        <v>9492.4</v>
      </c>
      <c r="N937" s="706">
        <v>9492.4</v>
      </c>
      <c r="O937" s="706">
        <v>9492.4</v>
      </c>
      <c r="P937" s="706">
        <v>0</v>
      </c>
      <c r="Q937" s="706">
        <v>0</v>
      </c>
      <c r="R937" s="706">
        <v>0</v>
      </c>
      <c r="S937" s="706">
        <v>1186.55</v>
      </c>
      <c r="T937" s="706">
        <v>1186.55</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G66500</v>
      </c>
      <c r="AK937" s="905" t="str">
        <f t="shared" si="93"/>
        <v>TEMPS PERDU SERVICE</v>
      </c>
      <c r="AL937" s="905">
        <f>IFERROR(INDEX(G937:R937,1,MATCH(Parametres!$B$3,G$1:R$1,0)-1)*IF(OR(F937="L",F937="S",F937="I"),-1,1),"")</f>
        <v>9492.4</v>
      </c>
      <c r="AM937" s="905">
        <f t="shared" si="94"/>
        <v>0</v>
      </c>
      <c r="AN937" s="905">
        <f>INDEX(G937:R937,1,MATCH(Parametres!$B$3,G$1:R$1,0))*IF(OR(F937="L",F937="S",F937="I"),-1,1)</f>
        <v>9492.4</v>
      </c>
      <c r="AO937" s="487" t="str">
        <f>+VLOOKUP($AJ937,Data_Validation!$A:$D,1,0)</f>
        <v>G66500</v>
      </c>
      <c r="AP937" s="487" t="str">
        <f>+VLOOKUP($AJ937,Data_Validation!$A:$D,3,0)</f>
        <v>Service</v>
      </c>
      <c r="AQ937" s="487" t="str">
        <f>+VLOOKUP($AJ937,Data_Validation!$A:$D,4,0)</f>
        <v>Ajustement M/O</v>
      </c>
      <c r="AR937" s="487" t="s">
        <v>299</v>
      </c>
      <c r="AS937" s="487">
        <f>+VLOOKUP($AJ937,Data_Validation!$A:$E,5,0)</f>
        <v>0</v>
      </c>
      <c r="AT937" s="904" t="str">
        <f t="shared" si="95"/>
        <v>G66500</v>
      </c>
      <c r="AU937" s="488" t="str">
        <f t="shared" si="96"/>
        <v>TEMPS PERDU SERVICE</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3411</v>
      </c>
      <c r="D938" s="706" t="s">
        <v>3412</v>
      </c>
      <c r="E938" s="706" t="s">
        <v>333</v>
      </c>
      <c r="F938" s="706" t="s">
        <v>1152</v>
      </c>
      <c r="G938" s="706">
        <v>0</v>
      </c>
      <c r="H938" s="706">
        <v>0</v>
      </c>
      <c r="I938" s="706">
        <v>0</v>
      </c>
      <c r="J938" s="706">
        <v>0</v>
      </c>
      <c r="K938" s="706">
        <v>0</v>
      </c>
      <c r="L938" s="706">
        <v>0</v>
      </c>
      <c r="M938" s="706">
        <v>1417.39</v>
      </c>
      <c r="N938" s="706">
        <v>1417.39</v>
      </c>
      <c r="O938" s="706">
        <v>1417.39</v>
      </c>
      <c r="P938" s="706">
        <v>0</v>
      </c>
      <c r="Q938" s="706">
        <v>0</v>
      </c>
      <c r="R938" s="706">
        <v>0</v>
      </c>
      <c r="S938" s="706">
        <v>177.17</v>
      </c>
      <c r="T938" s="706">
        <v>177.17</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G66507</v>
      </c>
      <c r="AK938" s="905" t="str">
        <f t="shared" si="93"/>
        <v>TEMPS PERDU SAAQ</v>
      </c>
      <c r="AL938" s="905">
        <f>IFERROR(INDEX(G938:R938,1,MATCH(Parametres!$B$3,G$1:R$1,0)-1)*IF(OR(F938="L",F938="S",F938="I"),-1,1),"")</f>
        <v>1417.39</v>
      </c>
      <c r="AM938" s="905">
        <f t="shared" si="94"/>
        <v>0</v>
      </c>
      <c r="AN938" s="905">
        <f>INDEX(G938:R938,1,MATCH(Parametres!$B$3,G$1:R$1,0))*IF(OR(F938="L",F938="S",F938="I"),-1,1)</f>
        <v>1417.39</v>
      </c>
      <c r="AO938" s="487" t="str">
        <f>+VLOOKUP($AJ938,Data_Validation!$A:$D,1,0)</f>
        <v>G66507</v>
      </c>
      <c r="AP938" s="487" t="str">
        <f>+VLOOKUP($AJ938,Data_Validation!$A:$D,3,0)</f>
        <v>SAAQ</v>
      </c>
      <c r="AQ938" s="487" t="str">
        <f>+VLOOKUP($AJ938,Data_Validation!$A:$D,4,0)</f>
        <v>Ajustement M/O SAAQ</v>
      </c>
      <c r="AR938" s="487" t="s">
        <v>299</v>
      </c>
      <c r="AS938" s="487">
        <f>+VLOOKUP($AJ938,Data_Validation!$A:$E,5,0)</f>
        <v>0</v>
      </c>
      <c r="AT938" s="904" t="str">
        <f t="shared" si="95"/>
        <v>G66507</v>
      </c>
      <c r="AU938" s="488" t="str">
        <f t="shared" si="96"/>
        <v>TEMPS PERDU SAAQ</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2860</v>
      </c>
      <c r="D939" s="706" t="s">
        <v>2861</v>
      </c>
      <c r="E939" s="706" t="s">
        <v>333</v>
      </c>
      <c r="F939" s="706" t="s">
        <v>1152</v>
      </c>
      <c r="G939" s="706">
        <v>3932.85</v>
      </c>
      <c r="H939" s="706">
        <v>16561.11</v>
      </c>
      <c r="I939" s="706">
        <v>30890.93</v>
      </c>
      <c r="J939" s="706">
        <v>38338.85</v>
      </c>
      <c r="K939" s="706">
        <v>49545.99</v>
      </c>
      <c r="L939" s="706">
        <v>58561.65</v>
      </c>
      <c r="M939" s="706">
        <v>65919.59</v>
      </c>
      <c r="N939" s="706">
        <v>79048</v>
      </c>
      <c r="O939" s="706">
        <v>79323</v>
      </c>
      <c r="P939" s="706">
        <v>0</v>
      </c>
      <c r="Q939" s="706">
        <v>0</v>
      </c>
      <c r="R939" s="706">
        <v>0</v>
      </c>
      <c r="S939" s="706">
        <v>9881</v>
      </c>
      <c r="T939" s="706">
        <v>9881</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G66600</v>
      </c>
      <c r="AK939" s="905" t="str">
        <f t="shared" si="93"/>
        <v>COUT-SOUS-CONTRATS SERV.</v>
      </c>
      <c r="AL939" s="905">
        <f>IFERROR(INDEX(G939:R939,1,MATCH(Parametres!$B$3,G$1:R$1,0)-1)*IF(OR(F939="L",F939="S",F939="I"),-1,1),"")</f>
        <v>65919.59</v>
      </c>
      <c r="AM939" s="905">
        <f t="shared" si="94"/>
        <v>13128.410000000003</v>
      </c>
      <c r="AN939" s="905">
        <f>INDEX(G939:R939,1,MATCH(Parametres!$B$3,G$1:R$1,0))*IF(OR(F939="L",F939="S",F939="I"),-1,1)</f>
        <v>79048</v>
      </c>
      <c r="AO939" s="487" t="str">
        <f>+VLOOKUP($AJ939,Data_Validation!$A:$D,1,0)</f>
        <v>G66600</v>
      </c>
      <c r="AP939" s="487" t="str">
        <f>+VLOOKUP($AJ939,Data_Validation!$A:$D,3,0)</f>
        <v>Service</v>
      </c>
      <c r="AQ939" s="487" t="str">
        <f>+VLOOKUP($AJ939,Data_Validation!$A:$D,4,0)</f>
        <v>Sous-traitement</v>
      </c>
      <c r="AR939" s="487" t="s">
        <v>299</v>
      </c>
      <c r="AS939" s="487">
        <f>+VLOOKUP($AJ939,Data_Validation!$A:$E,5,0)</f>
        <v>0</v>
      </c>
      <c r="AT939" s="904" t="str">
        <f t="shared" si="95"/>
        <v>G66600</v>
      </c>
      <c r="AU939" s="488" t="str">
        <f t="shared" si="96"/>
        <v>COUT-SOUS-CONTRATS SERV.</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2862</v>
      </c>
      <c r="D940" s="706" t="s">
        <v>3135</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G66610</v>
      </c>
      <c r="AK940" s="905" t="str">
        <f t="shared" si="93"/>
        <v>COUT-SOUS-TRAITANCE SAAQ</v>
      </c>
      <c r="AL940" s="905">
        <f>IFERROR(INDEX(G940:R940,1,MATCH(Parametres!$B$3,G$1:R$1,0)-1)*IF(OR(F940="L",F940="S",F940="I"),-1,1),"")</f>
        <v>0</v>
      </c>
      <c r="AM940" s="905">
        <f t="shared" si="94"/>
        <v>0</v>
      </c>
      <c r="AN940" s="905">
        <f>INDEX(G940:R940,1,MATCH(Parametres!$B$3,G$1:R$1,0))*IF(OR(F940="L",F940="S",F940="I"),-1,1)</f>
        <v>0</v>
      </c>
      <c r="AO940" s="487" t="str">
        <f>+VLOOKUP($AJ940,Data_Validation!$A:$D,1,0)</f>
        <v>G66610</v>
      </c>
      <c r="AP940" s="487" t="str">
        <f>+VLOOKUP($AJ940,Data_Validation!$A:$D,3,0)</f>
        <v>SAAQ</v>
      </c>
      <c r="AQ940" s="487" t="str">
        <f>+VLOOKUP($AJ940,Data_Validation!$A:$D,4,0)</f>
        <v>Inspection - Véhicules Interne</v>
      </c>
      <c r="AR940" s="487" t="s">
        <v>299</v>
      </c>
      <c r="AS940" s="487">
        <f>+VLOOKUP($AJ940,Data_Validation!$A:$E,5,0)</f>
        <v>0</v>
      </c>
      <c r="AT940" s="904" t="str">
        <f t="shared" si="95"/>
        <v>G66610</v>
      </c>
      <c r="AU940" s="488" t="str">
        <f t="shared" si="96"/>
        <v>COUT-SOUS-TRAITANCE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2864</v>
      </c>
      <c r="D941" s="706" t="s">
        <v>2865</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G66611</v>
      </c>
      <c r="AK941" s="905" t="str">
        <f t="shared" si="93"/>
        <v>SUPER VITRE COUT SUBLET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G66611</v>
      </c>
      <c r="AU941" s="488" t="str">
        <f t="shared" si="96"/>
        <v>SUPER VITRE COUT SUBLET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2866</v>
      </c>
      <c r="D942" s="706" t="s">
        <v>2867</v>
      </c>
      <c r="E942" s="706" t="s">
        <v>333</v>
      </c>
      <c r="F942" s="706" t="s">
        <v>1152</v>
      </c>
      <c r="G942" s="706">
        <v>40254.79</v>
      </c>
      <c r="H942" s="706">
        <v>81742.2</v>
      </c>
      <c r="I942" s="706">
        <v>111760.52</v>
      </c>
      <c r="J942" s="706">
        <v>138837.42000000001</v>
      </c>
      <c r="K942" s="706">
        <v>157385.72</v>
      </c>
      <c r="L942" s="706">
        <v>196092.61</v>
      </c>
      <c r="M942" s="706">
        <v>230262.99</v>
      </c>
      <c r="N942" s="706">
        <v>264285.86</v>
      </c>
      <c r="O942" s="706">
        <v>274378.73</v>
      </c>
      <c r="P942" s="706">
        <v>0</v>
      </c>
      <c r="Q942" s="706">
        <v>0</v>
      </c>
      <c r="R942" s="706">
        <v>0</v>
      </c>
      <c r="S942" s="706">
        <v>33035.730000000003</v>
      </c>
      <c r="T942" s="706">
        <v>33035.730000000003</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G66710</v>
      </c>
      <c r="AK942" s="905" t="str">
        <f t="shared" si="93"/>
        <v>COUT P&amp;A SERV.CLIENT AUTO</v>
      </c>
      <c r="AL942" s="905">
        <f>IFERROR(INDEX(G942:R942,1,MATCH(Parametres!$B$3,G$1:R$1,0)-1)*IF(OR(F942="L",F942="S",F942="I"),-1,1),"")</f>
        <v>230262.99</v>
      </c>
      <c r="AM942" s="905">
        <f t="shared" si="94"/>
        <v>34022.869999999995</v>
      </c>
      <c r="AN942" s="905">
        <f>INDEX(G942:R942,1,MATCH(Parametres!$B$3,G$1:R$1,0))*IF(OR(F942="L",F942="S",F942="I"),-1,1)</f>
        <v>264285.86</v>
      </c>
      <c r="AO942" s="487" t="str">
        <f>+VLOOKUP($AJ942,Data_Validation!$A:$D,1,0)</f>
        <v>G66710</v>
      </c>
      <c r="AP942" s="487" t="str">
        <f>+VLOOKUP($AJ942,Data_Validation!$A:$D,3,0)</f>
        <v>Pièces</v>
      </c>
      <c r="AQ942" s="487" t="str">
        <f>+VLOOKUP($AJ942,Data_Validation!$A:$D,4,0)</f>
        <v>Pièces Ro Clients</v>
      </c>
      <c r="AR942" s="487" t="s">
        <v>299</v>
      </c>
      <c r="AS942" s="487">
        <f>+VLOOKUP($AJ942,Data_Validation!$A:$E,5,0)</f>
        <v>0</v>
      </c>
      <c r="AT942" s="904" t="str">
        <f t="shared" si="95"/>
        <v>G66710</v>
      </c>
      <c r="AU942" s="488" t="str">
        <f t="shared" si="96"/>
        <v>COUT P&amp;A SERV.CLIENT AUTO</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2868</v>
      </c>
      <c r="D943" s="706" t="s">
        <v>2869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G66720</v>
      </c>
      <c r="AK943" s="905" t="str">
        <f t="shared" si="93"/>
        <v>COUT-P&amp;A SERV.PL.PROT.AUT</v>
      </c>
      <c r="AL943" s="905">
        <f>IFERROR(INDEX(G943:R943,1,MATCH(Parametres!$B$3,G$1:R$1,0)-1)*IF(OR(F943="L",F943="S",F943="I"),-1,1),"")</f>
        <v>0</v>
      </c>
      <c r="AM943" s="905">
        <f t="shared" si="94"/>
        <v>0</v>
      </c>
      <c r="AN943" s="905">
        <f>INDEX(G943:R943,1,MATCH(Parametres!$B$3,G$1:R$1,0))*IF(OR(F943="L",F943="S",F943="I"),-1,1)</f>
        <v>0</v>
      </c>
      <c r="AO943" s="487" t="str">
        <f>+VLOOKUP($AJ943,Data_Validation!$A:$D,1,0)</f>
        <v>G66720</v>
      </c>
      <c r="AP943" s="487" t="str">
        <f>+VLOOKUP($AJ943,Data_Validation!$A:$D,3,0)</f>
        <v>Pièces</v>
      </c>
      <c r="AQ943" s="487" t="str">
        <f>+VLOOKUP($AJ943,Data_Validation!$A:$D,4,0)</f>
        <v>Pièces Ro Clients</v>
      </c>
      <c r="AR943" s="487" t="s">
        <v>299</v>
      </c>
      <c r="AS943" s="487">
        <f>+VLOOKUP($AJ943,Data_Validation!$A:$E,5,0)</f>
        <v>0</v>
      </c>
      <c r="AT943" s="904" t="str">
        <f t="shared" si="95"/>
        <v>G66720</v>
      </c>
      <c r="AU943" s="488" t="str">
        <f t="shared" si="96"/>
        <v>COUT-P&amp;A SERV.PL.PROT.AUT</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2870</v>
      </c>
      <c r="D944" s="706" t="s">
        <v>2871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G66740</v>
      </c>
      <c r="AK944" s="905" t="str">
        <f t="shared" si="93"/>
        <v>P&amp;A GOOD VOIT CAM LEGER</v>
      </c>
      <c r="AL944" s="905">
        <f>IFERROR(INDEX(G944:R944,1,MATCH(Parametres!$B$3,G$1:R$1,0)-1)*IF(OR(F944="L",F944="S",F944="I"),-1,1),"")</f>
        <v>0</v>
      </c>
      <c r="AM944" s="905">
        <f t="shared" si="94"/>
        <v>0</v>
      </c>
      <c r="AN944" s="905">
        <f>INDEX(G944:R944,1,MATCH(Parametres!$B$3,G$1:R$1,0))*IF(OR(F944="L",F944="S",F944="I"),-1,1)</f>
        <v>0</v>
      </c>
      <c r="AO944" s="487" t="str">
        <f>+VLOOKUP($AJ944,Data_Validation!$A:$D,1,0)</f>
        <v>G66740</v>
      </c>
      <c r="AP944" s="487">
        <f>+VLOOKUP($AJ944,Data_Validation!$A:$D,3,0)</f>
        <v>0</v>
      </c>
      <c r="AQ944" s="487">
        <f>+VLOOKUP($AJ944,Data_Validation!$A:$D,4,0)</f>
        <v>0</v>
      </c>
      <c r="AR944" s="487" t="s">
        <v>299</v>
      </c>
      <c r="AS944" s="487">
        <f>+VLOOKUP($AJ944,Data_Validation!$A:$E,5,0)</f>
        <v>0</v>
      </c>
      <c r="AT944" s="904" t="str">
        <f t="shared" si="95"/>
        <v>G66740</v>
      </c>
      <c r="AU944" s="488" t="str">
        <f t="shared" si="96"/>
        <v>P&amp;A GOOD VOIT CAM LEGER</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2872</v>
      </c>
      <c r="D945" s="706" t="s">
        <v>2873</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G66800</v>
      </c>
      <c r="AK945" s="905" t="str">
        <f t="shared" si="93"/>
        <v>COUT-VOIT.OCC.EN GROS-DET</v>
      </c>
      <c r="AL945" s="905">
        <f>IFERROR(INDEX(G945:R945,1,MATCH(Parametres!$B$3,G$1:R$1,0)-1)*IF(OR(F945="L",F945="S",F945="I"),-1,1),"")</f>
        <v>0</v>
      </c>
      <c r="AM945" s="905">
        <f t="shared" si="94"/>
        <v>0</v>
      </c>
      <c r="AN945" s="905">
        <f>INDEX(G945:R945,1,MATCH(Parametres!$B$3,G$1:R$1,0))*IF(OR(F945="L",F945="S",F945="I"),-1,1)</f>
        <v>0</v>
      </c>
      <c r="AO945" s="487" t="str">
        <f>+VLOOKUP($AJ945,Data_Validation!$A:$D,1,0)</f>
        <v>G66800</v>
      </c>
      <c r="AP945" s="487">
        <f>+VLOOKUP($AJ945,Data_Validation!$A:$D,3,0)</f>
        <v>0</v>
      </c>
      <c r="AQ945" s="487">
        <f>+VLOOKUP($AJ945,Data_Validation!$A:$D,4,0)</f>
        <v>0</v>
      </c>
      <c r="AR945" s="487" t="s">
        <v>299</v>
      </c>
      <c r="AS945" s="487">
        <f>+VLOOKUP($AJ945,Data_Validation!$A:$E,5,0)</f>
        <v>0</v>
      </c>
      <c r="AT945" s="904" t="str">
        <f t="shared" si="95"/>
        <v>G66800</v>
      </c>
      <c r="AU945" s="488" t="str">
        <f t="shared" si="96"/>
        <v>COUT-VOIT.OCC.EN GROS-DET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2874</v>
      </c>
      <c r="D946" s="706" t="s">
        <v>2875</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G66810</v>
      </c>
      <c r="AK946" s="905" t="str">
        <f t="shared" si="93"/>
        <v>COUT-P&amp;A SERV.CLIENT CAM.</v>
      </c>
      <c r="AL946" s="905">
        <f>IFERROR(INDEX(G946:R946,1,MATCH(Parametres!$B$3,G$1:R$1,0)-1)*IF(OR(F946="L",F946="S",F946="I"),-1,1),"")</f>
        <v>0</v>
      </c>
      <c r="AM946" s="905">
        <f t="shared" si="94"/>
        <v>0</v>
      </c>
      <c r="AN946" s="905">
        <f>INDEX(G946:R946,1,MATCH(Parametres!$B$3,G$1:R$1,0))*IF(OR(F946="L",F946="S",F946="I"),-1,1)</f>
        <v>0</v>
      </c>
      <c r="AO946" s="487" t="str">
        <f>+VLOOKUP($AJ946,Data_Validation!$A:$D,1,0)</f>
        <v>G66810</v>
      </c>
      <c r="AP946" s="487">
        <f>+VLOOKUP($AJ946,Data_Validation!$A:$D,3,0)</f>
        <v>0</v>
      </c>
      <c r="AQ946" s="487">
        <f>+VLOOKUP($AJ946,Data_Validation!$A:$D,4,0)</f>
        <v>0</v>
      </c>
      <c r="AR946" s="487" t="s">
        <v>299</v>
      </c>
      <c r="AS946" s="487">
        <f>+VLOOKUP($AJ946,Data_Validation!$A:$E,5,0)</f>
        <v>0</v>
      </c>
      <c r="AT946" s="904" t="str">
        <f t="shared" si="95"/>
        <v>G66810</v>
      </c>
      <c r="AU946" s="488" t="str">
        <f t="shared" si="96"/>
        <v>COUT-P&amp;A SERV.CLIENT CAM.</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2876</v>
      </c>
      <c r="D947" s="706" t="s">
        <v>2877</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G66840</v>
      </c>
      <c r="AK947" s="905" t="str">
        <f t="shared" si="93"/>
        <v>COUT-P&amp;A GOODWRENCH CAM.</v>
      </c>
      <c r="AL947" s="905">
        <f>IFERROR(INDEX(G947:R947,1,MATCH(Parametres!$B$3,G$1:R$1,0)-1)*IF(OR(F947="L",F947="S",F947="I"),-1,1),"")</f>
        <v>0</v>
      </c>
      <c r="AM947" s="905">
        <f t="shared" si="94"/>
        <v>0</v>
      </c>
      <c r="AN947" s="905">
        <f>INDEX(G947:R947,1,MATCH(Parametres!$B$3,G$1:R$1,0))*IF(OR(F947="L",F947="S",F947="I"),-1,1)</f>
        <v>0</v>
      </c>
      <c r="AO947" s="487" t="e">
        <f>+VLOOKUP($AJ947,Data_Validation!$A:$D,1,0)</f>
        <v>#N/A</v>
      </c>
      <c r="AP947" s="487" t="e">
        <f>+VLOOKUP($AJ947,Data_Validation!$A:$D,3,0)</f>
        <v>#N/A</v>
      </c>
      <c r="AQ947" s="487" t="e">
        <f>+VLOOKUP($AJ947,Data_Validation!$A:$D,4,0)</f>
        <v>#N/A</v>
      </c>
      <c r="AR947" s="487" t="s">
        <v>299</v>
      </c>
      <c r="AS947" s="487" t="e">
        <f>+VLOOKUP($AJ947,Data_Validation!$A:$E,5,0)</f>
        <v>#N/A</v>
      </c>
      <c r="AT947" s="904" t="str">
        <f t="shared" si="95"/>
        <v>G66840</v>
      </c>
      <c r="AU947" s="488" t="str">
        <f t="shared" si="96"/>
        <v>COUT-P&amp;A GOODWRENCH CAM.</v>
      </c>
      <c r="AV947" s="899">
        <f>IFERROR(INDEX(V947:AG947,1,MATCH(Parametres!$B$3,V$1:AG$1,0)-1)*IF(OR(C947="L",C947="S",C947="I"),-1,1),"")</f>
        <v>0</v>
      </c>
      <c r="AW947" s="899">
        <f t="shared" si="97"/>
        <v>0</v>
      </c>
      <c r="AX947" s="899">
        <f>INDEX(V947:AG947,1,MATCH(Parametres!$B$3,V$1:AG$1,0))*IF(OR(C947="L",C947="S",C947="I"),-1,1)</f>
        <v>0</v>
      </c>
      <c r="AY947" s="487" t="s">
        <v>337</v>
      </c>
      <c r="AZ947" s="487" t="e">
        <f>+VLOOKUP($AJ947,Data_Validation!$A:$E,5,0)</f>
        <v>#N/A</v>
      </c>
    </row>
    <row r="948" spans="1:52" ht="15" hidden="1" customHeight="1">
      <c r="A948" s="706" t="s">
        <v>1148</v>
      </c>
      <c r="B948" s="706">
        <v>2026</v>
      </c>
      <c r="C948" s="706" t="s">
        <v>2878</v>
      </c>
      <c r="D948" s="706" t="s">
        <v>2879</v>
      </c>
      <c r="E948" s="706" t="s">
        <v>333</v>
      </c>
      <c r="F948" s="706" t="s">
        <v>1152</v>
      </c>
      <c r="G948" s="706">
        <v>1697.93</v>
      </c>
      <c r="H948" s="706">
        <v>605.92999999999995</v>
      </c>
      <c r="I948" s="706">
        <v>2814.77</v>
      </c>
      <c r="J948" s="706">
        <v>6319.61</v>
      </c>
      <c r="K948" s="706">
        <v>8033.4</v>
      </c>
      <c r="L948" s="706">
        <v>10284.52</v>
      </c>
      <c r="M948" s="706">
        <v>10284.52</v>
      </c>
      <c r="N948" s="706">
        <v>14481.63</v>
      </c>
      <c r="O948" s="706">
        <v>14481.63</v>
      </c>
      <c r="P948" s="706">
        <v>0</v>
      </c>
      <c r="Q948" s="706">
        <v>0</v>
      </c>
      <c r="R948" s="706">
        <v>0</v>
      </c>
      <c r="S948" s="706">
        <v>1810.2</v>
      </c>
      <c r="T948" s="706">
        <v>1810.2</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G66900</v>
      </c>
      <c r="AK948" s="905" t="str">
        <f t="shared" si="93"/>
        <v>COUT MATERIEL ATELIER</v>
      </c>
      <c r="AL948" s="905">
        <f>IFERROR(INDEX(G948:R948,1,MATCH(Parametres!$B$3,G$1:R$1,0)-1)*IF(OR(F948="L",F948="S",F948="I"),-1,1),"")</f>
        <v>10284.52</v>
      </c>
      <c r="AM948" s="905">
        <f t="shared" si="94"/>
        <v>4197.1099999999988</v>
      </c>
      <c r="AN948" s="905">
        <f>INDEX(G948:R948,1,MATCH(Parametres!$B$3,G$1:R$1,0))*IF(OR(F948="L",F948="S",F948="I"),-1,1)</f>
        <v>14481.63</v>
      </c>
      <c r="AO948" s="487" t="str">
        <f>+VLOOKUP($AJ948,Data_Validation!$A:$D,1,0)</f>
        <v>G66900</v>
      </c>
      <c r="AP948" s="487" t="str">
        <f>+VLOOKUP($AJ948,Data_Validation!$A:$D,3,0)</f>
        <v>Service</v>
      </c>
      <c r="AQ948" s="487" t="str">
        <f>+VLOOKUP($AJ948,Data_Validation!$A:$D,4,0)</f>
        <v>Sous-traitement</v>
      </c>
      <c r="AR948" s="487" t="s">
        <v>299</v>
      </c>
      <c r="AS948" s="487">
        <f>+VLOOKUP($AJ948,Data_Validation!$A:$E,5,0)</f>
        <v>0</v>
      </c>
      <c r="AT948" s="904" t="str">
        <f t="shared" si="95"/>
        <v>G66900</v>
      </c>
      <c r="AU948" s="488" t="str">
        <f t="shared" si="96"/>
        <v>COUT MATERIEL ATELIER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2880</v>
      </c>
      <c r="D949" s="706" t="s">
        <v>2881</v>
      </c>
      <c r="E949" s="706" t="s">
        <v>333</v>
      </c>
      <c r="F949" s="706" t="s">
        <v>1152</v>
      </c>
      <c r="G949" s="706">
        <v>0</v>
      </c>
      <c r="H949" s="706">
        <v>0</v>
      </c>
      <c r="I949" s="706">
        <v>0</v>
      </c>
      <c r="J949" s="706">
        <v>0</v>
      </c>
      <c r="K949" s="706">
        <v>1266.73</v>
      </c>
      <c r="L949" s="706">
        <v>3705.88</v>
      </c>
      <c r="M949" s="706">
        <v>5244.04</v>
      </c>
      <c r="N949" s="706">
        <v>5880.21</v>
      </c>
      <c r="O949" s="706">
        <v>6041.39</v>
      </c>
      <c r="P949" s="706">
        <v>0</v>
      </c>
      <c r="Q949" s="706">
        <v>0</v>
      </c>
      <c r="R949" s="706">
        <v>0</v>
      </c>
      <c r="S949" s="706">
        <v>735.03</v>
      </c>
      <c r="T949" s="706">
        <v>735.03</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G67000</v>
      </c>
      <c r="AK949" s="905" t="str">
        <f t="shared" si="93"/>
        <v>COUT-M.D. PEINTURE</v>
      </c>
      <c r="AL949" s="905">
        <f>IFERROR(INDEX(G949:R949,1,MATCH(Parametres!$B$3,G$1:R$1,0)-1)*IF(OR(F949="L",F949="S",F949="I"),-1,1),"")</f>
        <v>5244.04</v>
      </c>
      <c r="AM949" s="905">
        <f t="shared" si="94"/>
        <v>636.17000000000007</v>
      </c>
      <c r="AN949" s="905">
        <f>INDEX(G949:R949,1,MATCH(Parametres!$B$3,G$1:R$1,0))*IF(OR(F949="L",F949="S",F949="I"),-1,1)</f>
        <v>5880.21</v>
      </c>
      <c r="AO949" s="487" t="str">
        <f>+VLOOKUP($AJ949,Data_Validation!$A:$D,1,0)</f>
        <v>G67000</v>
      </c>
      <c r="AP949" s="487" t="str">
        <f>+VLOOKUP($AJ949,Data_Validation!$A:$D,3,0)</f>
        <v>Carrosserie</v>
      </c>
      <c r="AQ949" s="487" t="str">
        <f>+VLOOKUP($AJ949,Data_Validation!$A:$D,4,0)</f>
        <v>Carrosserie Clients</v>
      </c>
      <c r="AR949" s="487" t="s">
        <v>299</v>
      </c>
      <c r="AS949" s="487">
        <f>+VLOOKUP($AJ949,Data_Validation!$A:$E,5,0)</f>
        <v>0</v>
      </c>
      <c r="AT949" s="904" t="str">
        <f t="shared" si="95"/>
        <v>G67000</v>
      </c>
      <c r="AU949" s="488" t="str">
        <f t="shared" si="96"/>
        <v>COUT-M.D. PEINTURE</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hidden="1" customHeight="1">
      <c r="A950" s="706" t="s">
        <v>1148</v>
      </c>
      <c r="B950" s="706">
        <v>2026</v>
      </c>
      <c r="C950" s="706" t="s">
        <v>2882</v>
      </c>
      <c r="D950" s="706" t="s">
        <v>2883</v>
      </c>
      <c r="E950" s="706" t="s">
        <v>333</v>
      </c>
      <c r="F950" s="706" t="s">
        <v>1152</v>
      </c>
      <c r="G950" s="706">
        <v>0</v>
      </c>
      <c r="H950" s="706">
        <v>0</v>
      </c>
      <c r="I950" s="706">
        <v>0</v>
      </c>
      <c r="J950" s="706">
        <v>0</v>
      </c>
      <c r="K950" s="706">
        <v>2406.7600000000002</v>
      </c>
      <c r="L950" s="706">
        <v>4008.48</v>
      </c>
      <c r="M950" s="706">
        <v>6256.59</v>
      </c>
      <c r="N950" s="706">
        <v>7178.19</v>
      </c>
      <c r="O950" s="706">
        <v>7307.05</v>
      </c>
      <c r="P950" s="706">
        <v>0</v>
      </c>
      <c r="Q950" s="706">
        <v>0</v>
      </c>
      <c r="R950" s="706">
        <v>0</v>
      </c>
      <c r="S950" s="706">
        <v>897.27</v>
      </c>
      <c r="T950" s="706">
        <v>897.27</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G67005</v>
      </c>
      <c r="AK950" s="905" t="str">
        <f t="shared" si="93"/>
        <v>COUT -M.O CONCES. PEINTUR</v>
      </c>
      <c r="AL950" s="905">
        <f>IFERROR(INDEX(G950:R950,1,MATCH(Parametres!$B$3,G$1:R$1,0)-1)*IF(OR(F950="L",F950="S",F950="I"),-1,1),"")</f>
        <v>6256.59</v>
      </c>
      <c r="AM950" s="905">
        <f t="shared" si="94"/>
        <v>921.59999999999945</v>
      </c>
      <c r="AN950" s="905">
        <f>INDEX(G950:R950,1,MATCH(Parametres!$B$3,G$1:R$1,0))*IF(OR(F950="L",F950="S",F950="I"),-1,1)</f>
        <v>7178.19</v>
      </c>
      <c r="AO950" s="487" t="str">
        <f>+VLOOKUP($AJ950,Data_Validation!$A:$D,1,0)</f>
        <v>G67005</v>
      </c>
      <c r="AP950" s="487" t="str">
        <f>+VLOOKUP($AJ950,Data_Validation!$A:$D,3,0)</f>
        <v>Carrosserie</v>
      </c>
      <c r="AQ950" s="487" t="str">
        <f>+VLOOKUP($AJ950,Data_Validation!$A:$D,4,0)</f>
        <v>Carrosserie Concessions</v>
      </c>
      <c r="AR950" s="487" t="s">
        <v>299</v>
      </c>
      <c r="AS950" s="487">
        <f>+VLOOKUP($AJ950,Data_Validation!$A:$E,5,0)</f>
        <v>0</v>
      </c>
      <c r="AT950" s="904" t="str">
        <f t="shared" si="95"/>
        <v>G67005</v>
      </c>
      <c r="AU950" s="488" t="str">
        <f t="shared" si="96"/>
        <v>COUT -M.O CONCES. PEINTUR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2884</v>
      </c>
      <c r="D951" s="706" t="s">
        <v>2885</v>
      </c>
      <c r="E951" s="706" t="s">
        <v>333</v>
      </c>
      <c r="F951" s="706" t="s">
        <v>1152</v>
      </c>
      <c r="G951" s="706">
        <v>19730.259999999998</v>
      </c>
      <c r="H951" s="706">
        <v>41519.22</v>
      </c>
      <c r="I951" s="706">
        <v>61660.73</v>
      </c>
      <c r="J951" s="706">
        <v>100877.37</v>
      </c>
      <c r="K951" s="706">
        <v>107269.34</v>
      </c>
      <c r="L951" s="706">
        <v>114935.97</v>
      </c>
      <c r="M951" s="706">
        <v>124356.83</v>
      </c>
      <c r="N951" s="706">
        <v>134949.15</v>
      </c>
      <c r="O951" s="706">
        <v>135297.06</v>
      </c>
      <c r="P951" s="706">
        <v>0</v>
      </c>
      <c r="Q951" s="706">
        <v>0</v>
      </c>
      <c r="R951" s="706">
        <v>0</v>
      </c>
      <c r="S951" s="706">
        <v>16868.64</v>
      </c>
      <c r="T951" s="706">
        <v>16868.64</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G67100</v>
      </c>
      <c r="AK951" s="905" t="str">
        <f t="shared" si="93"/>
        <v>COUT-M.D. CARROSSERIE</v>
      </c>
      <c r="AL951" s="905">
        <f>IFERROR(INDEX(G951:R951,1,MATCH(Parametres!$B$3,G$1:R$1,0)-1)*IF(OR(F951="L",F951="S",F951="I"),-1,1),"")</f>
        <v>124356.83</v>
      </c>
      <c r="AM951" s="905">
        <f t="shared" si="94"/>
        <v>10592.319999999992</v>
      </c>
      <c r="AN951" s="905">
        <f>INDEX(G951:R951,1,MATCH(Parametres!$B$3,G$1:R$1,0))*IF(OR(F951="L",F951="S",F951="I"),-1,1)</f>
        <v>134949.15</v>
      </c>
      <c r="AO951" s="487" t="str">
        <f>+VLOOKUP($AJ951,Data_Validation!$A:$D,1,0)</f>
        <v>G67100</v>
      </c>
      <c r="AP951" s="487" t="str">
        <f>+VLOOKUP($AJ951,Data_Validation!$A:$D,3,0)</f>
        <v>Carrosserie</v>
      </c>
      <c r="AQ951" s="487" t="str">
        <f>+VLOOKUP($AJ951,Data_Validation!$A:$D,4,0)</f>
        <v>Carrosserie Clients</v>
      </c>
      <c r="AR951" s="487" t="s">
        <v>299</v>
      </c>
      <c r="AS951" s="487">
        <f>+VLOOKUP($AJ951,Data_Validation!$A:$E,5,0)</f>
        <v>0</v>
      </c>
      <c r="AT951" s="904" t="str">
        <f t="shared" si="95"/>
        <v>G67100</v>
      </c>
      <c r="AU951" s="488" t="str">
        <f t="shared" si="96"/>
        <v>COUT-M.D. CARROSSERIE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2886</v>
      </c>
      <c r="D952" s="706" t="s">
        <v>2887</v>
      </c>
      <c r="E952" s="706" t="s">
        <v>333</v>
      </c>
      <c r="F952" s="706" t="s">
        <v>1152</v>
      </c>
      <c r="G952" s="706">
        <v>0</v>
      </c>
      <c r="H952" s="706">
        <v>0</v>
      </c>
      <c r="I952" s="706">
        <v>0</v>
      </c>
      <c r="J952" s="706">
        <v>0</v>
      </c>
      <c r="K952" s="706">
        <v>5591.54</v>
      </c>
      <c r="L952" s="706">
        <v>11000.09</v>
      </c>
      <c r="M952" s="706">
        <v>19383.18</v>
      </c>
      <c r="N952" s="706">
        <v>24728.02</v>
      </c>
      <c r="O952" s="706">
        <v>25046.43</v>
      </c>
      <c r="P952" s="706">
        <v>0</v>
      </c>
      <c r="Q952" s="706">
        <v>0</v>
      </c>
      <c r="R952" s="706">
        <v>0</v>
      </c>
      <c r="S952" s="706">
        <v>3091</v>
      </c>
      <c r="T952" s="706">
        <v>3091</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G67105</v>
      </c>
      <c r="AK952" s="905" t="str">
        <f t="shared" si="93"/>
        <v>COUT-M.O CONCES. -BODY</v>
      </c>
      <c r="AL952" s="905">
        <f>IFERROR(INDEX(G952:R952,1,MATCH(Parametres!$B$3,G$1:R$1,0)-1)*IF(OR(F952="L",F952="S",F952="I"),-1,1),"")</f>
        <v>19383.18</v>
      </c>
      <c r="AM952" s="905">
        <f t="shared" si="94"/>
        <v>5344.84</v>
      </c>
      <c r="AN952" s="905">
        <f>INDEX(G952:R952,1,MATCH(Parametres!$B$3,G$1:R$1,0))*IF(OR(F952="L",F952="S",F952="I"),-1,1)</f>
        <v>24728.02</v>
      </c>
      <c r="AO952" s="487" t="str">
        <f>+VLOOKUP($AJ952,Data_Validation!$A:$D,1,0)</f>
        <v>G67105</v>
      </c>
      <c r="AP952" s="487" t="str">
        <f>+VLOOKUP($AJ952,Data_Validation!$A:$D,3,0)</f>
        <v>Carrosserie</v>
      </c>
      <c r="AQ952" s="487" t="str">
        <f>+VLOOKUP($AJ952,Data_Validation!$A:$D,4,0)</f>
        <v>Carrosserie Concessions</v>
      </c>
      <c r="AR952" s="487" t="s">
        <v>299</v>
      </c>
      <c r="AS952" s="487">
        <f>+VLOOKUP($AJ952,Data_Validation!$A:$E,5,0)</f>
        <v>0</v>
      </c>
      <c r="AT952" s="904" t="str">
        <f t="shared" si="95"/>
        <v>G67105</v>
      </c>
      <c r="AU952" s="488" t="str">
        <f t="shared" si="96"/>
        <v>COUT-M.O CONCES. -BODY</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2888</v>
      </c>
      <c r="D953" s="706" t="s">
        <v>2889</v>
      </c>
      <c r="E953" s="706" t="s">
        <v>333</v>
      </c>
      <c r="F953" s="706" t="s">
        <v>1152</v>
      </c>
      <c r="G953" s="706">
        <v>0</v>
      </c>
      <c r="H953" s="706">
        <v>0</v>
      </c>
      <c r="I953" s="706">
        <v>0</v>
      </c>
      <c r="J953" s="706">
        <v>0</v>
      </c>
      <c r="K953" s="706">
        <v>236.84</v>
      </c>
      <c r="L953" s="706">
        <v>934.73</v>
      </c>
      <c r="M953" s="706">
        <v>1847.09</v>
      </c>
      <c r="N953" s="706">
        <v>1902.53</v>
      </c>
      <c r="O953" s="706">
        <v>1902.53</v>
      </c>
      <c r="P953" s="706">
        <v>0</v>
      </c>
      <c r="Q953" s="706">
        <v>0</v>
      </c>
      <c r="R953" s="706">
        <v>0</v>
      </c>
      <c r="S953" s="706">
        <v>237.82</v>
      </c>
      <c r="T953" s="706">
        <v>237.82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G67110</v>
      </c>
      <c r="AK953" s="905" t="str">
        <f t="shared" si="93"/>
        <v>COUT - M.O MEC CLT BODY</v>
      </c>
      <c r="AL953" s="905">
        <f>IFERROR(INDEX(G953:R953,1,MATCH(Parametres!$B$3,G$1:R$1,0)-1)*IF(OR(F953="L",F953="S",F953="I"),-1,1),"")</f>
        <v>1847.09</v>
      </c>
      <c r="AM953" s="905">
        <f t="shared" si="94"/>
        <v>55.440000000000055</v>
      </c>
      <c r="AN953" s="905">
        <f>INDEX(G953:R953,1,MATCH(Parametres!$B$3,G$1:R$1,0))*IF(OR(F953="L",F953="S",F953="I"),-1,1)</f>
        <v>1902.53</v>
      </c>
      <c r="AO953" s="487" t="str">
        <f>+VLOOKUP($AJ953,Data_Validation!$A:$D,1,0)</f>
        <v>G67110</v>
      </c>
      <c r="AP953" s="487" t="str">
        <f>+VLOOKUP($AJ953,Data_Validation!$A:$D,3,0)</f>
        <v>Carrosserie</v>
      </c>
      <c r="AQ953" s="487" t="str">
        <f>+VLOOKUP($AJ953,Data_Validation!$A:$D,4,0)</f>
        <v>Carrosserie Clients</v>
      </c>
      <c r="AR953" s="487" t="s">
        <v>299</v>
      </c>
      <c r="AS953" s="487">
        <f>+VLOOKUP($AJ953,Data_Validation!$A:$E,5,0)</f>
        <v>0</v>
      </c>
      <c r="AT953" s="904" t="str">
        <f t="shared" si="95"/>
        <v>G67110</v>
      </c>
      <c r="AU953" s="488" t="str">
        <f t="shared" si="96"/>
        <v>COUT - M.O MEC CLT BODY</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2890</v>
      </c>
      <c r="D954" s="706" t="s">
        <v>2891</v>
      </c>
      <c r="E954" s="706" t="s">
        <v>333</v>
      </c>
      <c r="F954" s="706" t="s">
        <v>1152</v>
      </c>
      <c r="G954" s="706">
        <v>0</v>
      </c>
      <c r="H954" s="706">
        <v>0</v>
      </c>
      <c r="I954" s="706">
        <v>0</v>
      </c>
      <c r="J954" s="706">
        <v>0</v>
      </c>
      <c r="K954" s="706">
        <v>9.7100000000000009</v>
      </c>
      <c r="L954" s="706">
        <v>9.7100000000000009</v>
      </c>
      <c r="M954" s="706">
        <v>9.7100000000000009</v>
      </c>
      <c r="N954" s="706">
        <v>9.7100000000000009</v>
      </c>
      <c r="O954" s="706">
        <v>9.7100000000000009</v>
      </c>
      <c r="P954" s="706">
        <v>0</v>
      </c>
      <c r="Q954" s="706">
        <v>0</v>
      </c>
      <c r="R954" s="706">
        <v>0</v>
      </c>
      <c r="S954" s="706">
        <v>1.21</v>
      </c>
      <c r="T954" s="706">
        <v>1.21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G67115</v>
      </c>
      <c r="AK954" s="905" t="str">
        <f t="shared" si="93"/>
        <v>COUT -M.O CONCES MEC-BODY</v>
      </c>
      <c r="AL954" s="905">
        <f>IFERROR(INDEX(G954:R954,1,MATCH(Parametres!$B$3,G$1:R$1,0)-1)*IF(OR(F954="L",F954="S",F954="I"),-1,1),"")</f>
        <v>9.7100000000000009</v>
      </c>
      <c r="AM954" s="905">
        <f t="shared" si="94"/>
        <v>0</v>
      </c>
      <c r="AN954" s="905">
        <f>INDEX(G954:R954,1,MATCH(Parametres!$B$3,G$1:R$1,0))*IF(OR(F954="L",F954="S",F954="I"),-1,1)</f>
        <v>9.7100000000000009</v>
      </c>
      <c r="AO954" s="487" t="str">
        <f>+VLOOKUP($AJ954,Data_Validation!$A:$D,1,0)</f>
        <v>G67115</v>
      </c>
      <c r="AP954" s="487" t="str">
        <f>+VLOOKUP($AJ954,Data_Validation!$A:$D,3,0)</f>
        <v>Carrosserie</v>
      </c>
      <c r="AQ954" s="487" t="str">
        <f>+VLOOKUP($AJ954,Data_Validation!$A:$D,4,0)</f>
        <v>Carrosserie Concessions</v>
      </c>
      <c r="AR954" s="487" t="s">
        <v>299</v>
      </c>
      <c r="AS954" s="487">
        <f>+VLOOKUP($AJ954,Data_Validation!$A:$E,5,0)</f>
        <v>0</v>
      </c>
      <c r="AT954" s="904" t="str">
        <f t="shared" si="95"/>
        <v>G67115</v>
      </c>
      <c r="AU954" s="488" t="str">
        <f t="shared" si="96"/>
        <v>COUT -M.O CONCES MEC-BODY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2892</v>
      </c>
      <c r="D955" s="706" t="s">
        <v>2893</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G67125</v>
      </c>
      <c r="AK955" s="905" t="str">
        <f t="shared" si="93"/>
        <v>**RISTOURNE M.O CONC.BODY</v>
      </c>
      <c r="AL955" s="905">
        <f>IFERROR(INDEX(G955:R955,1,MATCH(Parametres!$B$3,G$1:R$1,0)-1)*IF(OR(F955="L",F955="S",F955="I"),-1,1),"")</f>
        <v>0</v>
      </c>
      <c r="AM955" s="905">
        <f t="shared" si="94"/>
        <v>0</v>
      </c>
      <c r="AN955" s="905">
        <f>INDEX(G955:R955,1,MATCH(Parametres!$B$3,G$1:R$1,0))*IF(OR(F955="L",F955="S",F955="I"),-1,1)</f>
        <v>0</v>
      </c>
      <c r="AO955" s="487" t="str">
        <f>+VLOOKUP($AJ955,Data_Validation!$A:$D,1,0)</f>
        <v>G67125</v>
      </c>
      <c r="AP955" s="487" t="str">
        <f>+VLOOKUP($AJ955,Data_Validation!$A:$D,3,0)</f>
        <v>Carrosserie</v>
      </c>
      <c r="AQ955" s="487" t="str">
        <f>+VLOOKUP($AJ955,Data_Validation!$A:$D,4,0)</f>
        <v>Carrosserie Concessions</v>
      </c>
      <c r="AR955" s="487" t="s">
        <v>299</v>
      </c>
      <c r="AS955" s="487">
        <f>+VLOOKUP($AJ955,Data_Validation!$A:$E,5,0)</f>
        <v>0</v>
      </c>
      <c r="AT955" s="904" t="str">
        <f t="shared" si="95"/>
        <v>G67125</v>
      </c>
      <c r="AU955" s="488" t="str">
        <f t="shared" si="96"/>
        <v>**RISTOURNE M.O CONC.BODY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hidden="1" customHeight="1">
      <c r="A956" s="706" t="s">
        <v>1148</v>
      </c>
      <c r="B956" s="706">
        <v>2026</v>
      </c>
      <c r="C956" s="706" t="s">
        <v>2894</v>
      </c>
      <c r="D956" s="706" t="s">
        <v>2895</v>
      </c>
      <c r="E956" s="706" t="s">
        <v>333</v>
      </c>
      <c r="F956" s="706" t="s">
        <v>1152</v>
      </c>
      <c r="G956" s="706">
        <v>145.79</v>
      </c>
      <c r="H956" s="706">
        <v>145.79</v>
      </c>
      <c r="I956" s="706">
        <v>145.79</v>
      </c>
      <c r="J956" s="706">
        <v>277.94</v>
      </c>
      <c r="K956" s="706">
        <v>277.94</v>
      </c>
      <c r="L956" s="706">
        <v>277.94</v>
      </c>
      <c r="M956" s="706">
        <v>277.94</v>
      </c>
      <c r="N956" s="706">
        <v>559.96</v>
      </c>
      <c r="O956" s="706">
        <v>559.96</v>
      </c>
      <c r="P956" s="706">
        <v>0</v>
      </c>
      <c r="Q956" s="706">
        <v>0</v>
      </c>
      <c r="R956" s="706">
        <v>0</v>
      </c>
      <c r="S956" s="706">
        <v>70</v>
      </c>
      <c r="T956" s="706">
        <v>70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G67200</v>
      </c>
      <c r="AK956" s="905" t="str">
        <f t="shared" si="93"/>
        <v>COUT-M.D. B.CLAIM</v>
      </c>
      <c r="AL956" s="905">
        <f>IFERROR(INDEX(G956:R956,1,MATCH(Parametres!$B$3,G$1:R$1,0)-1)*IF(OR(F956="L",F956="S",F956="I"),-1,1),"")</f>
        <v>277.94</v>
      </c>
      <c r="AM956" s="905">
        <f t="shared" si="94"/>
        <v>282.02000000000004</v>
      </c>
      <c r="AN956" s="905">
        <f>INDEX(G956:R956,1,MATCH(Parametres!$B$3,G$1:R$1,0))*IF(OR(F956="L",F956="S",F956="I"),-1,1)</f>
        <v>559.96</v>
      </c>
      <c r="AO956" s="487" t="str">
        <f>+VLOOKUP($AJ956,Data_Validation!$A:$D,1,0)</f>
        <v>G67200</v>
      </c>
      <c r="AP956" s="487" t="str">
        <f>+VLOOKUP($AJ956,Data_Validation!$A:$D,3,0)</f>
        <v>Carrosserie</v>
      </c>
      <c r="AQ956" s="487" t="str">
        <f>+VLOOKUP($AJ956,Data_Validation!$A:$D,4,0)</f>
        <v>Carrosserie Interne</v>
      </c>
      <c r="AR956" s="487" t="s">
        <v>299</v>
      </c>
      <c r="AS956" s="487">
        <f>+VLOOKUP($AJ956,Data_Validation!$A:$E,5,0)</f>
        <v>0</v>
      </c>
      <c r="AT956" s="904" t="str">
        <f t="shared" si="95"/>
        <v>G67200</v>
      </c>
      <c r="AU956" s="488" t="str">
        <f t="shared" si="96"/>
        <v>COUT-M.D. B.CLAIM</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hidden="1" customHeight="1">
      <c r="A957" s="706" t="s">
        <v>1148</v>
      </c>
      <c r="B957" s="706">
        <v>2026</v>
      </c>
      <c r="C957" s="706" t="s">
        <v>2896</v>
      </c>
      <c r="D957" s="706" t="s">
        <v>2897</v>
      </c>
      <c r="E957" s="706" t="s">
        <v>333</v>
      </c>
      <c r="F957" s="706" t="s">
        <v>1152</v>
      </c>
      <c r="G957" s="706">
        <v>1978.84</v>
      </c>
      <c r="H957" s="706">
        <v>6111.77</v>
      </c>
      <c r="I957" s="706">
        <v>10074.299999999999</v>
      </c>
      <c r="J957" s="706">
        <v>13220.18</v>
      </c>
      <c r="K957" s="706">
        <v>16185.95</v>
      </c>
      <c r="L957" s="706">
        <v>18157.95</v>
      </c>
      <c r="M957" s="706">
        <v>21697.4</v>
      </c>
      <c r="N957" s="706">
        <v>23010.21</v>
      </c>
      <c r="O957" s="706">
        <v>24517.919999999998</v>
      </c>
      <c r="P957" s="706">
        <v>0</v>
      </c>
      <c r="Q957" s="706">
        <v>0</v>
      </c>
      <c r="R957" s="706">
        <v>0</v>
      </c>
      <c r="S957" s="706">
        <v>2876.28</v>
      </c>
      <c r="T957" s="706">
        <v>2876.28</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G67300</v>
      </c>
      <c r="AK957" s="905" t="str">
        <f t="shared" si="93"/>
        <v>COUT-M.D. BODY INT.</v>
      </c>
      <c r="AL957" s="905">
        <f>IFERROR(INDEX(G957:R957,1,MATCH(Parametres!$B$3,G$1:R$1,0)-1)*IF(OR(F957="L",F957="S",F957="I"),-1,1),"")</f>
        <v>21697.4</v>
      </c>
      <c r="AM957" s="905">
        <f t="shared" si="94"/>
        <v>1312.8099999999977</v>
      </c>
      <c r="AN957" s="905">
        <f>INDEX(G957:R957,1,MATCH(Parametres!$B$3,G$1:R$1,0))*IF(OR(F957="L",F957="S",F957="I"),-1,1)</f>
        <v>23010.21</v>
      </c>
      <c r="AO957" s="487" t="str">
        <f>+VLOOKUP($AJ957,Data_Validation!$A:$D,1,0)</f>
        <v>G67300</v>
      </c>
      <c r="AP957" s="487" t="str">
        <f>+VLOOKUP($AJ957,Data_Validation!$A:$D,3,0)</f>
        <v>Carrosserie</v>
      </c>
      <c r="AQ957" s="487" t="str">
        <f>+VLOOKUP($AJ957,Data_Validation!$A:$D,4,0)</f>
        <v>Carrosserie Interne</v>
      </c>
      <c r="AR957" s="487" t="s">
        <v>299</v>
      </c>
      <c r="AS957" s="487">
        <f>+VLOOKUP($AJ957,Data_Validation!$A:$E,5,0)</f>
        <v>0</v>
      </c>
      <c r="AT957" s="904" t="str">
        <f t="shared" si="95"/>
        <v>G67300</v>
      </c>
      <c r="AU957" s="488" t="str">
        <f t="shared" si="96"/>
        <v>COUT-M.D. BODY INT.</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hidden="1" customHeight="1">
      <c r="A958" s="706" t="s">
        <v>1148</v>
      </c>
      <c r="B958" s="706">
        <v>2026</v>
      </c>
      <c r="C958" s="706" t="s">
        <v>2898</v>
      </c>
      <c r="D958" s="706" t="s">
        <v>2899</v>
      </c>
      <c r="E958" s="706" t="s">
        <v>333</v>
      </c>
      <c r="F958" s="706" t="s">
        <v>1152</v>
      </c>
      <c r="G958" s="706">
        <v>0</v>
      </c>
      <c r="H958" s="706">
        <v>0</v>
      </c>
      <c r="I958" s="706">
        <v>0</v>
      </c>
      <c r="J958" s="706">
        <v>0</v>
      </c>
      <c r="K958" s="706">
        <v>246.26</v>
      </c>
      <c r="L958" s="706">
        <v>663.68</v>
      </c>
      <c r="M958" s="706">
        <v>1026.49</v>
      </c>
      <c r="N958" s="706">
        <v>1212.67</v>
      </c>
      <c r="O958" s="706">
        <v>1407.87</v>
      </c>
      <c r="P958" s="706">
        <v>0</v>
      </c>
      <c r="Q958" s="706">
        <v>0</v>
      </c>
      <c r="R958" s="706">
        <v>0</v>
      </c>
      <c r="S958" s="706">
        <v>151.58000000000001</v>
      </c>
      <c r="T958" s="706">
        <v>151.58000000000001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G67303</v>
      </c>
      <c r="AK958" s="905" t="str">
        <f t="shared" si="93"/>
        <v>COUT-M.D. PEINTURE INT.</v>
      </c>
      <c r="AL958" s="905">
        <f>IFERROR(INDEX(G958:R958,1,MATCH(Parametres!$B$3,G$1:R$1,0)-1)*IF(OR(F958="L",F958="S",F958="I"),-1,1),"")</f>
        <v>1026.49</v>
      </c>
      <c r="AM958" s="905">
        <f t="shared" si="94"/>
        <v>186.18000000000006</v>
      </c>
      <c r="AN958" s="905">
        <f>INDEX(G958:R958,1,MATCH(Parametres!$B$3,G$1:R$1,0))*IF(OR(F958="L",F958="S",F958="I"),-1,1)</f>
        <v>1212.67</v>
      </c>
      <c r="AO958" s="487" t="str">
        <f>+VLOOKUP($AJ958,Data_Validation!$A:$D,1,0)</f>
        <v>G67303</v>
      </c>
      <c r="AP958" s="487" t="str">
        <f>+VLOOKUP($AJ958,Data_Validation!$A:$D,3,0)</f>
        <v>Carrosserie</v>
      </c>
      <c r="AQ958" s="487" t="str">
        <f>+VLOOKUP($AJ958,Data_Validation!$A:$D,4,0)</f>
        <v>Carrosserie Interne</v>
      </c>
      <c r="AR958" s="487" t="s">
        <v>299</v>
      </c>
      <c r="AS958" s="487">
        <f>+VLOOKUP($AJ958,Data_Validation!$A:$E,5,0)</f>
        <v>0</v>
      </c>
      <c r="AT958" s="904" t="str">
        <f t="shared" si="95"/>
        <v>G67303</v>
      </c>
      <c r="AU958" s="488" t="str">
        <f t="shared" si="96"/>
        <v>COUT-M.D. PEINTURE INT.</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hidden="1" customHeight="1">
      <c r="A959" s="706" t="s">
        <v>1148</v>
      </c>
      <c r="B959" s="706">
        <v>2026</v>
      </c>
      <c r="C959" s="706" t="s">
        <v>2900</v>
      </c>
      <c r="D959" s="706" t="s">
        <v>2901</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G67313</v>
      </c>
      <c r="AK959" s="905" t="str">
        <f t="shared" si="93"/>
        <v>COUT -M.O MEC INTERN-BODY</v>
      </c>
      <c r="AL959" s="905">
        <f>IFERROR(INDEX(G959:R959,1,MATCH(Parametres!$B$3,G$1:R$1,0)-1)*IF(OR(F959="L",F959="S",F959="I"),-1,1),"")</f>
        <v>0</v>
      </c>
      <c r="AM959" s="905">
        <f t="shared" si="94"/>
        <v>0</v>
      </c>
      <c r="AN959" s="905">
        <f>INDEX(G959:R959,1,MATCH(Parametres!$B$3,G$1:R$1,0))*IF(OR(F959="L",F959="S",F959="I"),-1,1)</f>
        <v>0</v>
      </c>
      <c r="AO959" s="487" t="str">
        <f>+VLOOKUP($AJ959,Data_Validation!$A:$D,1,0)</f>
        <v>G67313</v>
      </c>
      <c r="AP959" s="487" t="str">
        <f>+VLOOKUP($AJ959,Data_Validation!$A:$D,3,0)</f>
        <v>Carrosserie</v>
      </c>
      <c r="AQ959" s="487" t="str">
        <f>+VLOOKUP($AJ959,Data_Validation!$A:$D,4,0)</f>
        <v>Carrosserie Interne</v>
      </c>
      <c r="AR959" s="487" t="s">
        <v>299</v>
      </c>
      <c r="AS959" s="487">
        <f>+VLOOKUP($AJ959,Data_Validation!$A:$E,5,0)</f>
        <v>0</v>
      </c>
      <c r="AT959" s="904" t="str">
        <f t="shared" si="95"/>
        <v>G67313</v>
      </c>
      <c r="AU959" s="488" t="str">
        <f t="shared" si="96"/>
        <v>COUT -M.O MEC INTERN-BODY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2902</v>
      </c>
      <c r="D960" s="706" t="s">
        <v>2903</v>
      </c>
      <c r="E960" s="706" t="s">
        <v>333</v>
      </c>
      <c r="F960" s="706" t="s">
        <v>1152</v>
      </c>
      <c r="G960" s="706">
        <v>-2076.17</v>
      </c>
      <c r="H960" s="706">
        <v>1683.98</v>
      </c>
      <c r="I960" s="706">
        <v>6440.11</v>
      </c>
      <c r="J960" s="706">
        <v>10406.6</v>
      </c>
      <c r="K960" s="706">
        <v>13512.44</v>
      </c>
      <c r="L960" s="706">
        <v>14653.47</v>
      </c>
      <c r="M960" s="706">
        <v>15667.64</v>
      </c>
      <c r="N960" s="706">
        <v>15667.64</v>
      </c>
      <c r="O960" s="706">
        <v>15667.64</v>
      </c>
      <c r="P960" s="706">
        <v>0</v>
      </c>
      <c r="Q960" s="706">
        <v>0</v>
      </c>
      <c r="R960" s="706">
        <v>0</v>
      </c>
      <c r="S960" s="706">
        <v>1958.46</v>
      </c>
      <c r="T960" s="706">
        <v>1958.46</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G67500</v>
      </c>
      <c r="AK960" s="905" t="str">
        <f t="shared" si="93"/>
        <v>TEMPS PERDU CARROSSERIE</v>
      </c>
      <c r="AL960" s="905">
        <f>IFERROR(INDEX(G960:R960,1,MATCH(Parametres!$B$3,G$1:R$1,0)-1)*IF(OR(F960="L",F960="S",F960="I"),-1,1),"")</f>
        <v>15667.64</v>
      </c>
      <c r="AM960" s="905">
        <f t="shared" si="94"/>
        <v>0</v>
      </c>
      <c r="AN960" s="905">
        <f>INDEX(G960:R960,1,MATCH(Parametres!$B$3,G$1:R$1,0))*IF(OR(F960="L",F960="S",F960="I"),-1,1)</f>
        <v>15667.64</v>
      </c>
      <c r="AO960" s="487" t="str">
        <f>+VLOOKUP($AJ960,Data_Validation!$A:$D,1,0)</f>
        <v>G67500</v>
      </c>
      <c r="AP960" s="487" t="str">
        <f>+VLOOKUP($AJ960,Data_Validation!$A:$D,3,0)</f>
        <v>Carrosserie</v>
      </c>
      <c r="AQ960" s="487" t="str">
        <f>+VLOOKUP($AJ960,Data_Validation!$A:$D,4,0)</f>
        <v>Ajustement M/O Carrosserie</v>
      </c>
      <c r="AR960" s="487" t="s">
        <v>299</v>
      </c>
      <c r="AS960" s="487">
        <f>+VLOOKUP($AJ960,Data_Validation!$A:$E,5,0)</f>
        <v>0</v>
      </c>
      <c r="AT960" s="904" t="str">
        <f t="shared" si="95"/>
        <v>G67500</v>
      </c>
      <c r="AU960" s="488" t="str">
        <f t="shared" si="96"/>
        <v>TEMPS PERDU CARROSSERIE</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2904</v>
      </c>
      <c r="D961" s="706" t="s">
        <v>2905</v>
      </c>
      <c r="E961" s="706" t="s">
        <v>333</v>
      </c>
      <c r="F961" s="706" t="s">
        <v>1152</v>
      </c>
      <c r="G961" s="706">
        <v>72114.69</v>
      </c>
      <c r="H961" s="706">
        <v>142583.76</v>
      </c>
      <c r="I961" s="706">
        <v>197462.96</v>
      </c>
      <c r="J961" s="706">
        <v>229534.23</v>
      </c>
      <c r="K961" s="706">
        <v>255722.15</v>
      </c>
      <c r="L961" s="706">
        <v>293738.59000000003</v>
      </c>
      <c r="M961" s="706">
        <v>329272.23</v>
      </c>
      <c r="N961" s="706">
        <v>360496.79</v>
      </c>
      <c r="O961" s="706">
        <v>362863.08</v>
      </c>
      <c r="P961" s="706">
        <v>0</v>
      </c>
      <c r="Q961" s="706">
        <v>0</v>
      </c>
      <c r="R961" s="706">
        <v>0</v>
      </c>
      <c r="S961" s="706">
        <v>45062.1</v>
      </c>
      <c r="T961" s="706">
        <v>45062.1</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G67600</v>
      </c>
      <c r="AK961" s="905" t="str">
        <f t="shared" si="93"/>
        <v>COUT-REP.SOUS-TRAIT.BODY</v>
      </c>
      <c r="AL961" s="905">
        <f>IFERROR(INDEX(G961:R961,1,MATCH(Parametres!$B$3,G$1:R$1,0)-1)*IF(OR(F961="L",F961="S",F961="I"),-1,1),"")</f>
        <v>329272.23</v>
      </c>
      <c r="AM961" s="905">
        <f t="shared" si="94"/>
        <v>31224.559999999998</v>
      </c>
      <c r="AN961" s="905">
        <f>INDEX(G961:R961,1,MATCH(Parametres!$B$3,G$1:R$1,0))*IF(OR(F961="L",F961="S",F961="I"),-1,1)</f>
        <v>360496.79</v>
      </c>
      <c r="AO961" s="487" t="str">
        <f>+VLOOKUP($AJ961,Data_Validation!$A:$D,1,0)</f>
        <v>G67600</v>
      </c>
      <c r="AP961" s="487" t="str">
        <f>+VLOOKUP($AJ961,Data_Validation!$A:$D,3,0)</f>
        <v>Carrosserie</v>
      </c>
      <c r="AQ961" s="487" t="str">
        <f>+VLOOKUP($AJ961,Data_Validation!$A:$D,4,0)</f>
        <v>Carrosserie Clients</v>
      </c>
      <c r="AR961" s="487" t="s">
        <v>299</v>
      </c>
      <c r="AS961" s="487">
        <f>+VLOOKUP($AJ961,Data_Validation!$A:$E,5,0)</f>
        <v>0</v>
      </c>
      <c r="AT961" s="904" t="str">
        <f t="shared" si="95"/>
        <v>G67600</v>
      </c>
      <c r="AU961" s="488" t="str">
        <f t="shared" si="96"/>
        <v>COUT-REP.SOUS-TRAIT.BODY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hidden="1" customHeight="1">
      <c r="A962" s="706" t="s">
        <v>1148</v>
      </c>
      <c r="B962" s="706">
        <v>2026</v>
      </c>
      <c r="C962" s="706" t="s">
        <v>2906</v>
      </c>
      <c r="D962" s="706" t="s">
        <v>2907</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G67603</v>
      </c>
      <c r="AK962" s="905" t="str">
        <f t="shared" si="93"/>
        <v>COUT - S.T. INTERN-BODY</v>
      </c>
      <c r="AL962" s="905">
        <f>IFERROR(INDEX(G962:R962,1,MATCH(Parametres!$B$3,G$1:R$1,0)-1)*IF(OR(F962="L",F962="S",F962="I"),-1,1),"")</f>
        <v>0</v>
      </c>
      <c r="AM962" s="905">
        <f t="shared" si="94"/>
        <v>0</v>
      </c>
      <c r="AN962" s="905">
        <f>INDEX(G962:R962,1,MATCH(Parametres!$B$3,G$1:R$1,0))*IF(OR(F962="L",F962="S",F962="I"),-1,1)</f>
        <v>0</v>
      </c>
      <c r="AO962" s="487" t="str">
        <f>+VLOOKUP($AJ962,Data_Validation!$A:$D,1,0)</f>
        <v>G67603</v>
      </c>
      <c r="AP962" s="487" t="str">
        <f>+VLOOKUP($AJ962,Data_Validation!$A:$D,3,0)</f>
        <v>Carrosserie</v>
      </c>
      <c r="AQ962" s="487" t="str">
        <f>+VLOOKUP($AJ962,Data_Validation!$A:$D,4,0)</f>
        <v>Carrosserie Interne</v>
      </c>
      <c r="AR962" s="487" t="s">
        <v>299</v>
      </c>
      <c r="AS962" s="487">
        <f>+VLOOKUP($AJ962,Data_Validation!$A:$E,5,0)</f>
        <v>0</v>
      </c>
      <c r="AT962" s="904" t="str">
        <f t="shared" si="95"/>
        <v>G67603</v>
      </c>
      <c r="AU962" s="488" t="str">
        <f t="shared" si="96"/>
        <v>COUT - S.T. INTERN-BODY</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hidden="1" customHeight="1">
      <c r="A963" s="706" t="s">
        <v>1148</v>
      </c>
      <c r="B963" s="706">
        <v>2026</v>
      </c>
      <c r="C963" s="706" t="s">
        <v>2908</v>
      </c>
      <c r="D963" s="706" t="s">
        <v>2909</v>
      </c>
      <c r="E963" s="706" t="s">
        <v>333</v>
      </c>
      <c r="F963" s="706" t="s">
        <v>1152</v>
      </c>
      <c r="G963" s="706">
        <v>0</v>
      </c>
      <c r="H963" s="706">
        <v>0</v>
      </c>
      <c r="I963" s="706">
        <v>0</v>
      </c>
      <c r="J963" s="706">
        <v>0</v>
      </c>
      <c r="K963" s="706">
        <v>5087.09</v>
      </c>
      <c r="L963" s="706">
        <v>5357.09</v>
      </c>
      <c r="M963" s="706">
        <v>6017.09</v>
      </c>
      <c r="N963" s="706">
        <v>6182.09</v>
      </c>
      <c r="O963" s="706">
        <v>6347.09</v>
      </c>
      <c r="P963" s="706">
        <v>0</v>
      </c>
      <c r="Q963" s="706">
        <v>0</v>
      </c>
      <c r="R963" s="706">
        <v>0</v>
      </c>
      <c r="S963" s="706">
        <v>772.76</v>
      </c>
      <c r="T963" s="706">
        <v>772.76</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G67605</v>
      </c>
      <c r="AK963" s="905" t="str">
        <f t="shared" si="93"/>
        <v>COUT -S.T CONCES. BODY</v>
      </c>
      <c r="AL963" s="905">
        <f>IFERROR(INDEX(G963:R963,1,MATCH(Parametres!$B$3,G$1:R$1,0)-1)*IF(OR(F963="L",F963="S",F963="I"),-1,1),"")</f>
        <v>6017.09</v>
      </c>
      <c r="AM963" s="905">
        <f t="shared" si="94"/>
        <v>165</v>
      </c>
      <c r="AN963" s="905">
        <f>INDEX(G963:R963,1,MATCH(Parametres!$B$3,G$1:R$1,0))*IF(OR(F963="L",F963="S",F963="I"),-1,1)</f>
        <v>6182.09</v>
      </c>
      <c r="AO963" s="487" t="str">
        <f>+VLOOKUP($AJ963,Data_Validation!$A:$D,1,0)</f>
        <v>G67605</v>
      </c>
      <c r="AP963" s="487" t="str">
        <f>+VLOOKUP($AJ963,Data_Validation!$A:$D,3,0)</f>
        <v>Carrosserie</v>
      </c>
      <c r="AQ963" s="487" t="str">
        <f>+VLOOKUP($AJ963,Data_Validation!$A:$D,4,0)</f>
        <v>Carrosserie Concessions</v>
      </c>
      <c r="AR963" s="487" t="s">
        <v>299</v>
      </c>
      <c r="AS963" s="487">
        <f>+VLOOKUP($AJ963,Data_Validation!$A:$E,5,0)</f>
        <v>0</v>
      </c>
      <c r="AT963" s="904" t="str">
        <f t="shared" si="95"/>
        <v>G67605</v>
      </c>
      <c r="AU963" s="488" t="str">
        <f t="shared" si="96"/>
        <v>COUT -S.T CONCES. 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hidden="1" customHeight="1">
      <c r="A964" s="706" t="s">
        <v>1148</v>
      </c>
      <c r="B964" s="706">
        <v>2026</v>
      </c>
      <c r="C964" s="706" t="s">
        <v>2910</v>
      </c>
      <c r="D964" s="706" t="s">
        <v>2911</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G67610</v>
      </c>
      <c r="AK964" s="905" t="str">
        <f t="shared" si="93"/>
        <v>COUT-PCS.S-T BODY -CLIENT</v>
      </c>
      <c r="AL964" s="905">
        <f>IFERROR(INDEX(G964:R964,1,MATCH(Parametres!$B$3,G$1:R$1,0)-1)*IF(OR(F964="L",F964="S",F964="I"),-1,1),"")</f>
        <v>0</v>
      </c>
      <c r="AM964" s="905">
        <f t="shared" si="94"/>
        <v>0</v>
      </c>
      <c r="AN964" s="905">
        <f>INDEX(G964:R964,1,MATCH(Parametres!$B$3,G$1:R$1,0))*IF(OR(F964="L",F964="S",F964="I"),-1,1)</f>
        <v>0</v>
      </c>
      <c r="AO964" s="487" t="str">
        <f>+VLOOKUP($AJ964,Data_Validation!$A:$D,1,0)</f>
        <v>G67610</v>
      </c>
      <c r="AP964" s="487" t="str">
        <f>+VLOOKUP($AJ964,Data_Validation!$A:$D,3,0)</f>
        <v>Carrosserie</v>
      </c>
      <c r="AQ964" s="487" t="str">
        <f>+VLOOKUP($AJ964,Data_Validation!$A:$D,4,0)</f>
        <v>Carrosserie Clients</v>
      </c>
      <c r="AR964" s="487" t="s">
        <v>299</v>
      </c>
      <c r="AS964" s="487">
        <f>+VLOOKUP($AJ964,Data_Validation!$A:$E,5,0)</f>
        <v>0</v>
      </c>
      <c r="AT964" s="904" t="str">
        <f t="shared" si="95"/>
        <v>G67610</v>
      </c>
      <c r="AU964" s="488" t="str">
        <f t="shared" si="96"/>
        <v>COUT-PCS.S-T BODY -CLIENT</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2912</v>
      </c>
      <c r="D965" s="706" t="s">
        <v>2913</v>
      </c>
      <c r="E965" s="706" t="s">
        <v>333</v>
      </c>
      <c r="F965" s="706" t="s">
        <v>1152</v>
      </c>
      <c r="G965" s="706">
        <v>0</v>
      </c>
      <c r="H965" s="706">
        <v>0</v>
      </c>
      <c r="I965" s="706">
        <v>0</v>
      </c>
      <c r="J965" s="706">
        <v>0</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G67613</v>
      </c>
      <c r="AK965" s="905" t="str">
        <f t="shared" si="93"/>
        <v>COUT -PIECES INTERN -BODY</v>
      </c>
      <c r="AL965" s="905">
        <f>IFERROR(INDEX(G965:R965,1,MATCH(Parametres!$B$3,G$1:R$1,0)-1)*IF(OR(F965="L",F965="S",F965="I"),-1,1),"")</f>
        <v>0</v>
      </c>
      <c r="AM965" s="905">
        <f t="shared" si="94"/>
        <v>0</v>
      </c>
      <c r="AN965" s="905">
        <f>INDEX(G965:R965,1,MATCH(Parametres!$B$3,G$1:R$1,0))*IF(OR(F965="L",F965="S",F965="I"),-1,1)</f>
        <v>0</v>
      </c>
      <c r="AO965" s="487" t="str">
        <f>+VLOOKUP($AJ965,Data_Validation!$A:$D,1,0)</f>
        <v>G67613</v>
      </c>
      <c r="AP965" s="487" t="str">
        <f>+VLOOKUP($AJ965,Data_Validation!$A:$D,3,0)</f>
        <v>Carrosserie</v>
      </c>
      <c r="AQ965" s="487" t="str">
        <f>+VLOOKUP($AJ965,Data_Validation!$A:$D,4,0)</f>
        <v>Carrosserie Interne</v>
      </c>
      <c r="AR965" s="487" t="s">
        <v>299</v>
      </c>
      <c r="AS965" s="487">
        <f>+VLOOKUP($AJ965,Data_Validation!$A:$E,5,0)</f>
        <v>0</v>
      </c>
      <c r="AT965" s="904" t="str">
        <f t="shared" si="95"/>
        <v>G67613</v>
      </c>
      <c r="AU965" s="488" t="str">
        <f t="shared" si="96"/>
        <v>COUT -PIECES INTERN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2914</v>
      </c>
      <c r="D966" s="706" t="s">
        <v>2915</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G67615</v>
      </c>
      <c r="AK966" s="905" t="str">
        <f t="shared" si="93"/>
        <v>COUT - S-T PCS CONCES-BOD</v>
      </c>
      <c r="AL966" s="905">
        <f>IFERROR(INDEX(G966:R966,1,MATCH(Parametres!$B$3,G$1:R$1,0)-1)*IF(OR(F966="L",F966="S",F966="I"),-1,1),"")</f>
        <v>0</v>
      </c>
      <c r="AM966" s="905">
        <f t="shared" si="94"/>
        <v>0</v>
      </c>
      <c r="AN966" s="905">
        <f>INDEX(G966:R966,1,MATCH(Parametres!$B$3,G$1:R$1,0))*IF(OR(F966="L",F966="S",F966="I"),-1,1)</f>
        <v>0</v>
      </c>
      <c r="AO966" s="487" t="str">
        <f>+VLOOKUP($AJ966,Data_Validation!$A:$D,1,0)</f>
        <v>G67615</v>
      </c>
      <c r="AP966" s="487" t="str">
        <f>+VLOOKUP($AJ966,Data_Validation!$A:$D,3,0)</f>
        <v>Carrosserie</v>
      </c>
      <c r="AQ966" s="487" t="str">
        <f>+VLOOKUP($AJ966,Data_Validation!$A:$D,4,0)</f>
        <v>Carrosserie Concessions</v>
      </c>
      <c r="AR966" s="487" t="s">
        <v>299</v>
      </c>
      <c r="AS966" s="487">
        <f>+VLOOKUP($AJ966,Data_Validation!$A:$E,5,0)</f>
        <v>0</v>
      </c>
      <c r="AT966" s="904" t="str">
        <f t="shared" si="95"/>
        <v>G67615</v>
      </c>
      <c r="AU966" s="488" t="str">
        <f t="shared" si="96"/>
        <v>COUT - S-T PCS CONCES-BOD</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2916</v>
      </c>
      <c r="D967" s="706" t="s">
        <v>2917</v>
      </c>
      <c r="E967" s="706" t="s">
        <v>333</v>
      </c>
      <c r="F967" s="706" t="s">
        <v>1152</v>
      </c>
      <c r="G967" s="706">
        <v>0</v>
      </c>
      <c r="H967" s="706">
        <v>0</v>
      </c>
      <c r="I967" s="706">
        <v>0</v>
      </c>
      <c r="J967" s="706">
        <v>0</v>
      </c>
      <c r="K967" s="706">
        <v>0</v>
      </c>
      <c r="L967" s="706">
        <v>1486.33</v>
      </c>
      <c r="M967" s="706">
        <v>1486.33</v>
      </c>
      <c r="N967" s="706">
        <v>1486.33</v>
      </c>
      <c r="O967" s="706">
        <v>1486.33</v>
      </c>
      <c r="P967" s="706">
        <v>0</v>
      </c>
      <c r="Q967" s="706">
        <v>0</v>
      </c>
      <c r="R967" s="706">
        <v>0</v>
      </c>
      <c r="S967" s="706">
        <v>185.79</v>
      </c>
      <c r="T967" s="706">
        <v>185.79</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G67620</v>
      </c>
      <c r="AK967" s="905" t="str">
        <f t="shared" si="93"/>
        <v>COUT -LOC.COURTOIS - BODY</v>
      </c>
      <c r="AL967" s="905">
        <f>IFERROR(INDEX(G967:R967,1,MATCH(Parametres!$B$3,G$1:R$1,0)-1)*IF(OR(F967="L",F967="S",F967="I"),-1,1),"")</f>
        <v>1486.33</v>
      </c>
      <c r="AM967" s="905">
        <f t="shared" si="94"/>
        <v>0</v>
      </c>
      <c r="AN967" s="905">
        <f>INDEX(G967:R967,1,MATCH(Parametres!$B$3,G$1:R$1,0))*IF(OR(F967="L",F967="S",F967="I"),-1,1)</f>
        <v>1486.33</v>
      </c>
      <c r="AO967" s="487" t="str">
        <f>+VLOOKUP($AJ967,Data_Validation!$A:$D,1,0)</f>
        <v>G67620</v>
      </c>
      <c r="AP967" s="487" t="str">
        <f>+VLOOKUP($AJ967,Data_Validation!$A:$D,3,0)</f>
        <v>Carrosserie</v>
      </c>
      <c r="AQ967" s="487" t="str">
        <f>+VLOOKUP($AJ967,Data_Validation!$A:$D,4,0)</f>
        <v>Carrosserie Clients</v>
      </c>
      <c r="AR967" s="487" t="s">
        <v>299</v>
      </c>
      <c r="AS967" s="487">
        <f>+VLOOKUP($AJ967,Data_Validation!$A:$E,5,0)</f>
        <v>0</v>
      </c>
      <c r="AT967" s="904" t="str">
        <f t="shared" si="95"/>
        <v>G67620</v>
      </c>
      <c r="AU967" s="488" t="str">
        <f t="shared" si="96"/>
        <v>COUT -LOC.COURTOIS -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2918</v>
      </c>
      <c r="D968" s="706" t="s">
        <v>2919</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G67623</v>
      </c>
      <c r="AK968" s="905" t="str">
        <f t="shared" si="93"/>
        <v>COUT -LOC COURT INT-BODY</v>
      </c>
      <c r="AL968" s="905">
        <f>IFERROR(INDEX(G968:R968,1,MATCH(Parametres!$B$3,G$1:R$1,0)-1)*IF(OR(F968="L",F968="S",F968="I"),-1,1),"")</f>
        <v>0</v>
      </c>
      <c r="AM968" s="905">
        <f t="shared" si="94"/>
        <v>0</v>
      </c>
      <c r="AN968" s="905">
        <f>INDEX(G968:R968,1,MATCH(Parametres!$B$3,G$1:R$1,0))*IF(OR(F968="L",F968="S",F968="I"),-1,1)</f>
        <v>0</v>
      </c>
      <c r="AO968" s="487" t="str">
        <f>+VLOOKUP($AJ968,Data_Validation!$A:$D,1,0)</f>
        <v>G67623</v>
      </c>
      <c r="AP968" s="487">
        <f>+VLOOKUP($AJ968,Data_Validation!$A:$D,3,0)</f>
        <v>0</v>
      </c>
      <c r="AQ968" s="487">
        <f>+VLOOKUP($AJ968,Data_Validation!$A:$D,4,0)</f>
        <v>0</v>
      </c>
      <c r="AR968" s="487" t="s">
        <v>299</v>
      </c>
      <c r="AS968" s="487">
        <f>+VLOOKUP($AJ968,Data_Validation!$A:$E,5,0)</f>
        <v>0</v>
      </c>
      <c r="AT968" s="904" t="str">
        <f t="shared" si="95"/>
        <v>G67623</v>
      </c>
      <c r="AU968" s="488" t="str">
        <f t="shared" si="96"/>
        <v>COUT -LOC COURT INT-BODY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2920</v>
      </c>
      <c r="D969" s="706" t="s">
        <v>2921</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G67625</v>
      </c>
      <c r="AK969" s="905" t="str">
        <f t="shared" si="93"/>
        <v>COUT - LOC COURT CONCES B</v>
      </c>
      <c r="AL969" s="905">
        <f>IFERROR(INDEX(G969:R969,1,MATCH(Parametres!$B$3,G$1:R$1,0)-1)*IF(OR(F969="L",F969="S",F969="I"),-1,1),"")</f>
        <v>0</v>
      </c>
      <c r="AM969" s="905">
        <f t="shared" si="94"/>
        <v>0</v>
      </c>
      <c r="AN969" s="905">
        <f>INDEX(G969:R969,1,MATCH(Parametres!$B$3,G$1:R$1,0))*IF(OR(F969="L",F969="S",F969="I"),-1,1)</f>
        <v>0</v>
      </c>
      <c r="AO969" s="487" t="str">
        <f>+VLOOKUP($AJ969,Data_Validation!$A:$D,1,0)</f>
        <v>G67625</v>
      </c>
      <c r="AP969" s="487">
        <f>+VLOOKUP($AJ969,Data_Validation!$A:$D,3,0)</f>
        <v>0</v>
      </c>
      <c r="AQ969" s="487">
        <f>+VLOOKUP($AJ969,Data_Validation!$A:$D,4,0)</f>
        <v>0</v>
      </c>
      <c r="AR969" s="487" t="s">
        <v>299</v>
      </c>
      <c r="AS969" s="487">
        <f>+VLOOKUP($AJ969,Data_Validation!$A:$E,5,0)</f>
        <v>0</v>
      </c>
      <c r="AT969" s="904" t="str">
        <f t="shared" si="95"/>
        <v>G67625</v>
      </c>
      <c r="AU969" s="488" t="str">
        <f t="shared" si="96"/>
        <v>COUT - LOC COURT CONCES B</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2922</v>
      </c>
      <c r="D970" s="706" t="s">
        <v>2923</v>
      </c>
      <c r="E970" s="706" t="s">
        <v>333</v>
      </c>
      <c r="F970" s="706" t="s">
        <v>1152</v>
      </c>
      <c r="G970" s="706">
        <v>0</v>
      </c>
      <c r="H970" s="706">
        <v>0</v>
      </c>
      <c r="I970" s="706">
        <v>0</v>
      </c>
      <c r="J970" s="706">
        <v>0</v>
      </c>
      <c r="K970" s="706">
        <v>49.03</v>
      </c>
      <c r="L970" s="706">
        <v>49.03</v>
      </c>
      <c r="M970" s="706">
        <v>49.03</v>
      </c>
      <c r="N970" s="706">
        <v>49.03</v>
      </c>
      <c r="O970" s="706">
        <v>49.03</v>
      </c>
      <c r="P970" s="706">
        <v>0</v>
      </c>
      <c r="Q970" s="706">
        <v>0</v>
      </c>
      <c r="R970" s="706">
        <v>0</v>
      </c>
      <c r="S970" s="706">
        <v>6.13</v>
      </c>
      <c r="T970" s="706">
        <v>6.13</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G67700</v>
      </c>
      <c r="AK970" s="905" t="str">
        <f t="shared" si="93"/>
        <v>COUT P&amp;A CLIENT CARROSSER</v>
      </c>
      <c r="AL970" s="905">
        <f>IFERROR(INDEX(G970:R970,1,MATCH(Parametres!$B$3,G$1:R$1,0)-1)*IF(OR(F970="L",F970="S",F970="I"),-1,1),"")</f>
        <v>49.03</v>
      </c>
      <c r="AM970" s="905">
        <f t="shared" si="94"/>
        <v>0</v>
      </c>
      <c r="AN970" s="905">
        <f>INDEX(G970:R970,1,MATCH(Parametres!$B$3,G$1:R$1,0))*IF(OR(F970="L",F970="S",F970="I"),-1,1)</f>
        <v>49.03</v>
      </c>
      <c r="AO970" s="487" t="str">
        <f>+VLOOKUP($AJ970,Data_Validation!$A:$D,1,0)</f>
        <v>G67700</v>
      </c>
      <c r="AP970" s="487" t="str">
        <f>+VLOOKUP($AJ970,Data_Validation!$A:$D,3,0)</f>
        <v>Pièces</v>
      </c>
      <c r="AQ970" s="487" t="str">
        <f>+VLOOKUP($AJ970,Data_Validation!$A:$D,4,0)</f>
        <v>Pièces Ro Carrosserie</v>
      </c>
      <c r="AR970" s="487" t="s">
        <v>299</v>
      </c>
      <c r="AS970" s="487">
        <f>+VLOOKUP($AJ970,Data_Validation!$A:$E,5,0)</f>
        <v>0</v>
      </c>
      <c r="AT970" s="904" t="str">
        <f t="shared" si="95"/>
        <v>G67700</v>
      </c>
      <c r="AU970" s="488" t="str">
        <f t="shared" si="96"/>
        <v>COUT P&amp;A CLIENT CARROSSER</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2924</v>
      </c>
      <c r="D971" s="706" t="s">
        <v>2925</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G67800</v>
      </c>
      <c r="AK971" s="905" t="str">
        <f t="shared" si="93"/>
        <v>COUT-PCE BODY CLIENT CAM</v>
      </c>
      <c r="AL971" s="905">
        <f>IFERROR(INDEX(G971:R971,1,MATCH(Parametres!$B$3,G$1:R$1,0)-1)*IF(OR(F971="L",F971="S",F971="I"),-1,1),"")</f>
        <v>0</v>
      </c>
      <c r="AM971" s="905">
        <f t="shared" si="94"/>
        <v>0</v>
      </c>
      <c r="AN971" s="905">
        <f>INDEX(G971:R971,1,MATCH(Parametres!$B$3,G$1:R$1,0))*IF(OR(F971="L",F971="S",F971="I"),-1,1)</f>
        <v>0</v>
      </c>
      <c r="AO971" s="487" t="str">
        <f>+VLOOKUP($AJ971,Data_Validation!$A:$D,1,0)</f>
        <v>G67800</v>
      </c>
      <c r="AP971" s="487">
        <f>+VLOOKUP($AJ971,Data_Validation!$A:$D,3,0)</f>
        <v>0</v>
      </c>
      <c r="AQ971" s="487">
        <f>+VLOOKUP($AJ971,Data_Validation!$A:$D,4,0)</f>
        <v>0</v>
      </c>
      <c r="AR971" s="487" t="s">
        <v>299</v>
      </c>
      <c r="AS971" s="487">
        <f>+VLOOKUP($AJ971,Data_Validation!$A:$E,5,0)</f>
        <v>0</v>
      </c>
      <c r="AT971" s="904" t="str">
        <f t="shared" si="95"/>
        <v>G67800</v>
      </c>
      <c r="AU971" s="488" t="str">
        <f t="shared" si="96"/>
        <v>COUT-PCE BODY CLIENT CAM</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2926</v>
      </c>
      <c r="D972" s="706" t="s">
        <v>2927</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G67840</v>
      </c>
      <c r="AK972" s="905" t="str">
        <f t="shared" si="93"/>
        <v>COUT-P&amp;A GOODW CAM MOYEN</v>
      </c>
      <c r="AL972" s="905">
        <f>IFERROR(INDEX(G972:R972,1,MATCH(Parametres!$B$3,G$1:R$1,0)-1)*IF(OR(F972="L",F972="S",F972="I"),-1,1),"")</f>
        <v>0</v>
      </c>
      <c r="AM972" s="905">
        <f t="shared" si="94"/>
        <v>0</v>
      </c>
      <c r="AN972" s="905">
        <f>INDEX(G972:R972,1,MATCH(Parametres!$B$3,G$1:R$1,0))*IF(OR(F972="L",F972="S",F972="I"),-1,1)</f>
        <v>0</v>
      </c>
      <c r="AO972" s="487" t="e">
        <f>+VLOOKUP($AJ972,Data_Validation!$A:$D,1,0)</f>
        <v>#N/A</v>
      </c>
      <c r="AP972" s="487" t="e">
        <f>+VLOOKUP($AJ972,Data_Validation!$A:$D,3,0)</f>
        <v>#N/A</v>
      </c>
      <c r="AQ972" s="487" t="e">
        <f>+VLOOKUP($AJ972,Data_Validation!$A:$D,4,0)</f>
        <v>#N/A</v>
      </c>
      <c r="AR972" s="487" t="s">
        <v>299</v>
      </c>
      <c r="AS972" s="487" t="e">
        <f>+VLOOKUP($AJ972,Data_Validation!$A:$E,5,0)</f>
        <v>#N/A</v>
      </c>
      <c r="AT972" s="904" t="str">
        <f t="shared" si="95"/>
        <v>G67840</v>
      </c>
      <c r="AU972" s="488" t="str">
        <f t="shared" si="96"/>
        <v>COUT-P&amp;A GOODW CAM MOYEN</v>
      </c>
      <c r="AV972" s="899">
        <f>IFERROR(INDEX(V972:AG972,1,MATCH(Parametres!$B$3,V$1:AG$1,0)-1)*IF(OR(C972="L",C972="S",C972="I"),-1,1),"")</f>
        <v>0</v>
      </c>
      <c r="AW972" s="899">
        <f t="shared" si="97"/>
        <v>0</v>
      </c>
      <c r="AX972" s="899">
        <f>INDEX(V972:AG972,1,MATCH(Parametres!$B$3,V$1:AG$1,0))*IF(OR(C972="L",C972="S",C972="I"),-1,1)</f>
        <v>0</v>
      </c>
      <c r="AY972" s="487" t="s">
        <v>337</v>
      </c>
      <c r="AZ972" s="487" t="e">
        <f>+VLOOKUP($AJ972,Data_Validation!$A:$E,5,0)</f>
        <v>#N/A</v>
      </c>
    </row>
    <row r="973" spans="1:52" ht="15" hidden="1" customHeight="1">
      <c r="A973" s="706" t="s">
        <v>1148</v>
      </c>
      <c r="B973" s="706">
        <v>2026</v>
      </c>
      <c r="C973" s="706" t="s">
        <v>2928</v>
      </c>
      <c r="D973" s="706" t="s">
        <v>2929</v>
      </c>
      <c r="E973" s="706" t="s">
        <v>333</v>
      </c>
      <c r="F973" s="706" t="s">
        <v>1152</v>
      </c>
      <c r="G973" s="706">
        <v>14720.33</v>
      </c>
      <c r="H973" s="706">
        <v>34336.69</v>
      </c>
      <c r="I973" s="706">
        <v>49738.05</v>
      </c>
      <c r="J973" s="706">
        <v>81691.16</v>
      </c>
      <c r="K973" s="706">
        <v>88785.44</v>
      </c>
      <c r="L973" s="706">
        <v>95870.11</v>
      </c>
      <c r="M973" s="706">
        <v>102457.29</v>
      </c>
      <c r="N973" s="706">
        <v>108314.23</v>
      </c>
      <c r="O973" s="706">
        <v>108609.37</v>
      </c>
      <c r="P973" s="706">
        <v>0</v>
      </c>
      <c r="Q973" s="706">
        <v>0</v>
      </c>
      <c r="R973" s="706">
        <v>0</v>
      </c>
      <c r="S973" s="706">
        <v>13539.28</v>
      </c>
      <c r="T973" s="706">
        <v>13539.28</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G67900</v>
      </c>
      <c r="AK973" s="905" t="str">
        <f t="shared" si="93"/>
        <v>COUT-PEINTURE CARROSSERIE</v>
      </c>
      <c r="AL973" s="905">
        <f>IFERROR(INDEX(G973:R973,1,MATCH(Parametres!$B$3,G$1:R$1,0)-1)*IF(OR(F973="L",F973="S",F973="I"),-1,1),"")</f>
        <v>102457.29</v>
      </c>
      <c r="AM973" s="905">
        <f t="shared" si="94"/>
        <v>5856.9400000000023</v>
      </c>
      <c r="AN973" s="905">
        <f>INDEX(G973:R973,1,MATCH(Parametres!$B$3,G$1:R$1,0))*IF(OR(F973="L",F973="S",F973="I"),-1,1)</f>
        <v>108314.23</v>
      </c>
      <c r="AO973" s="487" t="str">
        <f>+VLOOKUP($AJ973,Data_Validation!$A:$D,1,0)</f>
        <v>G67900</v>
      </c>
      <c r="AP973" s="487" t="str">
        <f>+VLOOKUP($AJ973,Data_Validation!$A:$D,3,0)</f>
        <v>Carrosserie</v>
      </c>
      <c r="AQ973" s="487" t="str">
        <f>+VLOOKUP($AJ973,Data_Validation!$A:$D,4,0)</f>
        <v>Carrosserie Clients</v>
      </c>
      <c r="AR973" s="487" t="s">
        <v>299</v>
      </c>
      <c r="AS973" s="487">
        <f>+VLOOKUP($AJ973,Data_Validation!$A:$E,5,0)</f>
        <v>0</v>
      </c>
      <c r="AT973" s="904" t="str">
        <f t="shared" si="95"/>
        <v>G67900</v>
      </c>
      <c r="AU973" s="488" t="str">
        <f t="shared" si="96"/>
        <v>COUT-PEINTURE CARROSSERIE</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2930</v>
      </c>
      <c r="D974" s="706" t="s">
        <v>2931</v>
      </c>
      <c r="E974" s="706" t="s">
        <v>333</v>
      </c>
      <c r="F974" s="706" t="s">
        <v>1152</v>
      </c>
      <c r="G974" s="706">
        <v>0</v>
      </c>
      <c r="H974" s="706">
        <v>0</v>
      </c>
      <c r="I974" s="706">
        <v>0</v>
      </c>
      <c r="J974" s="706">
        <v>0</v>
      </c>
      <c r="K974" s="706">
        <v>144.72</v>
      </c>
      <c r="L974" s="706">
        <v>604.91</v>
      </c>
      <c r="M974" s="706">
        <v>1041.71</v>
      </c>
      <c r="N974" s="706">
        <v>2056.25</v>
      </c>
      <c r="O974" s="706">
        <v>2464.9</v>
      </c>
      <c r="P974" s="706">
        <v>0</v>
      </c>
      <c r="Q974" s="706">
        <v>0</v>
      </c>
      <c r="R974" s="706">
        <v>0</v>
      </c>
      <c r="S974" s="706">
        <v>257.02999999999997</v>
      </c>
      <c r="T974" s="706">
        <v>257.02999999999997</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G67903</v>
      </c>
      <c r="AK974" s="905" t="str">
        <f t="shared" si="93"/>
        <v>COUT - PEINT. INTERN-BODY</v>
      </c>
      <c r="AL974" s="905">
        <f>IFERROR(INDEX(G974:R974,1,MATCH(Parametres!$B$3,G$1:R$1,0)-1)*IF(OR(F974="L",F974="S",F974="I"),-1,1),"")</f>
        <v>1041.71</v>
      </c>
      <c r="AM974" s="905">
        <f t="shared" si="94"/>
        <v>1014.54</v>
      </c>
      <c r="AN974" s="905">
        <f>INDEX(G974:R974,1,MATCH(Parametres!$B$3,G$1:R$1,0))*IF(OR(F974="L",F974="S",F974="I"),-1,1)</f>
        <v>2056.25</v>
      </c>
      <c r="AO974" s="487" t="str">
        <f>+VLOOKUP($AJ974,Data_Validation!$A:$D,1,0)</f>
        <v>G67903</v>
      </c>
      <c r="AP974" s="487" t="str">
        <f>+VLOOKUP($AJ974,Data_Validation!$A:$D,3,0)</f>
        <v>Carrosserie</v>
      </c>
      <c r="AQ974" s="487" t="str">
        <f>+VLOOKUP($AJ974,Data_Validation!$A:$D,4,0)</f>
        <v>Carrosserie Interne</v>
      </c>
      <c r="AR974" s="487" t="s">
        <v>299</v>
      </c>
      <c r="AS974" s="487">
        <f>+VLOOKUP($AJ974,Data_Validation!$A:$E,5,0)</f>
        <v>0</v>
      </c>
      <c r="AT974" s="904" t="str">
        <f t="shared" si="95"/>
        <v>G67903</v>
      </c>
      <c r="AU974" s="488" t="str">
        <f t="shared" si="96"/>
        <v>COUT - PEINT. INTERN-BODY</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hidden="1" customHeight="1">
      <c r="A975" s="706" t="s">
        <v>1148</v>
      </c>
      <c r="B975" s="706">
        <v>2026</v>
      </c>
      <c r="C975" s="706" t="s">
        <v>2932</v>
      </c>
      <c r="D975" s="706" t="s">
        <v>2933</v>
      </c>
      <c r="E975" s="706" t="s">
        <v>333</v>
      </c>
      <c r="F975" s="706" t="s">
        <v>1152</v>
      </c>
      <c r="G975" s="706">
        <v>0</v>
      </c>
      <c r="H975" s="706">
        <v>0</v>
      </c>
      <c r="I975" s="706">
        <v>0</v>
      </c>
      <c r="J975" s="706">
        <v>0</v>
      </c>
      <c r="K975" s="706">
        <v>5172.5</v>
      </c>
      <c r="L975" s="706">
        <v>12665.99</v>
      </c>
      <c r="M975" s="706">
        <v>16965.189999999999</v>
      </c>
      <c r="N975" s="706">
        <v>20886.900000000001</v>
      </c>
      <c r="O975" s="706">
        <v>21231.62</v>
      </c>
      <c r="P975" s="706">
        <v>0</v>
      </c>
      <c r="Q975" s="706">
        <v>0</v>
      </c>
      <c r="R975" s="706">
        <v>0</v>
      </c>
      <c r="S975" s="706">
        <v>2610.86</v>
      </c>
      <c r="T975" s="706">
        <v>2610.86</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G67905</v>
      </c>
      <c r="AK975" s="905" t="str">
        <f t="shared" si="93"/>
        <v>COUT - PEINT CONC-BODY</v>
      </c>
      <c r="AL975" s="905">
        <f>IFERROR(INDEX(G975:R975,1,MATCH(Parametres!$B$3,G$1:R$1,0)-1)*IF(OR(F975="L",F975="S",F975="I"),-1,1),"")</f>
        <v>16965.189999999999</v>
      </c>
      <c r="AM975" s="905">
        <f t="shared" si="94"/>
        <v>3921.7100000000028</v>
      </c>
      <c r="AN975" s="905">
        <f>INDEX(G975:R975,1,MATCH(Parametres!$B$3,G$1:R$1,0))*IF(OR(F975="L",F975="S",F975="I"),-1,1)</f>
        <v>20886.900000000001</v>
      </c>
      <c r="AO975" s="487" t="str">
        <f>+VLOOKUP($AJ975,Data_Validation!$A:$D,1,0)</f>
        <v>G67905</v>
      </c>
      <c r="AP975" s="487" t="str">
        <f>+VLOOKUP($AJ975,Data_Validation!$A:$D,3,0)</f>
        <v>Carrosserie</v>
      </c>
      <c r="AQ975" s="487" t="str">
        <f>+VLOOKUP($AJ975,Data_Validation!$A:$D,4,0)</f>
        <v>Carrosserie Concessions</v>
      </c>
      <c r="AR975" s="487" t="s">
        <v>299</v>
      </c>
      <c r="AS975" s="487">
        <f>+VLOOKUP($AJ975,Data_Validation!$A:$E,5,0)</f>
        <v>0</v>
      </c>
      <c r="AT975" s="904" t="str">
        <f t="shared" si="95"/>
        <v>G67905</v>
      </c>
      <c r="AU975" s="488" t="str">
        <f t="shared" si="96"/>
        <v>COUT - PEINT CONC-BODY</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2934</v>
      </c>
      <c r="D976" s="706" t="s">
        <v>2935</v>
      </c>
      <c r="E976" s="706" t="s">
        <v>333</v>
      </c>
      <c r="F976" s="706" t="s">
        <v>1152</v>
      </c>
      <c r="G976" s="706">
        <v>0</v>
      </c>
      <c r="H976" s="706">
        <v>0</v>
      </c>
      <c r="I976" s="706">
        <v>0</v>
      </c>
      <c r="J976" s="706">
        <v>0</v>
      </c>
      <c r="K976" s="706">
        <v>2097.5500000000002</v>
      </c>
      <c r="L976" s="706">
        <v>7486.2</v>
      </c>
      <c r="M976" s="706">
        <v>10691.89</v>
      </c>
      <c r="N976" s="706">
        <v>13259.36</v>
      </c>
      <c r="O976" s="706">
        <v>13430.16</v>
      </c>
      <c r="P976" s="706">
        <v>0</v>
      </c>
      <c r="Q976" s="706">
        <v>0</v>
      </c>
      <c r="R976" s="706">
        <v>0</v>
      </c>
      <c r="S976" s="706">
        <v>1657.42</v>
      </c>
      <c r="T976" s="706">
        <v>1657.42</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G67910</v>
      </c>
      <c r="AK976" s="905" t="str">
        <f t="shared" si="93"/>
        <v>COUT -M-ATELIER CLT-BODY</v>
      </c>
      <c r="AL976" s="905">
        <f>IFERROR(INDEX(G976:R976,1,MATCH(Parametres!$B$3,G$1:R$1,0)-1)*IF(OR(F976="L",F976="S",F976="I"),-1,1),"")</f>
        <v>10691.89</v>
      </c>
      <c r="AM976" s="905">
        <f t="shared" si="94"/>
        <v>2567.4700000000012</v>
      </c>
      <c r="AN976" s="905">
        <f>INDEX(G976:R976,1,MATCH(Parametres!$B$3,G$1:R$1,0))*IF(OR(F976="L",F976="S",F976="I"),-1,1)</f>
        <v>13259.36</v>
      </c>
      <c r="AO976" s="487" t="str">
        <f>+VLOOKUP($AJ976,Data_Validation!$A:$D,1,0)</f>
        <v>G67910</v>
      </c>
      <c r="AP976" s="487" t="str">
        <f>+VLOOKUP($AJ976,Data_Validation!$A:$D,3,0)</f>
        <v>Carrosserie</v>
      </c>
      <c r="AQ976" s="487" t="str">
        <f>+VLOOKUP($AJ976,Data_Validation!$A:$D,4,0)</f>
        <v>Carrosserie Clients</v>
      </c>
      <c r="AR976" s="487" t="s">
        <v>299</v>
      </c>
      <c r="AS976" s="487">
        <f>+VLOOKUP($AJ976,Data_Validation!$A:$E,5,0)</f>
        <v>0</v>
      </c>
      <c r="AT976" s="904" t="str">
        <f t="shared" si="95"/>
        <v>G67910</v>
      </c>
      <c r="AU976" s="488" t="str">
        <f t="shared" si="96"/>
        <v>COUT -M-ATELIER CLT-BODY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2936</v>
      </c>
      <c r="D977" s="706" t="s">
        <v>2937</v>
      </c>
      <c r="E977" s="706" t="s">
        <v>333</v>
      </c>
      <c r="F977" s="706" t="s">
        <v>1152</v>
      </c>
      <c r="G977" s="706">
        <v>0</v>
      </c>
      <c r="H977" s="706">
        <v>0</v>
      </c>
      <c r="I977" s="706">
        <v>0</v>
      </c>
      <c r="J977" s="706">
        <v>0</v>
      </c>
      <c r="K977" s="706">
        <v>135.33000000000001</v>
      </c>
      <c r="L977" s="706">
        <v>430.08</v>
      </c>
      <c r="M977" s="706">
        <v>576.52</v>
      </c>
      <c r="N977" s="706">
        <v>1023.78</v>
      </c>
      <c r="O977" s="706">
        <v>1213.28</v>
      </c>
      <c r="P977" s="706">
        <v>0</v>
      </c>
      <c r="Q977" s="706">
        <v>0</v>
      </c>
      <c r="R977" s="706">
        <v>0</v>
      </c>
      <c r="S977" s="706">
        <v>127.97</v>
      </c>
      <c r="T977" s="706">
        <v>127.97</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G67913</v>
      </c>
      <c r="AK977" s="905" t="str">
        <f t="shared" si="93"/>
        <v>COUT -M. ATEL.INTERN-BODY</v>
      </c>
      <c r="AL977" s="905">
        <f>IFERROR(INDEX(G977:R977,1,MATCH(Parametres!$B$3,G$1:R$1,0)-1)*IF(OR(F977="L",F977="S",F977="I"),-1,1),"")</f>
        <v>576.52</v>
      </c>
      <c r="AM977" s="905">
        <f t="shared" si="94"/>
        <v>447.26</v>
      </c>
      <c r="AN977" s="905">
        <f>INDEX(G977:R977,1,MATCH(Parametres!$B$3,G$1:R$1,0))*IF(OR(F977="L",F977="S",F977="I"),-1,1)</f>
        <v>1023.78</v>
      </c>
      <c r="AO977" s="487" t="str">
        <f>+VLOOKUP($AJ977,Data_Validation!$A:$D,1,0)</f>
        <v>G67913</v>
      </c>
      <c r="AP977" s="487" t="str">
        <f>+VLOOKUP($AJ977,Data_Validation!$A:$D,3,0)</f>
        <v>Carrosserie</v>
      </c>
      <c r="AQ977" s="487" t="str">
        <f>+VLOOKUP($AJ977,Data_Validation!$A:$D,4,0)</f>
        <v>Carrosserie Interne</v>
      </c>
      <c r="AR977" s="487" t="s">
        <v>299</v>
      </c>
      <c r="AS977" s="487">
        <f>+VLOOKUP($AJ977,Data_Validation!$A:$E,5,0)</f>
        <v>0</v>
      </c>
      <c r="AT977" s="904" t="str">
        <f t="shared" si="95"/>
        <v>G67913</v>
      </c>
      <c r="AU977" s="488" t="str">
        <f t="shared" si="96"/>
        <v>COUT -M. ATEL.INTERN-BODY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2938</v>
      </c>
      <c r="D978" s="706" t="s">
        <v>2939</v>
      </c>
      <c r="E978" s="706" t="s">
        <v>333</v>
      </c>
      <c r="F978" s="706" t="s">
        <v>1152</v>
      </c>
      <c r="G978" s="706">
        <v>0</v>
      </c>
      <c r="H978" s="706">
        <v>0</v>
      </c>
      <c r="I978" s="706">
        <v>0</v>
      </c>
      <c r="J978" s="706">
        <v>0</v>
      </c>
      <c r="K978" s="706">
        <v>917.14</v>
      </c>
      <c r="L978" s="706">
        <v>4198.8900000000003</v>
      </c>
      <c r="M978" s="706">
        <v>5956.44</v>
      </c>
      <c r="N978" s="706">
        <v>7822.78</v>
      </c>
      <c r="O978" s="706">
        <v>7949.79</v>
      </c>
      <c r="P978" s="706">
        <v>0</v>
      </c>
      <c r="Q978" s="706">
        <v>0</v>
      </c>
      <c r="R978" s="706">
        <v>0</v>
      </c>
      <c r="S978" s="706">
        <v>977.85</v>
      </c>
      <c r="T978" s="706">
        <v>977.85</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G67915</v>
      </c>
      <c r="AK978" s="905" t="str">
        <f t="shared" si="93"/>
        <v>COUT -M.A CONCES. BODY</v>
      </c>
      <c r="AL978" s="905">
        <f>IFERROR(INDEX(G978:R978,1,MATCH(Parametres!$B$3,G$1:R$1,0)-1)*IF(OR(F978="L",F978="S",F978="I"),-1,1),"")</f>
        <v>5956.44</v>
      </c>
      <c r="AM978" s="905">
        <f t="shared" si="94"/>
        <v>1866.3400000000001</v>
      </c>
      <c r="AN978" s="905">
        <f>INDEX(G978:R978,1,MATCH(Parametres!$B$3,G$1:R$1,0))*IF(OR(F978="L",F978="S",F978="I"),-1,1)</f>
        <v>7822.78</v>
      </c>
      <c r="AO978" s="487" t="str">
        <f>+VLOOKUP($AJ978,Data_Validation!$A:$D,1,0)</f>
        <v>G67915</v>
      </c>
      <c r="AP978" s="487" t="str">
        <f>+VLOOKUP($AJ978,Data_Validation!$A:$D,3,0)</f>
        <v>Carrosserie</v>
      </c>
      <c r="AQ978" s="487" t="str">
        <f>+VLOOKUP($AJ978,Data_Validation!$A:$D,4,0)</f>
        <v>Carrosserie Concessions</v>
      </c>
      <c r="AR978" s="487" t="s">
        <v>299</v>
      </c>
      <c r="AS978" s="487">
        <f>+VLOOKUP($AJ978,Data_Validation!$A:$E,5,0)</f>
        <v>0</v>
      </c>
      <c r="AT978" s="904" t="str">
        <f t="shared" si="95"/>
        <v>G67915</v>
      </c>
      <c r="AU978" s="488" t="str">
        <f t="shared" si="96"/>
        <v>COUT -M.A CONCES. 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2940</v>
      </c>
      <c r="D979" s="706" t="s">
        <v>2941</v>
      </c>
      <c r="E979" s="706" t="s">
        <v>333</v>
      </c>
      <c r="F979" s="706" t="s">
        <v>1152</v>
      </c>
      <c r="G979" s="706">
        <v>39483.879999999997</v>
      </c>
      <c r="H979" s="706">
        <v>76073.990000000005</v>
      </c>
      <c r="I979" s="706">
        <v>130785.66</v>
      </c>
      <c r="J979" s="706">
        <v>172149.29</v>
      </c>
      <c r="K979" s="706">
        <v>191580.21</v>
      </c>
      <c r="L979" s="706">
        <v>255802.79</v>
      </c>
      <c r="M979" s="706">
        <v>294788.87</v>
      </c>
      <c r="N979" s="706">
        <v>356817.75</v>
      </c>
      <c r="O979" s="706">
        <v>358544.41</v>
      </c>
      <c r="P979" s="706">
        <v>0</v>
      </c>
      <c r="Q979" s="706">
        <v>0</v>
      </c>
      <c r="R979" s="706">
        <v>0</v>
      </c>
      <c r="S979" s="706">
        <v>44602.22</v>
      </c>
      <c r="T979" s="706">
        <v>44602.22</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G68000</v>
      </c>
      <c r="AK979" s="905" t="str">
        <f t="shared" si="93"/>
        <v>COUT-PIECE GARANTIE</v>
      </c>
      <c r="AL979" s="905">
        <f>IFERROR(INDEX(G979:R979,1,MATCH(Parametres!$B$3,G$1:R$1,0)-1)*IF(OR(F979="L",F979="S",F979="I"),-1,1),"")</f>
        <v>294788.87</v>
      </c>
      <c r="AM979" s="905">
        <f t="shared" si="94"/>
        <v>62028.880000000005</v>
      </c>
      <c r="AN979" s="905">
        <f>INDEX(G979:R979,1,MATCH(Parametres!$B$3,G$1:R$1,0))*IF(OR(F979="L",F979="S",F979="I"),-1,1)</f>
        <v>356817.75</v>
      </c>
      <c r="AO979" s="487" t="str">
        <f>+VLOOKUP($AJ979,Data_Validation!$A:$D,1,0)</f>
        <v>G68000</v>
      </c>
      <c r="AP979" s="487" t="str">
        <f>+VLOOKUP($AJ979,Data_Validation!$A:$D,3,0)</f>
        <v>Pièces</v>
      </c>
      <c r="AQ979" s="487" t="str">
        <f>+VLOOKUP($AJ979,Data_Validation!$A:$D,4,0)</f>
        <v>P/A Garantie</v>
      </c>
      <c r="AR979" s="487" t="s">
        <v>299</v>
      </c>
      <c r="AS979" s="487">
        <f>+VLOOKUP($AJ979,Data_Validation!$A:$E,5,0)</f>
        <v>0</v>
      </c>
      <c r="AT979" s="904" t="str">
        <f t="shared" si="95"/>
        <v>G68000</v>
      </c>
      <c r="AU979" s="488" t="str">
        <f t="shared" si="96"/>
        <v>COUT-PIECE GARANTIE</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2942</v>
      </c>
      <c r="D980" s="706" t="s">
        <v>2943</v>
      </c>
      <c r="E980" s="706" t="s">
        <v>333</v>
      </c>
      <c r="F980" s="706" t="s">
        <v>1152</v>
      </c>
      <c r="G980" s="706">
        <v>0</v>
      </c>
      <c r="H980" s="706">
        <v>0</v>
      </c>
      <c r="I980" s="706">
        <v>0</v>
      </c>
      <c r="J980" s="706">
        <v>0</v>
      </c>
      <c r="K980" s="706">
        <v>0</v>
      </c>
      <c r="L980" s="706">
        <v>0</v>
      </c>
      <c r="M980" s="706">
        <v>0</v>
      </c>
      <c r="N980" s="706">
        <v>0</v>
      </c>
      <c r="O980" s="706">
        <v>0</v>
      </c>
      <c r="P980" s="706">
        <v>0</v>
      </c>
      <c r="Q980" s="706">
        <v>0</v>
      </c>
      <c r="R980" s="706">
        <v>0</v>
      </c>
      <c r="S980" s="706">
        <v>0</v>
      </c>
      <c r="T980" s="706">
        <v>0</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G68020</v>
      </c>
      <c r="AK980" s="905" t="str">
        <f t="shared" si="93"/>
        <v>COUT-P&amp;A RECLAM.CAM MOYEN</v>
      </c>
      <c r="AL980" s="905">
        <f>IFERROR(INDEX(G980:R980,1,MATCH(Parametres!$B$3,G$1:R$1,0)-1)*IF(OR(F980="L",F980="S",F980="I"),-1,1),"")</f>
        <v>0</v>
      </c>
      <c r="AM980" s="905">
        <f t="shared" si="94"/>
        <v>0</v>
      </c>
      <c r="AN980" s="905">
        <f>INDEX(G980:R980,1,MATCH(Parametres!$B$3,G$1:R$1,0))*IF(OR(F980="L",F980="S",F980="I"),-1,1)</f>
        <v>0</v>
      </c>
      <c r="AO980" s="487" t="str">
        <f>+VLOOKUP($AJ980,Data_Validation!$A:$D,1,0)</f>
        <v>G68020</v>
      </c>
      <c r="AP980" s="487" t="str">
        <f>+VLOOKUP($AJ980,Data_Validation!$A:$D,3,0)</f>
        <v>Pièces</v>
      </c>
      <c r="AQ980" s="487" t="str">
        <f>+VLOOKUP($AJ980,Data_Validation!$A:$D,4,0)</f>
        <v>P/A Garantie</v>
      </c>
      <c r="AR980" s="487" t="s">
        <v>299</v>
      </c>
      <c r="AS980" s="487">
        <f>+VLOOKUP($AJ980,Data_Validation!$A:$E,5,0)</f>
        <v>0</v>
      </c>
      <c r="AT980" s="904" t="str">
        <f t="shared" si="95"/>
        <v>G68020</v>
      </c>
      <c r="AU980" s="488" t="str">
        <f t="shared" si="96"/>
        <v>COUT-P&amp;A RECLAM.CAM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2944</v>
      </c>
      <c r="D981" s="706" t="s">
        <v>2945</v>
      </c>
      <c r="E981" s="706" t="s">
        <v>333</v>
      </c>
      <c r="F981" s="706" t="s">
        <v>1152</v>
      </c>
      <c r="G981" s="706">
        <v>29709.91</v>
      </c>
      <c r="H981" s="706">
        <v>68901.850000000006</v>
      </c>
      <c r="I981" s="706">
        <v>110629.82</v>
      </c>
      <c r="J981" s="706">
        <v>157545.79999999999</v>
      </c>
      <c r="K981" s="706">
        <v>185833.58</v>
      </c>
      <c r="L981" s="706">
        <v>218696.64</v>
      </c>
      <c r="M981" s="706">
        <v>248135.07</v>
      </c>
      <c r="N981" s="706">
        <v>274902.86</v>
      </c>
      <c r="O981" s="706">
        <v>276178.42</v>
      </c>
      <c r="P981" s="706">
        <v>0</v>
      </c>
      <c r="Q981" s="706">
        <v>0</v>
      </c>
      <c r="R981" s="706">
        <v>0</v>
      </c>
      <c r="S981" s="706">
        <v>34362.86</v>
      </c>
      <c r="T981" s="706">
        <v>34362.86</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G68100</v>
      </c>
      <c r="AK981" s="905" t="str">
        <f t="shared" si="93"/>
        <v>COUT-PIECES INTERNE</v>
      </c>
      <c r="AL981" s="905">
        <f>IFERROR(INDEX(G981:R981,1,MATCH(Parametres!$B$3,G$1:R$1,0)-1)*IF(OR(F981="L",F981="S",F981="I"),-1,1),"")</f>
        <v>248135.07</v>
      </c>
      <c r="AM981" s="905">
        <f t="shared" si="94"/>
        <v>26767.789999999979</v>
      </c>
      <c r="AN981" s="905">
        <f>INDEX(G981:R981,1,MATCH(Parametres!$B$3,G$1:R$1,0))*IF(OR(F981="L",F981="S",F981="I"),-1,1)</f>
        <v>274902.86</v>
      </c>
      <c r="AO981" s="487" t="str">
        <f>+VLOOKUP($AJ981,Data_Validation!$A:$D,1,0)</f>
        <v>G68100</v>
      </c>
      <c r="AP981" s="487" t="str">
        <f>+VLOOKUP($AJ981,Data_Validation!$A:$D,3,0)</f>
        <v>Pièces</v>
      </c>
      <c r="AQ981" s="487" t="str">
        <f>+VLOOKUP($AJ981,Data_Validation!$A:$D,4,0)</f>
        <v>Ventes Internes</v>
      </c>
      <c r="AR981" s="487" t="s">
        <v>299</v>
      </c>
      <c r="AS981" s="487">
        <f>+VLOOKUP($AJ981,Data_Validation!$A:$E,5,0)</f>
        <v>0</v>
      </c>
      <c r="AT981" s="904" t="str">
        <f t="shared" si="95"/>
        <v>G68100</v>
      </c>
      <c r="AU981" s="488" t="str">
        <f t="shared" si="96"/>
        <v>COUT-PIECES INTERNE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2946</v>
      </c>
      <c r="D982" s="706" t="s">
        <v>2947</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G68120</v>
      </c>
      <c r="AK982" s="905" t="str">
        <f t="shared" si="93"/>
        <v>COUT-P&amp;A INTERN CAM MOYEN</v>
      </c>
      <c r="AL982" s="905">
        <f>IFERROR(INDEX(G982:R982,1,MATCH(Parametres!$B$3,G$1:R$1,0)-1)*IF(OR(F982="L",F982="S",F982="I"),-1,1),"")</f>
        <v>0</v>
      </c>
      <c r="AM982" s="905">
        <f t="shared" si="94"/>
        <v>0</v>
      </c>
      <c r="AN982" s="905">
        <f>INDEX(G982:R982,1,MATCH(Parametres!$B$3,G$1:R$1,0))*IF(OR(F982="L",F982="S",F982="I"),-1,1)</f>
        <v>0</v>
      </c>
      <c r="AO982" s="487" t="str">
        <f>+VLOOKUP($AJ982,Data_Validation!$A:$D,1,0)</f>
        <v>G68120</v>
      </c>
      <c r="AP982" s="487" t="str">
        <f>+VLOOKUP($AJ982,Data_Validation!$A:$D,3,0)</f>
        <v>Pièces</v>
      </c>
      <c r="AQ982" s="487" t="str">
        <f>+VLOOKUP($AJ982,Data_Validation!$A:$D,4,0)</f>
        <v>Ventes Internes</v>
      </c>
      <c r="AR982" s="487" t="s">
        <v>299</v>
      </c>
      <c r="AS982" s="487">
        <f>+VLOOKUP($AJ982,Data_Validation!$A:$E,5,0)</f>
        <v>0</v>
      </c>
      <c r="AT982" s="904" t="str">
        <f t="shared" si="95"/>
        <v>G68120</v>
      </c>
      <c r="AU982" s="488" t="str">
        <f t="shared" si="96"/>
        <v>COUT-P&amp;A INTERN 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2948</v>
      </c>
      <c r="D983" s="706" t="s">
        <v>2949</v>
      </c>
      <c r="E983" s="706" t="s">
        <v>333</v>
      </c>
      <c r="F983" s="706" t="s">
        <v>1152</v>
      </c>
      <c r="G983" s="706">
        <v>21304.98</v>
      </c>
      <c r="H983" s="706">
        <v>37077.14</v>
      </c>
      <c r="I983" s="706">
        <v>69456.759999999995</v>
      </c>
      <c r="J983" s="706">
        <v>99247.83</v>
      </c>
      <c r="K983" s="706">
        <v>128788.14</v>
      </c>
      <c r="L983" s="706">
        <v>167695.60999999999</v>
      </c>
      <c r="M983" s="706">
        <v>212830.63</v>
      </c>
      <c r="N983" s="706">
        <v>238127.33</v>
      </c>
      <c r="O983" s="706">
        <v>240400.79</v>
      </c>
      <c r="P983" s="706">
        <v>0</v>
      </c>
      <c r="Q983" s="706">
        <v>0</v>
      </c>
      <c r="R983" s="706">
        <v>0</v>
      </c>
      <c r="S983" s="706">
        <v>29765.919999999998</v>
      </c>
      <c r="T983" s="706">
        <v>29765.919999999998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G68200</v>
      </c>
      <c r="AK983" s="905" t="str">
        <f t="shared" si="93"/>
        <v>COUT-PIECES AU DETAIL</v>
      </c>
      <c r="AL983" s="905">
        <f>IFERROR(INDEX(G983:R983,1,MATCH(Parametres!$B$3,G$1:R$1,0)-1)*IF(OR(F983="L",F983="S",F983="I"),-1,1),"")</f>
        <v>212830.63</v>
      </c>
      <c r="AM983" s="905">
        <f t="shared" si="94"/>
        <v>25296.699999999983</v>
      </c>
      <c r="AN983" s="905">
        <f>INDEX(G983:R983,1,MATCH(Parametres!$B$3,G$1:R$1,0))*IF(OR(F983="L",F983="S",F983="I"),-1,1)</f>
        <v>238127.33</v>
      </c>
      <c r="AO983" s="487" t="str">
        <f>+VLOOKUP($AJ983,Data_Validation!$A:$D,1,0)</f>
        <v>G68200</v>
      </c>
      <c r="AP983" s="487" t="str">
        <f>+VLOOKUP($AJ983,Data_Validation!$A:$D,3,0)</f>
        <v>Pièces</v>
      </c>
      <c r="AQ983" s="487" t="str">
        <f>+VLOOKUP($AJ983,Data_Validation!$A:$D,4,0)</f>
        <v>Ventes Détails</v>
      </c>
      <c r="AR983" s="487" t="s">
        <v>299</v>
      </c>
      <c r="AS983" s="487">
        <f>+VLOOKUP($AJ983,Data_Validation!$A:$E,5,0)</f>
        <v>0</v>
      </c>
      <c r="AT983" s="904" t="str">
        <f t="shared" si="95"/>
        <v>G68200</v>
      </c>
      <c r="AU983" s="488" t="str">
        <f t="shared" si="96"/>
        <v>COUT-PIECES AU DETAIL</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2950</v>
      </c>
      <c r="D984" s="706" t="s">
        <v>2951</v>
      </c>
      <c r="E984" s="706" t="s">
        <v>333</v>
      </c>
      <c r="F984" s="706" t="s">
        <v>1152</v>
      </c>
      <c r="G984" s="706">
        <v>147820.20000000001</v>
      </c>
      <c r="H984" s="706">
        <v>262818.71000000002</v>
      </c>
      <c r="I984" s="706">
        <v>371846.67</v>
      </c>
      <c r="J984" s="706">
        <v>447721.11</v>
      </c>
      <c r="K984" s="706">
        <v>553773.17000000004</v>
      </c>
      <c r="L984" s="706">
        <v>658467.67000000004</v>
      </c>
      <c r="M984" s="706">
        <v>772589.17</v>
      </c>
      <c r="N984" s="706">
        <v>865849.91</v>
      </c>
      <c r="O984" s="706">
        <v>885531.43</v>
      </c>
      <c r="P984" s="706">
        <v>0</v>
      </c>
      <c r="Q984" s="706">
        <v>0</v>
      </c>
      <c r="R984" s="706">
        <v>0</v>
      </c>
      <c r="S984" s="706">
        <v>108231.24</v>
      </c>
      <c r="T984" s="706">
        <v>108231.24</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G68300</v>
      </c>
      <c r="AK984" s="905" t="str">
        <f t="shared" ref="AK984:AK1023" si="99">D984</f>
        <v>COUT-PIECES EN GROS</v>
      </c>
      <c r="AL984" s="905">
        <f>IFERROR(INDEX(G984:R984,1,MATCH(Parametres!$B$3,G$1:R$1,0)-1)*IF(OR(F984="L",F984="S",F984="I"),-1,1),"")</f>
        <v>772589.17</v>
      </c>
      <c r="AM984" s="905">
        <f t="shared" ref="AM984:AM1023" si="100">AN984-AL984</f>
        <v>93260.739999999991</v>
      </c>
      <c r="AN984" s="905">
        <f>INDEX(G984:R984,1,MATCH(Parametres!$B$3,G$1:R$1,0))*IF(OR(F984="L",F984="S",F984="I"),-1,1)</f>
        <v>865849.91</v>
      </c>
      <c r="AO984" s="487" t="str">
        <f>+VLOOKUP($AJ984,Data_Validation!$A:$D,1,0)</f>
        <v>G68300</v>
      </c>
      <c r="AP984" s="487" t="str">
        <f>+VLOOKUP($AJ984,Data_Validation!$A:$D,3,0)</f>
        <v>Pièces</v>
      </c>
      <c r="AQ984" s="487" t="str">
        <f>+VLOOKUP($AJ984,Data_Validation!$A:$D,4,0)</f>
        <v>Ventes de Gros</v>
      </c>
      <c r="AR984" s="487" t="s">
        <v>299</v>
      </c>
      <c r="AS984" s="487">
        <f>+VLOOKUP($AJ984,Data_Validation!$A:$E,5,0)</f>
        <v>0</v>
      </c>
      <c r="AT984" s="904" t="str">
        <f t="shared" ref="AT984:AT1023" si="101">C984</f>
        <v>G68300</v>
      </c>
      <c r="AU984" s="488" t="str">
        <f t="shared" ref="AU984:AU1023" si="102">D984</f>
        <v>COUT-PIECES EN GROS</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2952</v>
      </c>
      <c r="D985" s="706" t="s">
        <v>2953</v>
      </c>
      <c r="E985" s="706" t="s">
        <v>333</v>
      </c>
      <c r="F985" s="706" t="s">
        <v>1152</v>
      </c>
      <c r="G985" s="706">
        <v>-20065.36</v>
      </c>
      <c r="H985" s="706">
        <v>-23303.48</v>
      </c>
      <c r="I985" s="706">
        <v>-26562.22</v>
      </c>
      <c r="J985" s="706">
        <v>-48976.1</v>
      </c>
      <c r="K985" s="706">
        <v>-59789.15</v>
      </c>
      <c r="L985" s="706">
        <v>-62199.199999999997</v>
      </c>
      <c r="M985" s="706">
        <v>-78658.5</v>
      </c>
      <c r="N985" s="706">
        <v>-84034.19</v>
      </c>
      <c r="O985" s="706">
        <v>-84191.84</v>
      </c>
      <c r="P985" s="706">
        <v>0</v>
      </c>
      <c r="Q985" s="706">
        <v>0</v>
      </c>
      <c r="R985" s="706">
        <v>0</v>
      </c>
      <c r="S985" s="706">
        <v>-10504.27</v>
      </c>
      <c r="T985" s="706">
        <v>-10504.27</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G68700</v>
      </c>
      <c r="AK985" s="905" t="str">
        <f t="shared" si="99"/>
        <v>ESCOMPTES DE VOLUME</v>
      </c>
      <c r="AL985" s="905">
        <f>IFERROR(INDEX(G985:R985,1,MATCH(Parametres!$B$3,G$1:R$1,0)-1)*IF(OR(F985="L",F985="S",F985="I"),-1,1),"")</f>
        <v>-78658.5</v>
      </c>
      <c r="AM985" s="905">
        <f t="shared" si="100"/>
        <v>-5375.6900000000023</v>
      </c>
      <c r="AN985" s="905">
        <f>INDEX(G985:R985,1,MATCH(Parametres!$B$3,G$1:R$1,0))*IF(OR(F985="L",F985="S",F985="I"),-1,1)</f>
        <v>-84034.19</v>
      </c>
      <c r="AO985" s="487" t="str">
        <f>+VLOOKUP($AJ985,Data_Validation!$A:$D,1,0)</f>
        <v>G68700</v>
      </c>
      <c r="AP985" s="487" t="str">
        <f>+VLOOKUP($AJ985,Data_Validation!$A:$D,3,0)</f>
        <v>Pièces</v>
      </c>
      <c r="AQ985" s="487" t="str">
        <f>+VLOOKUP($AJ985,Data_Validation!$A:$D,4,0)</f>
        <v>Escomptes</v>
      </c>
      <c r="AR985" s="487" t="s">
        <v>299</v>
      </c>
      <c r="AS985" s="487">
        <f>+VLOOKUP($AJ985,Data_Validation!$A:$E,5,0)</f>
        <v>0</v>
      </c>
      <c r="AT985" s="904" t="str">
        <f t="shared" si="101"/>
        <v>G68700</v>
      </c>
      <c r="AU985" s="488" t="str">
        <f t="shared" si="102"/>
        <v>ESCOMPTES DE VOLUME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2954</v>
      </c>
      <c r="D986" s="706" t="s">
        <v>2955</v>
      </c>
      <c r="E986" s="706" t="s">
        <v>333</v>
      </c>
      <c r="F986" s="706" t="s">
        <v>1152</v>
      </c>
      <c r="G986" s="706">
        <v>-3656.81</v>
      </c>
      <c r="H986" s="706">
        <v>-3884.38</v>
      </c>
      <c r="I986" s="706">
        <v>-5049.5</v>
      </c>
      <c r="J986" s="706">
        <v>-4993.82</v>
      </c>
      <c r="K986" s="706">
        <v>-6642.71</v>
      </c>
      <c r="L986" s="706">
        <v>-7079.42</v>
      </c>
      <c r="M986" s="706">
        <v>-8200.67</v>
      </c>
      <c r="N986" s="706">
        <v>-8393.4500000000007</v>
      </c>
      <c r="O986" s="706">
        <v>-8393.4500000000007</v>
      </c>
      <c r="P986" s="706">
        <v>0</v>
      </c>
      <c r="Q986" s="706">
        <v>0</v>
      </c>
      <c r="R986" s="706">
        <v>0</v>
      </c>
      <c r="S986" s="706">
        <v>-1049.18</v>
      </c>
      <c r="T986" s="706">
        <v>-1049.18</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G68800</v>
      </c>
      <c r="AK986" s="905" t="str">
        <f t="shared" si="99"/>
        <v>RECTIFIC.STOCK PIECES</v>
      </c>
      <c r="AL986" s="905">
        <f>IFERROR(INDEX(G986:R986,1,MATCH(Parametres!$B$3,G$1:R$1,0)-1)*IF(OR(F986="L",F986="S",F986="I"),-1,1),"")</f>
        <v>-8200.67</v>
      </c>
      <c r="AM986" s="905">
        <f t="shared" si="100"/>
        <v>-192.78000000000065</v>
      </c>
      <c r="AN986" s="905">
        <f>INDEX(G986:R986,1,MATCH(Parametres!$B$3,G$1:R$1,0))*IF(OR(F986="L",F986="S",F986="I"),-1,1)</f>
        <v>-8393.4500000000007</v>
      </c>
      <c r="AO986" s="487" t="str">
        <f>+VLOOKUP($AJ986,Data_Validation!$A:$D,1,0)</f>
        <v>G68800</v>
      </c>
      <c r="AP986" s="487" t="str">
        <f>+VLOOKUP($AJ986,Data_Validation!$A:$D,3,0)</f>
        <v>Pièces</v>
      </c>
      <c r="AQ986" s="487" t="str">
        <f>+VLOOKUP($AJ986,Data_Validation!$A:$D,4,0)</f>
        <v>Rectif. Inventaire</v>
      </c>
      <c r="AR986" s="487" t="s">
        <v>299</v>
      </c>
      <c r="AS986" s="487">
        <f>+VLOOKUP($AJ986,Data_Validation!$A:$E,5,0)</f>
        <v>0</v>
      </c>
      <c r="AT986" s="904" t="str">
        <f t="shared" si="101"/>
        <v>G68800</v>
      </c>
      <c r="AU986" s="488" t="str">
        <f t="shared" si="102"/>
        <v>RECTIFIC.STOCK PIECES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2956</v>
      </c>
      <c r="D987" s="706" t="s">
        <v>2957</v>
      </c>
      <c r="E987" s="706" t="s">
        <v>333</v>
      </c>
      <c r="F987" s="706" t="s">
        <v>1152</v>
      </c>
      <c r="G987" s="706">
        <v>34926.080000000002</v>
      </c>
      <c r="H987" s="706">
        <v>62121.599999999999</v>
      </c>
      <c r="I987" s="706">
        <v>76201.22</v>
      </c>
      <c r="J987" s="706">
        <v>97234.06</v>
      </c>
      <c r="K987" s="706">
        <v>110391.72</v>
      </c>
      <c r="L987" s="706">
        <v>124951.91</v>
      </c>
      <c r="M987" s="706">
        <v>135615.26</v>
      </c>
      <c r="N987" s="706">
        <v>151991.71</v>
      </c>
      <c r="O987" s="706">
        <v>156681.53</v>
      </c>
      <c r="P987" s="706">
        <v>0</v>
      </c>
      <c r="Q987" s="706">
        <v>0</v>
      </c>
      <c r="R987" s="706">
        <v>0</v>
      </c>
      <c r="S987" s="706">
        <v>18998.96</v>
      </c>
      <c r="T987" s="706">
        <v>18998.96</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G69000</v>
      </c>
      <c r="AK987" s="905" t="str">
        <f t="shared" si="99"/>
        <v>COUT-PNEUS VENDUS</v>
      </c>
      <c r="AL987" s="905">
        <f>IFERROR(INDEX(G987:R987,1,MATCH(Parametres!$B$3,G$1:R$1,0)-1)*IF(OR(F987="L",F987="S",F987="I"),-1,1),"")</f>
        <v>135615.26</v>
      </c>
      <c r="AM987" s="905">
        <f t="shared" si="100"/>
        <v>16376.449999999983</v>
      </c>
      <c r="AN987" s="905">
        <f>INDEX(G987:R987,1,MATCH(Parametres!$B$3,G$1:R$1,0))*IF(OR(F987="L",F987="S",F987="I"),-1,1)</f>
        <v>151991.71</v>
      </c>
      <c r="AO987" s="487" t="str">
        <f>+VLOOKUP($AJ987,Data_Validation!$A:$D,1,0)</f>
        <v>G69000</v>
      </c>
      <c r="AP987" s="487" t="str">
        <f>+VLOOKUP($AJ987,Data_Validation!$A:$D,3,0)</f>
        <v>Pièces</v>
      </c>
      <c r="AQ987" s="487" t="str">
        <f>+VLOOKUP($AJ987,Data_Validation!$A:$D,4,0)</f>
        <v>Ventes Pneus</v>
      </c>
      <c r="AR987" s="487" t="s">
        <v>299</v>
      </c>
      <c r="AS987" s="487">
        <f>+VLOOKUP($AJ987,Data_Validation!$A:$E,5,0)</f>
        <v>0</v>
      </c>
      <c r="AT987" s="904" t="str">
        <f t="shared" si="101"/>
        <v>G69000</v>
      </c>
      <c r="AU987" s="488" t="str">
        <f t="shared" si="102"/>
        <v>COUT-PNEUS VENDUS</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2958</v>
      </c>
      <c r="D988" s="706" t="s">
        <v>2959</v>
      </c>
      <c r="E988" s="706" t="s">
        <v>333</v>
      </c>
      <c r="F988" s="706" t="s">
        <v>1152</v>
      </c>
      <c r="G988" s="706">
        <v>6801.33</v>
      </c>
      <c r="H988" s="706">
        <v>13763.25</v>
      </c>
      <c r="I988" s="706">
        <v>23246.21</v>
      </c>
      <c r="J988" s="706">
        <v>31500.2</v>
      </c>
      <c r="K988" s="706">
        <v>39878.769999999997</v>
      </c>
      <c r="L988" s="706">
        <v>50694.1</v>
      </c>
      <c r="M988" s="706">
        <v>59900.86</v>
      </c>
      <c r="N988" s="706">
        <v>69965.3</v>
      </c>
      <c r="O988" s="706">
        <v>70242.759999999995</v>
      </c>
      <c r="P988" s="706">
        <v>0</v>
      </c>
      <c r="Q988" s="706">
        <v>0</v>
      </c>
      <c r="R988" s="706">
        <v>0</v>
      </c>
      <c r="S988" s="706">
        <v>8745.66</v>
      </c>
      <c r="T988" s="706">
        <v>8745.66</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G69100</v>
      </c>
      <c r="AK988" s="905" t="str">
        <f t="shared" si="99"/>
        <v>COUT-HUILES &amp; GRAISSE</v>
      </c>
      <c r="AL988" s="905">
        <f>IFERROR(INDEX(G988:R988,1,MATCH(Parametres!$B$3,G$1:R$1,0)-1)*IF(OR(F988="L",F988="S",F988="I"),-1,1),"")</f>
        <v>59900.86</v>
      </c>
      <c r="AM988" s="905">
        <f t="shared" si="100"/>
        <v>10064.440000000002</v>
      </c>
      <c r="AN988" s="905">
        <f>INDEX(G988:R988,1,MATCH(Parametres!$B$3,G$1:R$1,0))*IF(OR(F988="L",F988="S",F988="I"),-1,1)</f>
        <v>69965.3</v>
      </c>
      <c r="AO988" s="487" t="str">
        <f>+VLOOKUP($AJ988,Data_Validation!$A:$D,1,0)</f>
        <v>G69100</v>
      </c>
      <c r="AP988" s="487" t="str">
        <f>+VLOOKUP($AJ988,Data_Validation!$A:$D,3,0)</f>
        <v>Pièces</v>
      </c>
      <c r="AQ988" s="487" t="str">
        <f>+VLOOKUP($AJ988,Data_Validation!$A:$D,4,0)</f>
        <v>Huiles et Graisse</v>
      </c>
      <c r="AR988" s="487" t="s">
        <v>299</v>
      </c>
      <c r="AS988" s="487">
        <f>+VLOOKUP($AJ988,Data_Validation!$A:$E,5,0)</f>
        <v>0</v>
      </c>
      <c r="AT988" s="904" t="str">
        <f t="shared" si="101"/>
        <v>G69100</v>
      </c>
      <c r="AU988" s="488" t="str">
        <f t="shared" si="102"/>
        <v>COUT-HUILES &amp; GRAISSE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2960</v>
      </c>
      <c r="D989" s="706" t="s">
        <v>2961</v>
      </c>
      <c r="E989" s="706" t="s">
        <v>333</v>
      </c>
      <c r="F989" s="706" t="s">
        <v>1104</v>
      </c>
      <c r="G989" s="706">
        <v>0</v>
      </c>
      <c r="H989" s="706">
        <v>0</v>
      </c>
      <c r="I989" s="706">
        <v>0</v>
      </c>
      <c r="J989" s="706">
        <v>0</v>
      </c>
      <c r="K989" s="706">
        <v>0</v>
      </c>
      <c r="L989" s="706">
        <v>0</v>
      </c>
      <c r="M989" s="706">
        <v>0</v>
      </c>
      <c r="N989" s="706">
        <v>0</v>
      </c>
      <c r="O989" s="706">
        <v>0</v>
      </c>
      <c r="P989" s="706">
        <v>0</v>
      </c>
      <c r="Q989" s="706">
        <v>0</v>
      </c>
      <c r="R989" s="706">
        <v>0</v>
      </c>
      <c r="S989" s="706">
        <v>0</v>
      </c>
      <c r="T989" s="706">
        <v>0</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G711</v>
      </c>
      <c r="AK989" s="905" t="str">
        <f t="shared" si="99"/>
        <v>INTERETS          -SIMPLE</v>
      </c>
      <c r="AL989" s="905">
        <f>IFERROR(INDEX(G989:R989,1,MATCH(Parametres!$B$3,G$1:R$1,0)-1)*IF(OR(F989="L",F989="S",F989="I"),-1,1),"")</f>
        <v>0</v>
      </c>
      <c r="AM989" s="905">
        <f t="shared" si="100"/>
        <v>0</v>
      </c>
      <c r="AN989" s="905">
        <f>INDEX(G989:R989,1,MATCH(Parametres!$B$3,G$1:R$1,0))*IF(OR(F989="L",F989="S",F989="I"),-1,1)</f>
        <v>0</v>
      </c>
      <c r="AO989" s="487" t="e">
        <f>+VLOOKUP($AJ989,Data_Validation!$A:$D,1,0)</f>
        <v>#N/A</v>
      </c>
      <c r="AP989" s="487" t="e">
        <f>+VLOOKUP($AJ989,Data_Validation!$A:$D,3,0)</f>
        <v>#N/A</v>
      </c>
      <c r="AQ989" s="487" t="e">
        <f>+VLOOKUP($AJ989,Data_Validation!$A:$D,4,0)</f>
        <v>#N/A</v>
      </c>
      <c r="AR989" s="487" t="s">
        <v>299</v>
      </c>
      <c r="AS989" s="487" t="e">
        <f>+VLOOKUP($AJ989,Data_Validation!$A:$E,5,0)</f>
        <v>#N/A</v>
      </c>
      <c r="AT989" s="904" t="str">
        <f t="shared" si="101"/>
        <v>G711</v>
      </c>
      <c r="AU989" s="488" t="str">
        <f t="shared" si="102"/>
        <v>INTERETS          -SIMPLE</v>
      </c>
      <c r="AV989" s="899">
        <f>IFERROR(INDEX(V989:AG989,1,MATCH(Parametres!$B$3,V$1:AG$1,0)-1)*IF(OR(C989="L",C989="S",C989="I"),-1,1),"")</f>
        <v>0</v>
      </c>
      <c r="AW989" s="899">
        <f t="shared" si="103"/>
        <v>0</v>
      </c>
      <c r="AX989" s="899">
        <f>INDEX(V989:AG989,1,MATCH(Parametres!$B$3,V$1:AG$1,0))*IF(OR(C989="L",C989="S",C989="I"),-1,1)</f>
        <v>0</v>
      </c>
      <c r="AY989" s="487" t="s">
        <v>337</v>
      </c>
      <c r="AZ989" s="487" t="e">
        <f>+VLOOKUP($AJ989,Data_Validation!$A:$E,5,0)</f>
        <v>#N/A</v>
      </c>
    </row>
    <row r="990" spans="1:52" ht="15" hidden="1" customHeight="1">
      <c r="A990" s="706" t="s">
        <v>1148</v>
      </c>
      <c r="B990" s="706">
        <v>2026</v>
      </c>
      <c r="C990" s="706" t="s">
        <v>2962</v>
      </c>
      <c r="D990" s="706" t="s">
        <v>2963</v>
      </c>
      <c r="E990" s="706" t="s">
        <v>333</v>
      </c>
      <c r="F990" s="706" t="s">
        <v>1104</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G712</v>
      </c>
      <c r="AK990" s="905" t="str">
        <f t="shared" si="99"/>
        <v>AMORTISSEMENT     -SIMPLE</v>
      </c>
      <c r="AL990" s="905">
        <f>IFERROR(INDEX(G990:R990,1,MATCH(Parametres!$B$3,G$1:R$1,0)-1)*IF(OR(F990="L",F990="S",F990="I"),-1,1),"")</f>
        <v>0</v>
      </c>
      <c r="AM990" s="905">
        <f t="shared" si="100"/>
        <v>0</v>
      </c>
      <c r="AN990" s="905">
        <f>INDEX(G990:R990,1,MATCH(Parametres!$B$3,G$1:R$1,0))*IF(OR(F990="L",F990="S",F990="I"),-1,1)</f>
        <v>0</v>
      </c>
      <c r="AO990" s="487" t="e">
        <f>+VLOOKUP($AJ990,Data_Validation!$A:$D,1,0)</f>
        <v>#N/A</v>
      </c>
      <c r="AP990" s="487" t="e">
        <f>+VLOOKUP($AJ990,Data_Validation!$A:$D,3,0)</f>
        <v>#N/A</v>
      </c>
      <c r="AQ990" s="487" t="e">
        <f>+VLOOKUP($AJ990,Data_Validation!$A:$D,4,0)</f>
        <v>#N/A</v>
      </c>
      <c r="AR990" s="487" t="s">
        <v>299</v>
      </c>
      <c r="AS990" s="487" t="e">
        <f>+VLOOKUP($AJ990,Data_Validation!$A:$E,5,0)</f>
        <v>#N/A</v>
      </c>
      <c r="AT990" s="904" t="str">
        <f t="shared" si="101"/>
        <v>G712</v>
      </c>
      <c r="AU990" s="488" t="str">
        <f t="shared" si="102"/>
        <v>AMORTISSEMENT     -SIMPLE</v>
      </c>
      <c r="AV990" s="899">
        <f>IFERROR(INDEX(V990:AG990,1,MATCH(Parametres!$B$3,V$1:AG$1,0)-1)*IF(OR(C990="L",C990="S",C990="I"),-1,1),"")</f>
        <v>0</v>
      </c>
      <c r="AW990" s="899">
        <f t="shared" si="103"/>
        <v>0</v>
      </c>
      <c r="AX990" s="899">
        <f>INDEX(V990:AG990,1,MATCH(Parametres!$B$3,V$1:AG$1,0))*IF(OR(C990="L",C990="S",C990="I"),-1,1)</f>
        <v>0</v>
      </c>
      <c r="AY990" s="487" t="s">
        <v>337</v>
      </c>
      <c r="AZ990" s="487" t="e">
        <f>+VLOOKUP($AJ990,Data_Validation!$A:$E,5,0)</f>
        <v>#N/A</v>
      </c>
    </row>
    <row r="991" spans="1:52" ht="15" hidden="1" customHeight="1">
      <c r="A991" s="706" t="s">
        <v>1148</v>
      </c>
      <c r="B991" s="706">
        <v>2026</v>
      </c>
      <c r="C991" s="706" t="s">
        <v>2964</v>
      </c>
      <c r="D991" s="706" t="s">
        <v>2965</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G713</v>
      </c>
      <c r="AK991" s="905" t="str">
        <f t="shared" si="99"/>
        <v>ASSUR.VEH EN SERV.-SIMPLE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G713</v>
      </c>
      <c r="AU991" s="488" t="str">
        <f t="shared" si="102"/>
        <v>ASSUR.VEH EN SERV.-SIMPLE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2966</v>
      </c>
      <c r="D992" s="706" t="s">
        <v>2967</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G714</v>
      </c>
      <c r="AK992" s="905" t="str">
        <f t="shared" si="99"/>
        <v>PLAQUE,TITRE,TAXES-SIMPLE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G714</v>
      </c>
      <c r="AU992" s="488" t="str">
        <f t="shared" si="102"/>
        <v>PLAQUE,TITRE,TAXES-SIMPLE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2968</v>
      </c>
      <c r="D993" s="706" t="s">
        <v>2969</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G715</v>
      </c>
      <c r="AK993" s="905" t="str">
        <f t="shared" si="99"/>
        <v>TRAVAUX GRACIEUX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G715</v>
      </c>
      <c r="AU993" s="488" t="str">
        <f t="shared" si="102"/>
        <v>TRAVAUX GRACIEUX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hidden="1" customHeight="1">
      <c r="A994" s="706" t="s">
        <v>1148</v>
      </c>
      <c r="B994" s="706">
        <v>2026</v>
      </c>
      <c r="C994" s="706" t="s">
        <v>2970</v>
      </c>
      <c r="D994" s="706" t="s">
        <v>2971</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G716</v>
      </c>
      <c r="AK994" s="905" t="str">
        <f t="shared" si="99"/>
        <v>REPAR.&amp; ENTRETIEN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G716</v>
      </c>
      <c r="AU994" s="488" t="str">
        <f t="shared" si="102"/>
        <v>REPAR.&amp; ENTRETIEN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hidden="1" customHeight="1">
      <c r="A995" s="706" t="s">
        <v>1148</v>
      </c>
      <c r="B995" s="706">
        <v>2026</v>
      </c>
      <c r="C995" s="706" t="s">
        <v>2972</v>
      </c>
      <c r="D995" s="706" t="s">
        <v>2973</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G717</v>
      </c>
      <c r="AK995" s="905" t="str">
        <f t="shared" si="99"/>
        <v>PRIX LOC.UNIT.S-LOUE-SIMP</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G717</v>
      </c>
      <c r="AU995" s="488" t="str">
        <f t="shared" si="102"/>
        <v>PRIX LOC.UNIT.S-LOUE-SIMP</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hidden="1" customHeight="1">
      <c r="A996" s="706" t="s">
        <v>1148</v>
      </c>
      <c r="B996" s="706">
        <v>2026</v>
      </c>
      <c r="C996" s="706" t="s">
        <v>2974</v>
      </c>
      <c r="D996" s="706" t="s">
        <v>2975</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G718</v>
      </c>
      <c r="AK996" s="905" t="str">
        <f t="shared" si="99"/>
        <v>AUTRES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G718</v>
      </c>
      <c r="AU996" s="488" t="str">
        <f t="shared" si="102"/>
        <v>AUTRES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hidden="1" customHeight="1">
      <c r="A997" s="706" t="s">
        <v>1148</v>
      </c>
      <c r="B997" s="706">
        <v>2026</v>
      </c>
      <c r="C997" s="706" t="s">
        <v>2976</v>
      </c>
      <c r="D997" s="706" t="s">
        <v>2977</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G721</v>
      </c>
      <c r="AK997" s="905" t="str">
        <f t="shared" si="99"/>
        <v>INTERETS          -ALEATO</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G721</v>
      </c>
      <c r="AU997" s="488" t="str">
        <f t="shared" si="102"/>
        <v>INTERETS          -ALEATO</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2978</v>
      </c>
      <c r="D998" s="706" t="s">
        <v>2979</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G722</v>
      </c>
      <c r="AK998" s="905" t="str">
        <f t="shared" si="99"/>
        <v>AMORTISSEMENT     -ALEATO</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G722</v>
      </c>
      <c r="AU998" s="488" t="str">
        <f t="shared" si="102"/>
        <v>AMORTISSEMENT     -ALEATO</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2980</v>
      </c>
      <c r="D999" s="706" t="s">
        <v>2981</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G723</v>
      </c>
      <c r="AK999" s="905" t="str">
        <f t="shared" si="99"/>
        <v>ASSUR.VEH EN SERV.-ALEATO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G723</v>
      </c>
      <c r="AU999" s="488" t="str">
        <f t="shared" si="102"/>
        <v>ASSUR.VEH EN SERV.-ALEATO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hidden="1" customHeight="1">
      <c r="A1000" s="706" t="s">
        <v>1148</v>
      </c>
      <c r="B1000" s="706">
        <v>2026</v>
      </c>
      <c r="C1000" s="706" t="s">
        <v>2982</v>
      </c>
      <c r="D1000" s="706" t="s">
        <v>2983</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G724</v>
      </c>
      <c r="AK1000" s="905" t="str">
        <f t="shared" si="99"/>
        <v>PLAQUE,TITRE,TAXES-ALEATO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G724</v>
      </c>
      <c r="AU1000" s="488" t="str">
        <f t="shared" si="102"/>
        <v>PLAQUE,TITRE,TAXES-ALEATO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hidden="1" customHeight="1">
      <c r="A1001" s="706" t="s">
        <v>1148</v>
      </c>
      <c r="B1001" s="706">
        <v>2026</v>
      </c>
      <c r="C1001" s="706" t="s">
        <v>2984</v>
      </c>
      <c r="D1001" s="706" t="s">
        <v>2985</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G72402</v>
      </c>
      <c r="AK1001" s="905" t="str">
        <f t="shared" si="99"/>
        <v>ENTRETIEN COURT TERME</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G72402</v>
      </c>
      <c r="AU1001" s="488" t="str">
        <f t="shared" si="102"/>
        <v>ENTRETIEN COURT TERME</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hidden="1" customHeight="1">
      <c r="A1002" s="706" t="s">
        <v>1148</v>
      </c>
      <c r="B1002" s="706">
        <v>2026</v>
      </c>
      <c r="C1002" s="706" t="s">
        <v>2986</v>
      </c>
      <c r="D1002" s="706" t="s">
        <v>2987</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G725</v>
      </c>
      <c r="AK1002" s="905" t="str">
        <f t="shared" si="99"/>
        <v>TRAVAUX GRACIEUX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G725</v>
      </c>
      <c r="AU1002" s="488" t="str">
        <f t="shared" si="102"/>
        <v>TRAVAUX GRACIEUX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hidden="1" customHeight="1">
      <c r="A1003" s="706" t="s">
        <v>1148</v>
      </c>
      <c r="B1003" s="706">
        <v>2026</v>
      </c>
      <c r="C1003" s="706" t="s">
        <v>2988</v>
      </c>
      <c r="D1003" s="706" t="s">
        <v>2989</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G726</v>
      </c>
      <c r="AK1003" s="905" t="str">
        <f t="shared" si="99"/>
        <v>REPAR.&amp; ENTRETIEN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G726</v>
      </c>
      <c r="AU1003" s="488" t="str">
        <f t="shared" si="102"/>
        <v>REPAR.&amp; ENTRETIEN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hidden="1" customHeight="1">
      <c r="A1004" s="706" t="s">
        <v>1148</v>
      </c>
      <c r="B1004" s="706">
        <v>2026</v>
      </c>
      <c r="C1004" s="706" t="s">
        <v>2990</v>
      </c>
      <c r="D1004" s="706" t="s">
        <v>2991</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G727</v>
      </c>
      <c r="AK1004" s="905" t="str">
        <f t="shared" si="99"/>
        <v>PRIX LOC.UNIT.S-LOUE-ALEA</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G727</v>
      </c>
      <c r="AU1004" s="488" t="str">
        <f t="shared" si="102"/>
        <v>PRIX LOC.UNIT.S-LOUE-ALEA</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hidden="1" customHeight="1">
      <c r="A1005" s="706" t="s">
        <v>1148</v>
      </c>
      <c r="B1005" s="706">
        <v>2026</v>
      </c>
      <c r="C1005" s="706" t="s">
        <v>2992</v>
      </c>
      <c r="D1005" s="706" t="s">
        <v>2993</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G728</v>
      </c>
      <c r="AK1005" s="905" t="str">
        <f t="shared" si="99"/>
        <v>AUTRES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G728</v>
      </c>
      <c r="AU1005" s="488" t="str">
        <f t="shared" si="102"/>
        <v>AUTRES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hidden="1" customHeight="1">
      <c r="A1006" s="706" t="s">
        <v>1148</v>
      </c>
      <c r="B1006" s="706">
        <v>2026</v>
      </c>
      <c r="C1006" s="706" t="s">
        <v>2994</v>
      </c>
      <c r="D1006" s="706" t="s">
        <v>2995</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G73000</v>
      </c>
      <c r="AK1006" s="905" t="str">
        <f t="shared" si="99"/>
        <v>COUT VTES VEHICULES CEDES</v>
      </c>
      <c r="AL1006" s="905">
        <f>IFERROR(INDEX(G1006:R1006,1,MATCH(Parametres!$B$3,G$1:R$1,0)-1)*IF(OR(F1006="L",F1006="S",F1006="I"),-1,1),"")</f>
        <v>0</v>
      </c>
      <c r="AM1006" s="905">
        <f t="shared" si="100"/>
        <v>0</v>
      </c>
      <c r="AN1006" s="905">
        <f>INDEX(G1006:R1006,1,MATCH(Parametres!$B$3,G$1:R$1,0))*IF(OR(F1006="L",F1006="S",F1006="I"),-1,1)</f>
        <v>0</v>
      </c>
      <c r="AO1006" s="487" t="str">
        <f>+VLOOKUP($AJ1006,Data_Validation!$A:$D,1,0)</f>
        <v>G73000</v>
      </c>
      <c r="AP1006" s="487">
        <f>+VLOOKUP($AJ1006,Data_Validation!$A:$D,3,0)</f>
        <v>0</v>
      </c>
      <c r="AQ1006" s="487">
        <f>+VLOOKUP($AJ1006,Data_Validation!$A:$D,4,0)</f>
        <v>0</v>
      </c>
      <c r="AR1006" s="487" t="s">
        <v>299</v>
      </c>
      <c r="AS1006" s="487">
        <f>+VLOOKUP($AJ1006,Data_Validation!$A:$E,5,0)</f>
        <v>0</v>
      </c>
      <c r="AT1006" s="904" t="str">
        <f t="shared" si="101"/>
        <v>G73000</v>
      </c>
      <c r="AU1006" s="488" t="str">
        <f t="shared" si="102"/>
        <v>COUT VTES VEHICULES CEDES</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2996</v>
      </c>
      <c r="D1007" s="706" t="s">
        <v>2997</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G731</v>
      </c>
      <c r="AK1007" s="905" t="str">
        <f t="shared" si="99"/>
        <v>INTERETS             -C/T</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G731</v>
      </c>
      <c r="AU1007" s="488" t="str">
        <f t="shared" si="102"/>
        <v>INTERETS             -C/T</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hidden="1" customHeight="1">
      <c r="A1008" s="706" t="s">
        <v>1148</v>
      </c>
      <c r="B1008" s="706">
        <v>2026</v>
      </c>
      <c r="C1008" s="706" t="s">
        <v>2998</v>
      </c>
      <c r="D1008" s="706" t="s">
        <v>2999</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G73100</v>
      </c>
      <c r="AK1008" s="905" t="str">
        <f t="shared" si="99"/>
        <v>INTERETS LOCATION C/TERME</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G73100</v>
      </c>
      <c r="AP1008" s="487">
        <f>+VLOOKUP($AJ1008,Data_Validation!$A:$D,3,0)</f>
        <v>0</v>
      </c>
      <c r="AQ1008" s="487">
        <f>+VLOOKUP($AJ1008,Data_Validation!$A:$D,4,0)</f>
        <v>0</v>
      </c>
      <c r="AR1008" s="487" t="s">
        <v>299</v>
      </c>
      <c r="AS1008" s="487">
        <f>+VLOOKUP($AJ1008,Data_Validation!$A:$E,5,0)</f>
        <v>0</v>
      </c>
      <c r="AT1008" s="904" t="str">
        <f t="shared" si="101"/>
        <v>G73100</v>
      </c>
      <c r="AU1008" s="488" t="str">
        <f t="shared" si="102"/>
        <v>INTERETS LOCATION C/TERME</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3000</v>
      </c>
      <c r="D1009" s="706" t="s">
        <v>3001</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G732</v>
      </c>
      <c r="AK1009" s="905" t="str">
        <f t="shared" si="99"/>
        <v>AMORTISSEMENT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G732</v>
      </c>
      <c r="AU1009" s="488" t="str">
        <f t="shared" si="102"/>
        <v>AMORTISSEMENT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hidden="1" customHeight="1">
      <c r="A1010" s="706" t="s">
        <v>1148</v>
      </c>
      <c r="B1010" s="706">
        <v>2026</v>
      </c>
      <c r="C1010" s="706" t="s">
        <v>3002</v>
      </c>
      <c r="D1010" s="706" t="s">
        <v>3003</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G73200</v>
      </c>
      <c r="AK1010" s="905" t="str">
        <f t="shared" si="99"/>
        <v>AMORT.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G73200</v>
      </c>
      <c r="AP1010" s="487">
        <f>+VLOOKUP($AJ1010,Data_Validation!$A:$D,3,0)</f>
        <v>0</v>
      </c>
      <c r="AQ1010" s="487">
        <f>+VLOOKUP($AJ1010,Data_Validation!$A:$D,4,0)</f>
        <v>0</v>
      </c>
      <c r="AR1010" s="487" t="s">
        <v>299</v>
      </c>
      <c r="AS1010" s="487">
        <f>+VLOOKUP($AJ1010,Data_Validation!$A:$E,5,0)</f>
        <v>0</v>
      </c>
      <c r="AT1010" s="904" t="str">
        <f t="shared" si="101"/>
        <v>G73200</v>
      </c>
      <c r="AU1010" s="488" t="str">
        <f t="shared" si="102"/>
        <v>AMORT.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3004</v>
      </c>
      <c r="D1011" s="706" t="s">
        <v>3005</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G733</v>
      </c>
      <c r="AK1011" s="905" t="str">
        <f t="shared" si="99"/>
        <v>ASSUR.VEH EN SERV.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G733</v>
      </c>
      <c r="AU1011" s="488" t="str">
        <f t="shared" si="102"/>
        <v>ASSUR.VEH EN SERV.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hidden="1" customHeight="1">
      <c r="A1012" s="706" t="s">
        <v>1148</v>
      </c>
      <c r="B1012" s="706">
        <v>2026</v>
      </c>
      <c r="C1012" s="706" t="s">
        <v>3006</v>
      </c>
      <c r="D1012" s="706" t="s">
        <v>3007</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G73300</v>
      </c>
      <c r="AK1012" s="905" t="str">
        <f t="shared" si="99"/>
        <v>ASSURANCES COURTOISIES</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G73300</v>
      </c>
      <c r="AU1012" s="488" t="str">
        <f t="shared" si="102"/>
        <v>ASSURANCES COURTOISIES</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hidden="1" customHeight="1">
      <c r="A1013" s="706" t="s">
        <v>1148</v>
      </c>
      <c r="B1013" s="706">
        <v>2026</v>
      </c>
      <c r="C1013" s="706" t="s">
        <v>3008</v>
      </c>
      <c r="D1013" s="706" t="s">
        <v>3009</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G734</v>
      </c>
      <c r="AK1013" s="905" t="str">
        <f t="shared" si="99"/>
        <v>PLAQUE,TITRE,TAXES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G734</v>
      </c>
      <c r="AU1013" s="488" t="str">
        <f t="shared" si="102"/>
        <v>PLAQUE,TITRE,TAXES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hidden="1" customHeight="1">
      <c r="A1014" s="706" t="s">
        <v>1148</v>
      </c>
      <c r="B1014" s="706">
        <v>2026</v>
      </c>
      <c r="C1014" s="706" t="s">
        <v>3010</v>
      </c>
      <c r="D1014" s="706" t="s">
        <v>3011</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G73400</v>
      </c>
      <c r="AK1014" s="905" t="str">
        <f t="shared" si="99"/>
        <v>PLAQUES TITRES LOC.C/TERM</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G73400</v>
      </c>
      <c r="AP1014" s="487">
        <f>+VLOOKUP($AJ1014,Data_Validation!$A:$D,3,0)</f>
        <v>0</v>
      </c>
      <c r="AQ1014" s="487">
        <f>+VLOOKUP($AJ1014,Data_Validation!$A:$D,4,0)</f>
        <v>0</v>
      </c>
      <c r="AR1014" s="487" t="s">
        <v>299</v>
      </c>
      <c r="AS1014" s="487">
        <f>+VLOOKUP($AJ1014,Data_Validation!$A:$E,5,0)</f>
        <v>0</v>
      </c>
      <c r="AT1014" s="904" t="str">
        <f t="shared" si="101"/>
        <v>G73400</v>
      </c>
      <c r="AU1014" s="488" t="str">
        <f t="shared" si="102"/>
        <v>PLAQUES TITRES LOC.C/TERM</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3012</v>
      </c>
      <c r="D1015" s="706" t="s">
        <v>3013</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G735</v>
      </c>
      <c r="AK1015" s="905" t="str">
        <f t="shared" si="99"/>
        <v>TRAVAUX GRACIEUX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G735</v>
      </c>
      <c r="AU1015" s="488" t="str">
        <f t="shared" si="102"/>
        <v>TRAVAUX GRACIEUX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hidden="1" customHeight="1">
      <c r="A1016" s="706" t="s">
        <v>1148</v>
      </c>
      <c r="B1016" s="706">
        <v>2026</v>
      </c>
      <c r="C1016" s="706" t="s">
        <v>3014</v>
      </c>
      <c r="D1016" s="706" t="s">
        <v>3015</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G736</v>
      </c>
      <c r="AK1016" s="905" t="str">
        <f t="shared" si="99"/>
        <v>REPAR.&amp; ENTRETIEN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G736</v>
      </c>
      <c r="AU1016" s="488" t="str">
        <f t="shared" si="102"/>
        <v>REPAR.&amp; ENTRETIEN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hidden="1" customHeight="1">
      <c r="A1017" s="706" t="s">
        <v>1148</v>
      </c>
      <c r="B1017" s="706">
        <v>2026</v>
      </c>
      <c r="C1017" s="706" t="s">
        <v>3016</v>
      </c>
      <c r="D1017" s="706" t="s">
        <v>3017</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G73600</v>
      </c>
      <c r="AK1017" s="905" t="str">
        <f t="shared" si="99"/>
        <v>REPAR. ENTRETIEN LOC C/T</v>
      </c>
      <c r="AL1017" s="905">
        <f>IFERROR(INDEX(G1017:R1017,1,MATCH(Parametres!$B$3,G$1:R$1,0)-1)*IF(OR(F1017="L",F1017="S",F1017="I"),-1,1),"")</f>
        <v>0</v>
      </c>
      <c r="AM1017" s="905">
        <f t="shared" si="100"/>
        <v>0</v>
      </c>
      <c r="AN1017" s="905">
        <f>INDEX(G1017:R1017,1,MATCH(Parametres!$B$3,G$1:R$1,0))*IF(OR(F1017="L",F1017="S",F1017="I"),-1,1)</f>
        <v>0</v>
      </c>
      <c r="AO1017" s="487" t="str">
        <f>+VLOOKUP($AJ1017,Data_Validation!$A:$D,1,0)</f>
        <v>G73600</v>
      </c>
      <c r="AP1017" s="487">
        <f>+VLOOKUP($AJ1017,Data_Validation!$A:$D,3,0)</f>
        <v>0</v>
      </c>
      <c r="AQ1017" s="487">
        <f>+VLOOKUP($AJ1017,Data_Validation!$A:$D,4,0)</f>
        <v>0</v>
      </c>
      <c r="AR1017" s="487" t="s">
        <v>299</v>
      </c>
      <c r="AS1017" s="487">
        <f>+VLOOKUP($AJ1017,Data_Validation!$A:$E,5,0)</f>
        <v>0</v>
      </c>
      <c r="AT1017" s="904" t="str">
        <f t="shared" si="101"/>
        <v>G73600</v>
      </c>
      <c r="AU1017" s="488" t="str">
        <f t="shared" si="102"/>
        <v>REPAR. ENTRETIEN LOC C/T</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3018</v>
      </c>
      <c r="D1018" s="706" t="s">
        <v>3019</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G737</v>
      </c>
      <c r="AK1018" s="905" t="str">
        <f t="shared" si="99"/>
        <v>PRIX LOC.UNIT.S-LOUE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G737</v>
      </c>
      <c r="AU1018" s="488" t="str">
        <f t="shared" si="102"/>
        <v>PRIX LOC.UNIT.S-LOUE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hidden="1" customHeight="1">
      <c r="A1019" s="706" t="s">
        <v>1148</v>
      </c>
      <c r="B1019" s="706">
        <v>2026</v>
      </c>
      <c r="C1019" s="706" t="s">
        <v>3020</v>
      </c>
      <c r="D1019" s="706" t="s">
        <v>3021</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G738</v>
      </c>
      <c r="AK1019" s="905" t="str">
        <f t="shared" si="99"/>
        <v>AUTRES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G738</v>
      </c>
      <c r="AU1019" s="488" t="str">
        <f t="shared" si="102"/>
        <v>AUTRES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hidden="1" customHeight="1">
      <c r="A1020" s="706" t="s">
        <v>1148</v>
      </c>
      <c r="B1020" s="706">
        <v>2026</v>
      </c>
      <c r="C1020" s="706" t="s">
        <v>3022</v>
      </c>
      <c r="D1020" s="706" t="s">
        <v>3023</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G740</v>
      </c>
      <c r="AK1020" s="905" t="str">
        <f t="shared" si="99"/>
        <v>COMM.DIRECT.F&amp;A LOC C&amp;L</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G740</v>
      </c>
      <c r="AU1020" s="488" t="str">
        <f t="shared" si="102"/>
        <v>COMM.DIRECT.F&amp;A LOC C&amp;L</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hidden="1" customHeight="1">
      <c r="A1021" s="706" t="s">
        <v>1148</v>
      </c>
      <c r="B1021" s="706">
        <v>2026</v>
      </c>
      <c r="C1021" s="706" t="s">
        <v>3024</v>
      </c>
      <c r="D1021" s="706" t="s">
        <v>3025</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G741</v>
      </c>
      <c r="AK1021" s="905" t="str">
        <f t="shared" si="99"/>
        <v>RETROFACT.F&amp;A LOC C&amp;L TER</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G741</v>
      </c>
      <c r="AU1021" s="488" t="str">
        <f t="shared" si="102"/>
        <v>RETROFACT.F&amp;A LOC C&amp;L TER</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hidden="1" customHeight="1">
      <c r="A1022" s="706" t="s">
        <v>1148</v>
      </c>
      <c r="B1022" s="706">
        <v>2026</v>
      </c>
      <c r="C1022" s="706" t="s">
        <v>3026</v>
      </c>
      <c r="D1022" s="706" t="s">
        <v>3027</v>
      </c>
      <c r="E1022" s="706" t="s">
        <v>333</v>
      </c>
      <c r="F1022" s="706" t="s">
        <v>1150</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G806</v>
      </c>
      <c r="AK1022" s="905" t="str">
        <f t="shared" si="99"/>
        <v>REVENU FINANCE - NEUF</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G806</v>
      </c>
      <c r="AU1022" s="488" t="str">
        <f t="shared" si="102"/>
        <v>REVENU FINANCE - NEUF</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3028</v>
      </c>
      <c r="D1023" s="706" t="s">
        <v>3029</v>
      </c>
      <c r="E1023" s="706" t="s">
        <v>333</v>
      </c>
      <c r="F1023" s="706" t="s">
        <v>1150</v>
      </c>
      <c r="G1023" s="706">
        <v>0</v>
      </c>
      <c r="H1023" s="706">
        <v>-291.51</v>
      </c>
      <c r="I1023" s="706">
        <v>1158.49</v>
      </c>
      <c r="J1023" s="706">
        <v>6748.1</v>
      </c>
      <c r="K1023" s="706">
        <v>8664.1200000000008</v>
      </c>
      <c r="L1023" s="706">
        <v>11124.29</v>
      </c>
      <c r="M1023" s="706">
        <v>12124.29</v>
      </c>
      <c r="N1023" s="706">
        <v>22108.560000000001</v>
      </c>
      <c r="O1023" s="706">
        <v>22108.560000000001</v>
      </c>
      <c r="P1023" s="706">
        <v>0</v>
      </c>
      <c r="Q1023" s="706">
        <v>0</v>
      </c>
      <c r="R1023" s="706">
        <v>0</v>
      </c>
      <c r="S1023" s="706">
        <v>2763.57</v>
      </c>
      <c r="T1023" s="706">
        <v>2763.57</v>
      </c>
      <c r="U1023" s="706">
        <v>0</v>
      </c>
      <c r="V1023" s="706">
        <v>0</v>
      </c>
      <c r="W1023" s="706">
        <v>-1</v>
      </c>
      <c r="X1023" s="706">
        <v>1</v>
      </c>
      <c r="Y1023" s="706">
        <v>8</v>
      </c>
      <c r="Z1023" s="706">
        <v>9</v>
      </c>
      <c r="AA1023" s="706">
        <v>10</v>
      </c>
      <c r="AB1023" s="706">
        <v>11</v>
      </c>
      <c r="AC1023" s="706">
        <v>20</v>
      </c>
      <c r="AD1023" s="706">
        <v>20</v>
      </c>
      <c r="AE1023" s="706">
        <v>0</v>
      </c>
      <c r="AF1023" s="706">
        <v>0</v>
      </c>
      <c r="AG1023" s="706">
        <v>0</v>
      </c>
      <c r="AH1023" s="706">
        <v>3</v>
      </c>
      <c r="AI1023" s="706">
        <v>3</v>
      </c>
      <c r="AJ1023" s="905" t="str">
        <f t="shared" si="98"/>
        <v>G80600</v>
      </c>
      <c r="AK1023" s="905" t="str">
        <f t="shared" si="99"/>
        <v>REVENUS FINANCE VEH. NEUF</v>
      </c>
      <c r="AL1023" s="905">
        <f>IFERROR(INDEX(G1023:R1023,1,MATCH(Parametres!$B$3,G$1:R$1,0)-1)*IF(OR(F1023="L",F1023="S",F1023="I"),-1,1),"")</f>
        <v>-12124.29</v>
      </c>
      <c r="AM1023" s="905">
        <f t="shared" si="100"/>
        <v>-9984.27</v>
      </c>
      <c r="AN1023" s="905">
        <f>INDEX(G1023:R1023,1,MATCH(Parametres!$B$3,G$1:R$1,0))*IF(OR(F1023="L",F1023="S",F1023="I"),-1,1)</f>
        <v>-22108.560000000001</v>
      </c>
      <c r="AO1023" s="487" t="str">
        <f>+VLOOKUP($AJ1023,Data_Validation!$A:$D,1,0)</f>
        <v>G80600</v>
      </c>
      <c r="AP1023" s="487" t="str">
        <f>+VLOOKUP($AJ1023,Data_Validation!$A:$D,3,0)</f>
        <v>Véhicules neufs</v>
      </c>
      <c r="AQ1023" s="487" t="str">
        <f>+VLOOKUP($AJ1023,Data_Validation!$A:$D,4,0)</f>
        <v>Rev. Finances</v>
      </c>
      <c r="AR1023" s="487" t="s">
        <v>299</v>
      </c>
      <c r="AS1023" s="487" t="str">
        <f>+VLOOKUP($AJ1023,Data_Validation!$A:$E,5,0)</f>
        <v>Oui</v>
      </c>
      <c r="AT1023" s="904" t="str">
        <f t="shared" si="101"/>
        <v>G80600</v>
      </c>
      <c r="AU1023" s="488" t="str">
        <f t="shared" si="102"/>
        <v>REVENUS FINANCE VEH. NEUF</v>
      </c>
      <c r="AV1023" s="899">
        <f>IFERROR(INDEX(V1023:AG1023,1,MATCH(Parametres!$B$3,V$1:AG$1,0)-1)*IF(OR(C1023="L",C1023="S",C1023="I"),-1,1),"")</f>
        <v>11</v>
      </c>
      <c r="AW1023" s="899">
        <f t="shared" si="103"/>
        <v>9</v>
      </c>
      <c r="AX1023" s="899">
        <f>INDEX(V1023:AG1023,1,MATCH(Parametres!$B$3,V$1:AG$1,0))*IF(OR(C1023="L",C1023="S",C1023="I"),-1,1)</f>
        <v>20</v>
      </c>
      <c r="AY1023" s="487" t="s">
        <v>337</v>
      </c>
      <c r="AZ1023" s="487" t="str">
        <f>+VLOOKUP($AJ1023,Data_Validation!$A:$E,5,0)</f>
        <v>Oui</v>
      </c>
    </row>
    <row r="1024" spans="1:52" ht="15" hidden="1" customHeight="1">
      <c r="A1024" s="706" t="s">
        <v>1148</v>
      </c>
      <c r="B1024" s="706">
        <v>2026</v>
      </c>
      <c r="C1024" s="706" t="s">
        <v>3030</v>
      </c>
      <c r="D1024" s="706" t="s">
        <v>3031</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G807</v>
      </c>
      <c r="AK1024" s="905" t="str">
        <f t="shared" ref="AK1024:AK1025" si="105">D1024</f>
        <v>COMM/ASSURANCE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G807</v>
      </c>
      <c r="AU1024" s="488" t="str">
        <f t="shared" ref="AU1024:AU1025" si="108">D1024</f>
        <v>COMM/ASSURANCE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hidden="1" customHeight="1">
      <c r="A1025" s="706" t="s">
        <v>1148</v>
      </c>
      <c r="B1025" s="706">
        <v>2026</v>
      </c>
      <c r="C1025" s="706" t="s">
        <v>3032</v>
      </c>
      <c r="D1025" s="706" t="s">
        <v>3033</v>
      </c>
      <c r="E1025" s="706" t="s">
        <v>333</v>
      </c>
      <c r="F1025" s="706" t="s">
        <v>1150</v>
      </c>
      <c r="G1025" s="706">
        <v>2016.14</v>
      </c>
      <c r="H1025" s="706">
        <v>6065.08</v>
      </c>
      <c r="I1025" s="706">
        <v>6065.08</v>
      </c>
      <c r="J1025" s="706">
        <v>9866.18</v>
      </c>
      <c r="K1025" s="706">
        <v>9866.18</v>
      </c>
      <c r="L1025" s="706">
        <v>23237.93</v>
      </c>
      <c r="M1025" s="706">
        <v>23237.93</v>
      </c>
      <c r="N1025" s="706">
        <v>23893.83</v>
      </c>
      <c r="O1025" s="706">
        <v>23893.83</v>
      </c>
      <c r="P1025" s="706">
        <v>0</v>
      </c>
      <c r="Q1025" s="706">
        <v>0</v>
      </c>
      <c r="R1025" s="706">
        <v>0</v>
      </c>
      <c r="S1025" s="706">
        <v>2986.73</v>
      </c>
      <c r="T1025" s="706">
        <v>2986.73</v>
      </c>
      <c r="U1025" s="706">
        <v>0</v>
      </c>
      <c r="V1025" s="706">
        <v>0</v>
      </c>
      <c r="W1025" s="706">
        <v>0</v>
      </c>
      <c r="X1025" s="706">
        <v>0</v>
      </c>
      <c r="Y1025" s="706">
        <v>-1</v>
      </c>
      <c r="Z1025" s="706">
        <v>-1</v>
      </c>
      <c r="AA1025" s="706">
        <v>-1</v>
      </c>
      <c r="AB1025" s="706">
        <v>-1</v>
      </c>
      <c r="AC1025" s="706">
        <v>-1</v>
      </c>
      <c r="AD1025" s="706">
        <v>-1</v>
      </c>
      <c r="AE1025" s="706">
        <v>0</v>
      </c>
      <c r="AF1025" s="706">
        <v>0</v>
      </c>
      <c r="AG1025" s="706">
        <v>0</v>
      </c>
      <c r="AH1025" s="706">
        <v>0</v>
      </c>
      <c r="AI1025" s="706">
        <v>0</v>
      </c>
      <c r="AJ1025" s="905" t="str">
        <f t="shared" si="104"/>
        <v>G80700</v>
      </c>
      <c r="AK1025" s="905" t="str">
        <f t="shared" si="105"/>
        <v>REV. ASS-VIE INVAL. NEUF</v>
      </c>
      <c r="AL1025" s="905">
        <f>IFERROR(INDEX(G1025:R1025,1,MATCH(Parametres!$B$3,G$1:R$1,0)-1)*IF(OR(F1025="L",F1025="S",F1025="I"),-1,1),"")</f>
        <v>-23237.93</v>
      </c>
      <c r="AM1025" s="905">
        <f t="shared" si="106"/>
        <v>-655.90000000000146</v>
      </c>
      <c r="AN1025" s="905">
        <f>INDEX(G1025:R1025,1,MATCH(Parametres!$B$3,G$1:R$1,0))*IF(OR(F1025="L",F1025="S",F1025="I"),-1,1)</f>
        <v>-23893.83</v>
      </c>
      <c r="AO1025" s="487" t="str">
        <f>+VLOOKUP($AJ1025,Data_Validation!$A:$D,1,0)</f>
        <v>G80700</v>
      </c>
      <c r="AP1025" s="487" t="str">
        <f>+VLOOKUP($AJ1025,Data_Validation!$A:$D,3,0)</f>
        <v>Véhicules neufs</v>
      </c>
      <c r="AQ1025" s="487" t="str">
        <f>+VLOOKUP($AJ1025,Data_Validation!$A:$D,4,0)</f>
        <v>Rev. Protections</v>
      </c>
      <c r="AR1025" s="487" t="s">
        <v>299</v>
      </c>
      <c r="AS1025" s="487" t="str">
        <f>+VLOOKUP($AJ1025,Data_Validation!$A:$E,5,0)</f>
        <v>Oui</v>
      </c>
      <c r="AT1025" s="904" t="str">
        <f t="shared" si="107"/>
        <v>G80700</v>
      </c>
      <c r="AU1025" s="488" t="str">
        <f t="shared" si="108"/>
        <v>REV. ASS-VIE INVAL. NEUF</v>
      </c>
      <c r="AV1025" s="899">
        <f>IFERROR(INDEX(V1025:AG1025,1,MATCH(Parametres!$B$3,V$1:AG$1,0)-1)*IF(OR(C1025="L",C1025="S",C1025="I"),-1,1),"")</f>
        <v>-1</v>
      </c>
      <c r="AW1025" s="899">
        <f t="shared" si="109"/>
        <v>0</v>
      </c>
      <c r="AX1025" s="899">
        <f>INDEX(V1025:AG1025,1,MATCH(Parametres!$B$3,V$1:AG$1,0))*IF(OR(C1025="L",C1025="S",C1025="I"),-1,1)</f>
        <v>-1</v>
      </c>
      <c r="AY1025" s="487" t="s">
        <v>337</v>
      </c>
      <c r="AZ1025" s="487" t="str">
        <f>+VLOOKUP($AJ1025,Data_Validation!$A:$E,5,0)</f>
        <v>Oui</v>
      </c>
    </row>
    <row r="1026" spans="1:52" ht="15" hidden="1" customHeight="1">
      <c r="A1026" s="706" t="s">
        <v>1148</v>
      </c>
      <c r="B1026" s="706">
        <v>2026</v>
      </c>
      <c r="C1026" s="706" t="s">
        <v>3034</v>
      </c>
      <c r="D1026" s="706" t="s">
        <v>3035</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G808</v>
      </c>
      <c r="AK1026" s="905" t="str">
        <f t="shared" ref="AK1026:AK1076" si="111">D1026</f>
        <v>REVENU FINANCEMENT USAGES</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G808</v>
      </c>
      <c r="AU1026" s="488" t="str">
        <f t="shared" ref="AU1026:AU1076" si="114">D1026</f>
        <v>REVENU FINANCEMENT USAGES</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hidden="1" customHeight="1">
      <c r="A1027" s="706" t="s">
        <v>1148</v>
      </c>
      <c r="B1027" s="706">
        <v>2026</v>
      </c>
      <c r="C1027" s="706" t="s">
        <v>3036</v>
      </c>
      <c r="D1027" s="706" t="s">
        <v>3037</v>
      </c>
      <c r="E1027" s="706" t="s">
        <v>333</v>
      </c>
      <c r="F1027" s="706" t="s">
        <v>1150</v>
      </c>
      <c r="G1027" s="706">
        <v>6932.74</v>
      </c>
      <c r="H1027" s="706">
        <v>12944.93</v>
      </c>
      <c r="I1027" s="706">
        <v>25188.84</v>
      </c>
      <c r="J1027" s="706">
        <v>34384.089999999997</v>
      </c>
      <c r="K1027" s="706">
        <v>43238.29</v>
      </c>
      <c r="L1027" s="706">
        <v>45460.49</v>
      </c>
      <c r="M1027" s="706">
        <v>62450.49</v>
      </c>
      <c r="N1027" s="706">
        <v>64971.49</v>
      </c>
      <c r="O1027" s="706">
        <v>64971.49</v>
      </c>
      <c r="P1027" s="706">
        <v>0</v>
      </c>
      <c r="Q1027" s="706">
        <v>0</v>
      </c>
      <c r="R1027" s="706">
        <v>0</v>
      </c>
      <c r="S1027" s="706">
        <v>8121.44</v>
      </c>
      <c r="T1027" s="706">
        <v>8121.44</v>
      </c>
      <c r="U1027" s="706">
        <v>0</v>
      </c>
      <c r="V1027" s="706">
        <v>7</v>
      </c>
      <c r="W1027" s="706">
        <v>11</v>
      </c>
      <c r="X1027" s="706">
        <v>21</v>
      </c>
      <c r="Y1027" s="706">
        <v>29</v>
      </c>
      <c r="Z1027" s="706">
        <v>41</v>
      </c>
      <c r="AA1027" s="706">
        <v>44</v>
      </c>
      <c r="AB1027" s="706">
        <v>59</v>
      </c>
      <c r="AC1027" s="706">
        <v>63</v>
      </c>
      <c r="AD1027" s="706">
        <v>63</v>
      </c>
      <c r="AE1027" s="706">
        <v>0</v>
      </c>
      <c r="AF1027" s="706">
        <v>0</v>
      </c>
      <c r="AG1027" s="706">
        <v>0</v>
      </c>
      <c r="AH1027" s="706">
        <v>8</v>
      </c>
      <c r="AI1027" s="706">
        <v>8</v>
      </c>
      <c r="AJ1027" s="905" t="str">
        <f t="shared" si="110"/>
        <v>G80800</v>
      </c>
      <c r="AK1027" s="905" t="str">
        <f t="shared" si="111"/>
        <v>REVENUS FINANCE VEH.USAGE</v>
      </c>
      <c r="AL1027" s="905">
        <f>IFERROR(INDEX(G1027:R1027,1,MATCH(Parametres!$B$3,G$1:R$1,0)-1)*IF(OR(F1027="L",F1027="S",F1027="I"),-1,1),"")</f>
        <v>-62450.49</v>
      </c>
      <c r="AM1027" s="905">
        <f t="shared" si="112"/>
        <v>-2521</v>
      </c>
      <c r="AN1027" s="905">
        <f>INDEX(G1027:R1027,1,MATCH(Parametres!$B$3,G$1:R$1,0))*IF(OR(F1027="L",F1027="S",F1027="I"),-1,1)</f>
        <v>-64971.49</v>
      </c>
      <c r="AO1027" s="487" t="str">
        <f>+VLOOKUP($AJ1027,Data_Validation!$A:$D,1,0)</f>
        <v>G80800</v>
      </c>
      <c r="AP1027" s="487" t="str">
        <f>+VLOOKUP($AJ1027,Data_Validation!$A:$D,3,0)</f>
        <v>Véhicules usagés</v>
      </c>
      <c r="AQ1027" s="487" t="str">
        <f>+VLOOKUP($AJ1027,Data_Validation!$A:$D,4,0)</f>
        <v>Rev. Finances</v>
      </c>
      <c r="AR1027" s="487" t="s">
        <v>299</v>
      </c>
      <c r="AS1027" s="487" t="str">
        <f>+VLOOKUP($AJ1027,Data_Validation!$A:$E,5,0)</f>
        <v>Oui</v>
      </c>
      <c r="AT1027" s="904" t="str">
        <f t="shared" si="113"/>
        <v>G80800</v>
      </c>
      <c r="AU1027" s="488" t="str">
        <f t="shared" si="114"/>
        <v>REVENUS FINANCE VEH.USAGE</v>
      </c>
      <c r="AV1027" s="899">
        <f>IFERROR(INDEX(V1027:AG1027,1,MATCH(Parametres!$B$3,V$1:AG$1,0)-1)*IF(OR(C1027="L",C1027="S",C1027="I"),-1,1),"")</f>
        <v>59</v>
      </c>
      <c r="AW1027" s="899">
        <f t="shared" si="115"/>
        <v>4</v>
      </c>
      <c r="AX1027" s="899">
        <f>INDEX(V1027:AG1027,1,MATCH(Parametres!$B$3,V$1:AG$1,0))*IF(OR(C1027="L",C1027="S",C1027="I"),-1,1)</f>
        <v>63</v>
      </c>
      <c r="AY1027" s="487" t="s">
        <v>337</v>
      </c>
      <c r="AZ1027" s="487" t="str">
        <f>+VLOOKUP($AJ1027,Data_Validation!$A:$E,5,0)</f>
        <v>Oui</v>
      </c>
    </row>
    <row r="1028" spans="1:52" ht="15" hidden="1" customHeight="1">
      <c r="A1028" s="706" t="s">
        <v>1148</v>
      </c>
      <c r="B1028" s="706">
        <v>2026</v>
      </c>
      <c r="C1028" s="706" t="s">
        <v>3038</v>
      </c>
      <c r="D1028" s="706" t="s">
        <v>3039</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G809</v>
      </c>
      <c r="AK1028" s="905" t="str">
        <f t="shared" si="111"/>
        <v>COMM/ASSURANCE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G809</v>
      </c>
      <c r="AU1028" s="488" t="str">
        <f t="shared" si="114"/>
        <v>COMM/ASSURANCE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hidden="1" customHeight="1">
      <c r="A1029" s="706" t="s">
        <v>1148</v>
      </c>
      <c r="B1029" s="706">
        <v>2026</v>
      </c>
      <c r="C1029" s="706" t="s">
        <v>3040</v>
      </c>
      <c r="D1029" s="706" t="s">
        <v>3041</v>
      </c>
      <c r="E1029" s="706" t="s">
        <v>333</v>
      </c>
      <c r="F1029" s="706" t="s">
        <v>1150</v>
      </c>
      <c r="G1029" s="706">
        <v>969.88</v>
      </c>
      <c r="H1029" s="706">
        <v>969.88</v>
      </c>
      <c r="I1029" s="706">
        <v>969.88</v>
      </c>
      <c r="J1029" s="706">
        <v>3540.5</v>
      </c>
      <c r="K1029" s="706">
        <v>3540.5</v>
      </c>
      <c r="L1029" s="706">
        <v>3540.5</v>
      </c>
      <c r="M1029" s="706">
        <v>3540.5</v>
      </c>
      <c r="N1029" s="706">
        <v>3540.5</v>
      </c>
      <c r="O1029" s="706">
        <v>3540.5</v>
      </c>
      <c r="P1029" s="706">
        <v>0</v>
      </c>
      <c r="Q1029" s="706">
        <v>0</v>
      </c>
      <c r="R1029" s="706">
        <v>0</v>
      </c>
      <c r="S1029" s="706">
        <v>442.56</v>
      </c>
      <c r="T1029" s="706">
        <v>442.56</v>
      </c>
      <c r="U1029" s="706">
        <v>0</v>
      </c>
      <c r="V1029" s="706">
        <v>0</v>
      </c>
      <c r="W1029" s="706">
        <v>0</v>
      </c>
      <c r="X1029" s="706">
        <v>0</v>
      </c>
      <c r="Y1029" s="706">
        <v>-1</v>
      </c>
      <c r="Z1029" s="706">
        <v>-1</v>
      </c>
      <c r="AA1029" s="706">
        <v>-1</v>
      </c>
      <c r="AB1029" s="706">
        <v>-1</v>
      </c>
      <c r="AC1029" s="706">
        <v>-1</v>
      </c>
      <c r="AD1029" s="706">
        <v>-1</v>
      </c>
      <c r="AE1029" s="706">
        <v>0</v>
      </c>
      <c r="AF1029" s="706">
        <v>0</v>
      </c>
      <c r="AG1029" s="706">
        <v>0</v>
      </c>
      <c r="AH1029" s="706">
        <v>0</v>
      </c>
      <c r="AI1029" s="706">
        <v>0</v>
      </c>
      <c r="AJ1029" s="905" t="str">
        <f t="shared" si="110"/>
        <v>G80900</v>
      </c>
      <c r="AK1029" s="905" t="str">
        <f t="shared" si="111"/>
        <v>REV. ASS-VIE INVAL. USAGE</v>
      </c>
      <c r="AL1029" s="905">
        <f>IFERROR(INDEX(G1029:R1029,1,MATCH(Parametres!$B$3,G$1:R$1,0)-1)*IF(OR(F1029="L",F1029="S",F1029="I"),-1,1),"")</f>
        <v>-3540.5</v>
      </c>
      <c r="AM1029" s="905">
        <f t="shared" si="112"/>
        <v>0</v>
      </c>
      <c r="AN1029" s="905">
        <f>INDEX(G1029:R1029,1,MATCH(Parametres!$B$3,G$1:R$1,0))*IF(OR(F1029="L",F1029="S",F1029="I"),-1,1)</f>
        <v>-3540.5</v>
      </c>
      <c r="AO1029" s="487" t="str">
        <f>+VLOOKUP($AJ1029,Data_Validation!$A:$D,1,0)</f>
        <v>G80900</v>
      </c>
      <c r="AP1029" s="487" t="str">
        <f>+VLOOKUP($AJ1029,Data_Validation!$A:$D,3,0)</f>
        <v>Véhicules usagés</v>
      </c>
      <c r="AQ1029" s="487" t="str">
        <f>+VLOOKUP($AJ1029,Data_Validation!$A:$D,4,0)</f>
        <v>Rev. Protections</v>
      </c>
      <c r="AR1029" s="487" t="s">
        <v>299</v>
      </c>
      <c r="AS1029" s="487" t="str">
        <f>+VLOOKUP($AJ1029,Data_Validation!$A:$E,5,0)</f>
        <v>Oui</v>
      </c>
      <c r="AT1029" s="904" t="str">
        <f t="shared" si="113"/>
        <v>G80900</v>
      </c>
      <c r="AU1029" s="488" t="str">
        <f t="shared" si="114"/>
        <v>REV. ASS-VIE INVAL. USAGE</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hidden="1" customHeight="1">
      <c r="A1030" s="706" t="s">
        <v>1148</v>
      </c>
      <c r="B1030" s="706">
        <v>2026</v>
      </c>
      <c r="C1030" s="706" t="s">
        <v>3042</v>
      </c>
      <c r="D1030" s="706" t="s">
        <v>3043</v>
      </c>
      <c r="E1030" s="706" t="s">
        <v>333</v>
      </c>
      <c r="F1030" s="706" t="s">
        <v>1149</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G810</v>
      </c>
      <c r="AK1030" s="905" t="str">
        <f t="shared" si="111"/>
        <v>VTES-ACCESSOIRES NEUF</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G810</v>
      </c>
      <c r="AU1030" s="488" t="str">
        <f t="shared" si="114"/>
        <v>VTES-ACCESSOIRES NEUF</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hidden="1" customHeight="1">
      <c r="A1031" s="706" t="s">
        <v>1148</v>
      </c>
      <c r="B1031" s="706">
        <v>2026</v>
      </c>
      <c r="C1031" s="706" t="s">
        <v>3044</v>
      </c>
      <c r="D1031" s="706" t="s">
        <v>3045</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G810C</v>
      </c>
      <c r="AK1031" s="905" t="str">
        <f t="shared" si="111"/>
        <v>COUT-ACCESSOIRES NEUF</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G810C</v>
      </c>
      <c r="AU1031" s="488" t="str">
        <f t="shared" si="114"/>
        <v>COUT-ACCESSOIRES NEUF</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hidden="1" customHeight="1">
      <c r="A1032" s="706" t="s">
        <v>1148</v>
      </c>
      <c r="B1032" s="706">
        <v>2026</v>
      </c>
      <c r="C1032" s="706" t="s">
        <v>3046</v>
      </c>
      <c r="D1032" s="706" t="s">
        <v>3047</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G811</v>
      </c>
      <c r="AK1032" s="905" t="str">
        <f t="shared" si="111"/>
        <v>VTES-ACCESSOIRES USAGE</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G811</v>
      </c>
      <c r="AU1032" s="488" t="str">
        <f t="shared" si="114"/>
        <v>VTES-ACCESSOIRES USAGE</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hidden="1" customHeight="1">
      <c r="A1033" s="706" t="s">
        <v>1148</v>
      </c>
      <c r="B1033" s="706">
        <v>2026</v>
      </c>
      <c r="C1033" s="706" t="s">
        <v>3048</v>
      </c>
      <c r="D1033" s="706" t="s">
        <v>3049</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G811C</v>
      </c>
      <c r="AK1033" s="905" t="str">
        <f t="shared" si="111"/>
        <v>COUT-ACCESSOIRES USAGE</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G811C</v>
      </c>
      <c r="AU1033" s="488" t="str">
        <f t="shared" si="114"/>
        <v>COUT-ACCESSOIRES USAGE</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hidden="1" customHeight="1">
      <c r="A1034" s="706" t="s">
        <v>1148</v>
      </c>
      <c r="B1034" s="706">
        <v>2026</v>
      </c>
      <c r="C1034" s="706" t="s">
        <v>3050</v>
      </c>
      <c r="D1034" s="706" t="s">
        <v>3051</v>
      </c>
      <c r="E1034" s="706" t="s">
        <v>333</v>
      </c>
      <c r="F1034" s="706" t="s">
        <v>1150</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G82200</v>
      </c>
      <c r="AK1034" s="905" t="str">
        <f t="shared" si="111"/>
        <v>AUTRES REVENUS VEH. NEUFS</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G82200</v>
      </c>
      <c r="AU1034" s="488" t="str">
        <f t="shared" si="114"/>
        <v>AUTRES REVENUS VEH. NEUFS</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hidden="1" customHeight="1">
      <c r="A1035" s="706" t="s">
        <v>1148</v>
      </c>
      <c r="B1035" s="706">
        <v>2026</v>
      </c>
      <c r="C1035" s="706" t="s">
        <v>3052</v>
      </c>
      <c r="D1035" s="706" t="s">
        <v>3053</v>
      </c>
      <c r="E1035" s="706" t="s">
        <v>333</v>
      </c>
      <c r="F1035" s="706" t="s">
        <v>1150</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G82300</v>
      </c>
      <c r="AK1035" s="905" t="str">
        <f t="shared" si="111"/>
        <v>AUTRES REVENUS VEH.USAGÉS</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G82300</v>
      </c>
      <c r="AU1035" s="488" t="str">
        <f t="shared" si="114"/>
        <v>AUTRES REVENUS VEH.USAGÉS</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hidden="1" customHeight="1">
      <c r="A1036" s="706" t="s">
        <v>1148</v>
      </c>
      <c r="B1036" s="706">
        <v>2026</v>
      </c>
      <c r="C1036" s="706" t="s">
        <v>3054</v>
      </c>
      <c r="D1036" s="706" t="s">
        <v>3055</v>
      </c>
      <c r="E1036" s="706" t="s">
        <v>333</v>
      </c>
      <c r="F1036" s="706" t="s">
        <v>1104</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G850</v>
      </c>
      <c r="AK1036" s="905" t="str">
        <f t="shared" si="111"/>
        <v>RETROFACTURATION F&amp;A NEUF</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G850</v>
      </c>
      <c r="AU1036" s="488" t="str">
        <f t="shared" si="114"/>
        <v>RETROFACTURATION F&amp;A NEUF</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hidden="1" customHeight="1">
      <c r="A1037" s="706" t="s">
        <v>1148</v>
      </c>
      <c r="B1037" s="706">
        <v>2026</v>
      </c>
      <c r="C1037" s="706" t="s">
        <v>3056</v>
      </c>
      <c r="D1037" s="706" t="s">
        <v>3057</v>
      </c>
      <c r="E1037" s="706" t="s">
        <v>333</v>
      </c>
      <c r="F1037" s="706" t="s">
        <v>1104</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G851</v>
      </c>
      <c r="AK1037" s="905" t="str">
        <f t="shared" si="111"/>
        <v>RETROFACTURATION F&amp;A USAG</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G851</v>
      </c>
      <c r="AU1037" s="488" t="str">
        <f t="shared" si="114"/>
        <v>RETROFACTURATION F&amp;A USAG</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hidden="1" customHeight="1">
      <c r="A1038" s="706" t="s">
        <v>1148</v>
      </c>
      <c r="B1038" s="706">
        <v>2026</v>
      </c>
      <c r="C1038" s="706" t="s">
        <v>3058</v>
      </c>
      <c r="D1038" s="706" t="s">
        <v>3059</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G853</v>
      </c>
      <c r="AK1038" s="905" t="str">
        <f t="shared" si="111"/>
        <v>PERTE REPOSSESSION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G853</v>
      </c>
      <c r="AU1038" s="488" t="str">
        <f t="shared" si="114"/>
        <v>PERTE REPOSSESSION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hidden="1" customHeight="1">
      <c r="A1039" s="706" t="s">
        <v>1148</v>
      </c>
      <c r="B1039" s="706">
        <v>2026</v>
      </c>
      <c r="C1039" s="706" t="s">
        <v>3060</v>
      </c>
      <c r="D1039" s="706" t="s">
        <v>3059</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G85300</v>
      </c>
      <c r="AK1039" s="905" t="str">
        <f t="shared" si="111"/>
        <v>PERTE REPOSSESSION NEUF</v>
      </c>
      <c r="AL1039" s="905">
        <f>IFERROR(INDEX(G1039:R1039,1,MATCH(Parametres!$B$3,G$1:R$1,0)-1)*IF(OR(F1039="L",F1039="S",F1039="I"),-1,1),"")</f>
        <v>0</v>
      </c>
      <c r="AM1039" s="905">
        <f t="shared" si="112"/>
        <v>0</v>
      </c>
      <c r="AN1039" s="905">
        <f>INDEX(G1039:R1039,1,MATCH(Parametres!$B$3,G$1:R$1,0))*IF(OR(F1039="L",F1039="S",F1039="I"),-1,1)</f>
        <v>0</v>
      </c>
      <c r="AO1039" s="487" t="str">
        <f>+VLOOKUP($AJ1039,Data_Validation!$A:$D,1,0)</f>
        <v>G85300</v>
      </c>
      <c r="AP1039" s="487">
        <f>+VLOOKUP($AJ1039,Data_Validation!$A:$D,3,0)</f>
        <v>0</v>
      </c>
      <c r="AQ1039" s="487">
        <f>+VLOOKUP($AJ1039,Data_Validation!$A:$D,4,0)</f>
        <v>0</v>
      </c>
      <c r="AR1039" s="487" t="s">
        <v>299</v>
      </c>
      <c r="AS1039" s="487">
        <f>+VLOOKUP($AJ1039,Data_Validation!$A:$E,5,0)</f>
        <v>0</v>
      </c>
      <c r="AT1039" s="904" t="str">
        <f t="shared" si="113"/>
        <v>G85300</v>
      </c>
      <c r="AU1039" s="488" t="str">
        <f t="shared" si="114"/>
        <v>PERTE REPOSSESSION NEUF</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3061</v>
      </c>
      <c r="D1040" s="706" t="s">
        <v>3062</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G854</v>
      </c>
      <c r="AK1040" s="905" t="str">
        <f t="shared" si="111"/>
        <v>PERTE REPOSSESSION USAG</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G854</v>
      </c>
      <c r="AU1040" s="488" t="str">
        <f t="shared" si="114"/>
        <v>PERTE REPOSSESSION USAG</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3063</v>
      </c>
      <c r="D1041" s="706" t="s">
        <v>3064</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G85400</v>
      </c>
      <c r="AK1041" s="905" t="str">
        <f t="shared" si="111"/>
        <v>PERTE REPOSSESSION USAGE</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G85400</v>
      </c>
      <c r="AP1041" s="487">
        <f>+VLOOKUP($AJ1041,Data_Validation!$A:$D,3,0)</f>
        <v>0</v>
      </c>
      <c r="AQ1041" s="487">
        <f>+VLOOKUP($AJ1041,Data_Validation!$A:$D,4,0)</f>
        <v>0</v>
      </c>
      <c r="AR1041" s="487" t="s">
        <v>299</v>
      </c>
      <c r="AS1041" s="487">
        <f>+VLOOKUP($AJ1041,Data_Validation!$A:$E,5,0)</f>
        <v>0</v>
      </c>
      <c r="AT1041" s="904" t="str">
        <f t="shared" si="113"/>
        <v>G85400</v>
      </c>
      <c r="AU1041" s="488" t="str">
        <f t="shared" si="114"/>
        <v>PERTE REPOSSESSION USAGE</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hidden="1" customHeight="1">
      <c r="A1042" s="706" t="s">
        <v>1148</v>
      </c>
      <c r="B1042" s="706">
        <v>2026</v>
      </c>
      <c r="C1042" s="706" t="s">
        <v>3065</v>
      </c>
      <c r="D1042" s="706" t="s">
        <v>3066</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G855</v>
      </c>
      <c r="AK1042" s="905" t="str">
        <f t="shared" si="111"/>
        <v>REMUNERATION F&amp;A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G855</v>
      </c>
      <c r="AU1042" s="488" t="str">
        <f t="shared" si="114"/>
        <v>REMUNERATION F&amp;A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3067</v>
      </c>
      <c r="D1043" s="706" t="s">
        <v>3068</v>
      </c>
      <c r="E1043" s="706" t="s">
        <v>333</v>
      </c>
      <c r="F1043" s="706" t="s">
        <v>1104</v>
      </c>
      <c r="G1043" s="706">
        <v>12958.69</v>
      </c>
      <c r="H1043" s="706">
        <v>21768.99</v>
      </c>
      <c r="I1043" s="706">
        <v>32787.4</v>
      </c>
      <c r="J1043" s="706">
        <v>57498.720000000001</v>
      </c>
      <c r="K1043" s="706">
        <v>68000.55</v>
      </c>
      <c r="L1043" s="706">
        <v>83684.160000000003</v>
      </c>
      <c r="M1043" s="706">
        <v>96110.74</v>
      </c>
      <c r="N1043" s="706">
        <v>102628.85</v>
      </c>
      <c r="O1043" s="706">
        <v>102628.85</v>
      </c>
      <c r="P1043" s="706">
        <v>0</v>
      </c>
      <c r="Q1043" s="706">
        <v>0</v>
      </c>
      <c r="R1043" s="706">
        <v>0</v>
      </c>
      <c r="S1043" s="706">
        <v>12828.61</v>
      </c>
      <c r="T1043" s="706">
        <v>12828.61</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G85500</v>
      </c>
      <c r="AK1043" s="905" t="str">
        <f t="shared" si="111"/>
        <v>REMUNERATION F&amp;I NEUF</v>
      </c>
      <c r="AL1043" s="905">
        <f>IFERROR(INDEX(G1043:R1043,1,MATCH(Parametres!$B$3,G$1:R$1,0)-1)*IF(OR(F1043="L",F1043="S",F1043="I"),-1,1),"")</f>
        <v>96110.74</v>
      </c>
      <c r="AM1043" s="905">
        <f t="shared" si="112"/>
        <v>6518.1100000000006</v>
      </c>
      <c r="AN1043" s="905">
        <f>INDEX(G1043:R1043,1,MATCH(Parametres!$B$3,G$1:R$1,0))*IF(OR(F1043="L",F1043="S",F1043="I"),-1,1)</f>
        <v>102628.85</v>
      </c>
      <c r="AO1043" s="487" t="str">
        <f>+VLOOKUP($AJ1043,Data_Validation!$A:$D,1,0)</f>
        <v>G85500</v>
      </c>
      <c r="AP1043" s="487" t="str">
        <f>+VLOOKUP($AJ1043,Data_Validation!$A:$D,3,0)</f>
        <v>Véhicules neufs</v>
      </c>
      <c r="AQ1043" s="487" t="str">
        <f>+VLOOKUP($AJ1043,Data_Validation!$A:$D,4,0)</f>
        <v>Comm. F&amp;I</v>
      </c>
      <c r="AR1043" s="487" t="s">
        <v>299</v>
      </c>
      <c r="AS1043" s="487">
        <f>+VLOOKUP($AJ1043,Data_Validation!$A:$E,5,0)</f>
        <v>0</v>
      </c>
      <c r="AT1043" s="904" t="str">
        <f t="shared" si="113"/>
        <v>G85500</v>
      </c>
      <c r="AU1043" s="488" t="str">
        <f t="shared" si="114"/>
        <v>REMUNERATION F&amp;I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hidden="1" customHeight="1">
      <c r="A1044" s="706" t="s">
        <v>1148</v>
      </c>
      <c r="B1044" s="706">
        <v>2026</v>
      </c>
      <c r="C1044" s="706" t="s">
        <v>3069</v>
      </c>
      <c r="D1044" s="706" t="s">
        <v>3070</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G856</v>
      </c>
      <c r="AK1044" s="905" t="str">
        <f t="shared" si="111"/>
        <v>REMUNERATION F&amp;A USAGE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G856</v>
      </c>
      <c r="AU1044" s="488" t="str">
        <f t="shared" si="114"/>
        <v>REMUNERATION F&amp;A USAGE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3071</v>
      </c>
      <c r="D1045" s="706" t="s">
        <v>3072</v>
      </c>
      <c r="E1045" s="706" t="s">
        <v>333</v>
      </c>
      <c r="F1045" s="706" t="s">
        <v>1104</v>
      </c>
      <c r="G1045" s="706">
        <v>6574.65</v>
      </c>
      <c r="H1045" s="706">
        <v>9305.9500000000007</v>
      </c>
      <c r="I1045" s="706">
        <v>13960.22</v>
      </c>
      <c r="J1045" s="706">
        <v>21591.39</v>
      </c>
      <c r="K1045" s="706">
        <v>27429.56</v>
      </c>
      <c r="L1045" s="706">
        <v>31922.66</v>
      </c>
      <c r="M1045" s="706">
        <v>36714.019999999997</v>
      </c>
      <c r="N1045" s="706">
        <v>42185.58</v>
      </c>
      <c r="O1045" s="706">
        <v>42185.58</v>
      </c>
      <c r="P1045" s="706">
        <v>0</v>
      </c>
      <c r="Q1045" s="706">
        <v>0</v>
      </c>
      <c r="R1045" s="706">
        <v>0</v>
      </c>
      <c r="S1045" s="706">
        <v>5273.2</v>
      </c>
      <c r="T1045" s="706">
        <v>5273.2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G85600</v>
      </c>
      <c r="AK1045" s="905" t="str">
        <f t="shared" si="111"/>
        <v>REMUNERATION F&amp;I USAGE</v>
      </c>
      <c r="AL1045" s="905">
        <f>IFERROR(INDEX(G1045:R1045,1,MATCH(Parametres!$B$3,G$1:R$1,0)-1)*IF(OR(F1045="L",F1045="S",F1045="I"),-1,1),"")</f>
        <v>36714.019999999997</v>
      </c>
      <c r="AM1045" s="905">
        <f t="shared" si="112"/>
        <v>5471.5600000000049</v>
      </c>
      <c r="AN1045" s="905">
        <f>INDEX(G1045:R1045,1,MATCH(Parametres!$B$3,G$1:R$1,0))*IF(OR(F1045="L",F1045="S",F1045="I"),-1,1)</f>
        <v>42185.58</v>
      </c>
      <c r="AO1045" s="487" t="str">
        <f>+VLOOKUP($AJ1045,Data_Validation!$A:$D,1,0)</f>
        <v>G85600</v>
      </c>
      <c r="AP1045" s="487" t="str">
        <f>+VLOOKUP($AJ1045,Data_Validation!$A:$D,3,0)</f>
        <v>Véhicules usagés</v>
      </c>
      <c r="AQ1045" s="487" t="str">
        <f>+VLOOKUP($AJ1045,Data_Validation!$A:$D,4,0)</f>
        <v>Comm. F&amp;I</v>
      </c>
      <c r="AR1045" s="487" t="s">
        <v>299</v>
      </c>
      <c r="AS1045" s="487">
        <f>+VLOOKUP($AJ1045,Data_Validation!$A:$E,5,0)</f>
        <v>0</v>
      </c>
      <c r="AT1045" s="904" t="str">
        <f t="shared" si="113"/>
        <v>G85600</v>
      </c>
      <c r="AU1045" s="488" t="str">
        <f t="shared" si="114"/>
        <v>REMUNERATION F&amp;I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hidden="1" customHeight="1">
      <c r="A1046" s="706" t="s">
        <v>1148</v>
      </c>
      <c r="B1046" s="706">
        <v>2026</v>
      </c>
      <c r="C1046" s="706" t="s">
        <v>3073</v>
      </c>
      <c r="D1046" s="706" t="s">
        <v>3051</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G87200</v>
      </c>
      <c r="AK1046" s="905" t="str">
        <f t="shared" si="111"/>
        <v>AUTRES REVENUS VEH. NEUFS</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G87200</v>
      </c>
      <c r="AU1046" s="488" t="str">
        <f t="shared" si="114"/>
        <v>AUTRES REVENUS VEH. NEUFS</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3074</v>
      </c>
      <c r="D1047" s="706" t="s">
        <v>3075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G87300</v>
      </c>
      <c r="AK1047" s="905" t="str">
        <f t="shared" si="111"/>
        <v>AUTRES REVENUS VEH.USAGES</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G87300</v>
      </c>
      <c r="AU1047" s="488" t="str">
        <f t="shared" si="114"/>
        <v>AUTRES REVENUS VEH.USAGES</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3076</v>
      </c>
      <c r="D1048" s="706" t="s">
        <v>1153</v>
      </c>
      <c r="E1048" s="706" t="s">
        <v>333</v>
      </c>
      <c r="F1048" s="706" t="s">
        <v>1150</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G902</v>
      </c>
      <c r="AK1048" s="905" t="str">
        <f t="shared" si="111"/>
        <v>MAUVAISES CREANCES RECOUV</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G902</v>
      </c>
      <c r="AU1048" s="488" t="str">
        <f t="shared" si="114"/>
        <v>MAUVAISES CREANCES RECOUV</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3077</v>
      </c>
      <c r="D1049" s="706" t="s">
        <v>3078</v>
      </c>
      <c r="E1049" s="706" t="s">
        <v>333</v>
      </c>
      <c r="F1049" s="706" t="s">
        <v>1150</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G90200</v>
      </c>
      <c r="AK1049" s="905" t="str">
        <f t="shared" si="111"/>
        <v>RENTREES CREANCES RADIEES</v>
      </c>
      <c r="AL1049" s="905">
        <f>IFERROR(INDEX(G1049:R1049,1,MATCH(Parametres!$B$3,G$1:R$1,0)-1)*IF(OR(F1049="L",F1049="S",F1049="I"),-1,1),"")</f>
        <v>0</v>
      </c>
      <c r="AM1049" s="905">
        <f t="shared" si="112"/>
        <v>0</v>
      </c>
      <c r="AN1049" s="905">
        <f>INDEX(G1049:R1049,1,MATCH(Parametres!$B$3,G$1:R$1,0))*IF(OR(F1049="L",F1049="S",F1049="I"),-1,1)</f>
        <v>0</v>
      </c>
      <c r="AO1049" s="487" t="str">
        <f>+VLOOKUP($AJ1049,Data_Validation!$A:$D,1,0)</f>
        <v>G90200</v>
      </c>
      <c r="AP1049" s="487">
        <f>+VLOOKUP($AJ1049,Data_Validation!$A:$D,3,0)</f>
        <v>0</v>
      </c>
      <c r="AQ1049" s="487">
        <f>+VLOOKUP($AJ1049,Data_Validation!$A:$D,4,0)</f>
        <v>0</v>
      </c>
      <c r="AR1049" s="487" t="s">
        <v>299</v>
      </c>
      <c r="AS1049" s="487">
        <f>+VLOOKUP($AJ1049,Data_Validation!$A:$E,5,0)</f>
        <v>0</v>
      </c>
      <c r="AT1049" s="904" t="str">
        <f t="shared" si="113"/>
        <v>G90200</v>
      </c>
      <c r="AU1049" s="488" t="str">
        <f t="shared" si="114"/>
        <v>RENTREES CREANCES RADIEES</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hidden="1" customHeight="1">
      <c r="A1050" s="706" t="s">
        <v>1148</v>
      </c>
      <c r="B1050" s="706">
        <v>2026</v>
      </c>
      <c r="C1050" s="706" t="s">
        <v>3079</v>
      </c>
      <c r="D1050" s="706" t="s">
        <v>3080</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G903</v>
      </c>
      <c r="AK1050" s="905" t="str">
        <f t="shared" si="111"/>
        <v>ESCOMPTE DE CAISSE GAGNE</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G903</v>
      </c>
      <c r="AU1050" s="488" t="str">
        <f t="shared" si="114"/>
        <v>ESCOMPTE DE CAISSE GAGNE</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3081</v>
      </c>
      <c r="D1051" s="706" t="s">
        <v>3082</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G905</v>
      </c>
      <c r="AK1051" s="905" t="str">
        <f t="shared" si="111"/>
        <v>AUTRES REVENUS DIVERS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G905</v>
      </c>
      <c r="AU1051" s="488" t="str">
        <f t="shared" si="114"/>
        <v>AUTRES REVENUS DIVERS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3083</v>
      </c>
      <c r="D1052" s="706" t="s">
        <v>3082</v>
      </c>
      <c r="E1052" s="706" t="s">
        <v>333</v>
      </c>
      <c r="F1052" s="706" t="s">
        <v>1150</v>
      </c>
      <c r="G1052" s="706">
        <v>2822.27</v>
      </c>
      <c r="H1052" s="706">
        <v>17220.16</v>
      </c>
      <c r="I1052" s="706">
        <v>42749.61</v>
      </c>
      <c r="J1052" s="706">
        <v>65183.51</v>
      </c>
      <c r="K1052" s="706">
        <v>26545.14</v>
      </c>
      <c r="L1052" s="706">
        <v>31155.05</v>
      </c>
      <c r="M1052" s="706">
        <v>42868.43</v>
      </c>
      <c r="N1052" s="706">
        <v>42905.41</v>
      </c>
      <c r="O1052" s="706">
        <v>43552.91</v>
      </c>
      <c r="P1052" s="706">
        <v>0</v>
      </c>
      <c r="Q1052" s="706">
        <v>0</v>
      </c>
      <c r="R1052" s="706">
        <v>0</v>
      </c>
      <c r="S1052" s="706">
        <v>5363.18</v>
      </c>
      <c r="T1052" s="706">
        <v>5363.18</v>
      </c>
      <c r="U1052" s="706">
        <v>0</v>
      </c>
      <c r="V1052" s="706">
        <v>-1</v>
      </c>
      <c r="W1052" s="706">
        <v>-2</v>
      </c>
      <c r="X1052" s="706">
        <v>-12</v>
      </c>
      <c r="Y1052" s="706">
        <v>-20</v>
      </c>
      <c r="Z1052" s="706">
        <v>-25</v>
      </c>
      <c r="AA1052" s="706">
        <v>-34</v>
      </c>
      <c r="AB1052" s="706">
        <v>-48</v>
      </c>
      <c r="AC1052" s="706">
        <v>-52</v>
      </c>
      <c r="AD1052" s="706">
        <v>-51</v>
      </c>
      <c r="AE1052" s="706">
        <v>0</v>
      </c>
      <c r="AF1052" s="706">
        <v>0</v>
      </c>
      <c r="AG1052" s="706">
        <v>0</v>
      </c>
      <c r="AH1052" s="706">
        <v>-7</v>
      </c>
      <c r="AI1052" s="706">
        <v>-7</v>
      </c>
      <c r="AJ1052" s="905" t="str">
        <f t="shared" si="110"/>
        <v>G90500</v>
      </c>
      <c r="AK1052" s="905" t="str">
        <f t="shared" si="111"/>
        <v>AUTRES REVENUS DIVERS</v>
      </c>
      <c r="AL1052" s="905">
        <f>IFERROR(INDEX(G1052:R1052,1,MATCH(Parametres!$B$3,G$1:R$1,0)-1)*IF(OR(F1052="L",F1052="S",F1052="I"),-1,1),"")</f>
        <v>-42868.43</v>
      </c>
      <c r="AM1052" s="905">
        <f t="shared" si="112"/>
        <v>-36.980000000003201</v>
      </c>
      <c r="AN1052" s="905">
        <f>INDEX(G1052:R1052,1,MATCH(Parametres!$B$3,G$1:R$1,0))*IF(OR(F1052="L",F1052="S",F1052="I"),-1,1)</f>
        <v>-42905.41</v>
      </c>
      <c r="AO1052" s="487" t="str">
        <f>+VLOOKUP($AJ1052,Data_Validation!$A:$D,1,0)</f>
        <v>G90500</v>
      </c>
      <c r="AP1052" s="487" t="str">
        <f>+VLOOKUP($AJ1052,Data_Validation!$A:$D,3,0)</f>
        <v>TOTAL DES REVENUS ET DÉPENSES</v>
      </c>
      <c r="AQ1052" s="487" t="str">
        <f>+VLOOKUP($AJ1052,Data_Validation!$A:$D,4,0)</f>
        <v>Revenus autres</v>
      </c>
      <c r="AR1052" s="487" t="s">
        <v>299</v>
      </c>
      <c r="AS1052" s="487">
        <f>+VLOOKUP($AJ1052,Data_Validation!$A:$E,5,0)</f>
        <v>0</v>
      </c>
      <c r="AT1052" s="904" t="str">
        <f t="shared" si="113"/>
        <v>G90500</v>
      </c>
      <c r="AU1052" s="488" t="str">
        <f t="shared" si="114"/>
        <v>AUTRES REVENUS DIVERS</v>
      </c>
      <c r="AV1052" s="899">
        <f>IFERROR(INDEX(V1052:AG1052,1,MATCH(Parametres!$B$3,V$1:AG$1,0)-1)*IF(OR(C1052="L",C1052="S",C1052="I"),-1,1),"")</f>
        <v>-48</v>
      </c>
      <c r="AW1052" s="899">
        <f t="shared" si="115"/>
        <v>-4</v>
      </c>
      <c r="AX1052" s="899">
        <f>INDEX(V1052:AG1052,1,MATCH(Parametres!$B$3,V$1:AG$1,0))*IF(OR(C1052="L",C1052="S",C1052="I"),-1,1)</f>
        <v>-52</v>
      </c>
      <c r="AY1052" s="487" t="s">
        <v>337</v>
      </c>
      <c r="AZ1052" s="487">
        <f>+VLOOKUP($AJ1052,Data_Validation!$A:$E,5,0)</f>
        <v>0</v>
      </c>
    </row>
    <row r="1053" spans="1:52" ht="15" hidden="1" customHeight="1">
      <c r="A1053" s="706" t="s">
        <v>1148</v>
      </c>
      <c r="B1053" s="706">
        <v>2026</v>
      </c>
      <c r="C1053" s="706" t="s">
        <v>3413</v>
      </c>
      <c r="D1053" s="706" t="s">
        <v>3414</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G90550</v>
      </c>
      <c r="AK1053" s="905" t="str">
        <f t="shared" si="111"/>
        <v>DEALER FINANCE - SPLIT</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G90550</v>
      </c>
      <c r="AU1053" s="488" t="str">
        <f t="shared" si="114"/>
        <v>DEALER FINANCE - SPLIT</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3149</v>
      </c>
      <c r="D1054" s="706" t="s">
        <v>3150</v>
      </c>
      <c r="E1054" s="706" t="s">
        <v>333</v>
      </c>
      <c r="F1054" s="706" t="s">
        <v>1150</v>
      </c>
      <c r="G1054" s="706">
        <v>0</v>
      </c>
      <c r="H1054" s="706">
        <v>0</v>
      </c>
      <c r="I1054" s="706">
        <v>0</v>
      </c>
      <c r="J1054" s="706">
        <v>0</v>
      </c>
      <c r="K1054" s="706">
        <v>41353.94</v>
      </c>
      <c r="L1054" s="706">
        <v>55228.639999999999</v>
      </c>
      <c r="M1054" s="706">
        <v>66487.56</v>
      </c>
      <c r="N1054" s="706">
        <v>66487.56</v>
      </c>
      <c r="O1054" s="706">
        <v>66487.56</v>
      </c>
      <c r="P1054" s="706">
        <v>0</v>
      </c>
      <c r="Q1054" s="706">
        <v>0</v>
      </c>
      <c r="R1054" s="706">
        <v>0</v>
      </c>
      <c r="S1054" s="706">
        <v>8310.9500000000007</v>
      </c>
      <c r="T1054" s="706">
        <v>8310.9500000000007</v>
      </c>
      <c r="U1054" s="706">
        <v>0</v>
      </c>
      <c r="V1054" s="706">
        <v>0</v>
      </c>
      <c r="W1054" s="706">
        <v>0</v>
      </c>
      <c r="X1054" s="706">
        <v>0</v>
      </c>
      <c r="Y1054" s="706">
        <v>0</v>
      </c>
      <c r="Z1054" s="706">
        <v>3</v>
      </c>
      <c r="AA1054" s="706">
        <v>4</v>
      </c>
      <c r="AB1054" s="706">
        <v>5</v>
      </c>
      <c r="AC1054" s="706">
        <v>5</v>
      </c>
      <c r="AD1054" s="706">
        <v>5</v>
      </c>
      <c r="AE1054" s="706">
        <v>0</v>
      </c>
      <c r="AF1054" s="706">
        <v>0</v>
      </c>
      <c r="AG1054" s="706">
        <v>0</v>
      </c>
      <c r="AH1054" s="706">
        <v>1</v>
      </c>
      <c r="AI1054" s="706">
        <v>1</v>
      </c>
      <c r="AJ1054" s="905" t="str">
        <f t="shared" si="110"/>
        <v>G90551</v>
      </c>
      <c r="AK1054" s="905" t="str">
        <f t="shared" si="111"/>
        <v>DEALER FINANCE - NEUF</v>
      </c>
      <c r="AL1054" s="905">
        <f>IFERROR(INDEX(G1054:R1054,1,MATCH(Parametres!$B$3,G$1:R$1,0)-1)*IF(OR(F1054="L",F1054="S",F1054="I"),-1,1),"")</f>
        <v>-66487.56</v>
      </c>
      <c r="AM1054" s="905">
        <f t="shared" si="112"/>
        <v>0</v>
      </c>
      <c r="AN1054" s="905">
        <f>INDEX(G1054:R1054,1,MATCH(Parametres!$B$3,G$1:R$1,0))*IF(OR(F1054="L",F1054="S",F1054="I"),-1,1)</f>
        <v>-66487.56</v>
      </c>
      <c r="AO1054" s="487" t="str">
        <f>+VLOOKUP($AJ1054,Data_Validation!$A:$D,1,0)</f>
        <v>G90551</v>
      </c>
      <c r="AP1054" s="487" t="str">
        <f>+VLOOKUP($AJ1054,Data_Validation!$A:$D,3,0)</f>
        <v>Véhicules neufs</v>
      </c>
      <c r="AQ1054" s="487" t="str">
        <f>+VLOOKUP($AJ1054,Data_Validation!$A:$D,4,0)</f>
        <v>Crédit Boni TD</v>
      </c>
      <c r="AR1054" s="487" t="s">
        <v>299</v>
      </c>
      <c r="AS1054" s="487">
        <f>+VLOOKUP($AJ1054,Data_Validation!$A:$E,5,0)</f>
        <v>0</v>
      </c>
      <c r="AT1054" s="904" t="str">
        <f t="shared" si="113"/>
        <v>G90551</v>
      </c>
      <c r="AU1054" s="488" t="str">
        <f t="shared" si="114"/>
        <v>DEALER FINANCE - NEUF</v>
      </c>
      <c r="AV1054" s="899">
        <f>IFERROR(INDEX(V1054:AG1054,1,MATCH(Parametres!$B$3,V$1:AG$1,0)-1)*IF(OR(C1054="L",C1054="S",C1054="I"),-1,1),"")</f>
        <v>5</v>
      </c>
      <c r="AW1054" s="899">
        <f t="shared" si="115"/>
        <v>0</v>
      </c>
      <c r="AX1054" s="899">
        <f>INDEX(V1054:AG1054,1,MATCH(Parametres!$B$3,V$1:AG$1,0))*IF(OR(C1054="L",C1054="S",C1054="I"),-1,1)</f>
        <v>5</v>
      </c>
      <c r="AY1054" s="487" t="s">
        <v>337</v>
      </c>
      <c r="AZ1054" s="487">
        <f>+VLOOKUP($AJ1054,Data_Validation!$A:$E,5,0)</f>
        <v>0</v>
      </c>
    </row>
    <row r="1055" spans="1:52" ht="15" hidden="1" customHeight="1">
      <c r="A1055" s="706" t="s">
        <v>1148</v>
      </c>
      <c r="B1055" s="706">
        <v>2026</v>
      </c>
      <c r="C1055" s="706" t="s">
        <v>3151</v>
      </c>
      <c r="D1055" s="706" t="s">
        <v>3152</v>
      </c>
      <c r="E1055" s="706" t="s">
        <v>333</v>
      </c>
      <c r="F1055" s="706" t="s">
        <v>1150</v>
      </c>
      <c r="G1055" s="706">
        <v>0</v>
      </c>
      <c r="H1055" s="706">
        <v>0</v>
      </c>
      <c r="I1055" s="706">
        <v>0</v>
      </c>
      <c r="J1055" s="706">
        <v>0</v>
      </c>
      <c r="K1055" s="706">
        <v>27569.29</v>
      </c>
      <c r="L1055" s="706">
        <v>34506.639999999999</v>
      </c>
      <c r="M1055" s="706">
        <v>35329.78</v>
      </c>
      <c r="N1055" s="706">
        <v>35329.78</v>
      </c>
      <c r="O1055" s="706">
        <v>35329.78</v>
      </c>
      <c r="P1055" s="706">
        <v>0</v>
      </c>
      <c r="Q1055" s="706">
        <v>0</v>
      </c>
      <c r="R1055" s="706">
        <v>0</v>
      </c>
      <c r="S1055" s="706">
        <v>4416.22</v>
      </c>
      <c r="T1055" s="706">
        <v>4416.22</v>
      </c>
      <c r="U1055" s="706">
        <v>0</v>
      </c>
      <c r="V1055" s="706">
        <v>0</v>
      </c>
      <c r="W1055" s="706">
        <v>0</v>
      </c>
      <c r="X1055" s="706">
        <v>0</v>
      </c>
      <c r="Y1055" s="706">
        <v>0</v>
      </c>
      <c r="Z1055" s="706">
        <v>3</v>
      </c>
      <c r="AA1055" s="706">
        <v>4</v>
      </c>
      <c r="AB1055" s="706">
        <v>5</v>
      </c>
      <c r="AC1055" s="706">
        <v>5</v>
      </c>
      <c r="AD1055" s="706">
        <v>5</v>
      </c>
      <c r="AE1055" s="706">
        <v>0</v>
      </c>
      <c r="AF1055" s="706">
        <v>0</v>
      </c>
      <c r="AG1055" s="706">
        <v>0</v>
      </c>
      <c r="AH1055" s="706">
        <v>1</v>
      </c>
      <c r="AI1055" s="706">
        <v>1</v>
      </c>
      <c r="AJ1055" s="905" t="str">
        <f t="shared" si="110"/>
        <v>G90552</v>
      </c>
      <c r="AK1055" s="905" t="str">
        <f t="shared" si="111"/>
        <v>DEALER FINANCE - USAGE</v>
      </c>
      <c r="AL1055" s="905">
        <f>IFERROR(INDEX(G1055:R1055,1,MATCH(Parametres!$B$3,G$1:R$1,0)-1)*IF(OR(F1055="L",F1055="S",F1055="I"),-1,1),"")</f>
        <v>-35329.78</v>
      </c>
      <c r="AM1055" s="905">
        <f t="shared" si="112"/>
        <v>0</v>
      </c>
      <c r="AN1055" s="905">
        <f>INDEX(G1055:R1055,1,MATCH(Parametres!$B$3,G$1:R$1,0))*IF(OR(F1055="L",F1055="S",F1055="I"),-1,1)</f>
        <v>-35329.78</v>
      </c>
      <c r="AO1055" s="487" t="str">
        <f>+VLOOKUP($AJ1055,Data_Validation!$A:$D,1,0)</f>
        <v>G90552</v>
      </c>
      <c r="AP1055" s="487" t="str">
        <f>+VLOOKUP($AJ1055,Data_Validation!$A:$D,3,0)</f>
        <v>Véhicules usagés</v>
      </c>
      <c r="AQ1055" s="487" t="str">
        <f>+VLOOKUP($AJ1055,Data_Validation!$A:$D,4,0)</f>
        <v>Crédit Boni TD</v>
      </c>
      <c r="AR1055" s="487" t="s">
        <v>299</v>
      </c>
      <c r="AS1055" s="487">
        <f>+VLOOKUP($AJ1055,Data_Validation!$A:$E,5,0)</f>
        <v>0</v>
      </c>
      <c r="AT1055" s="904" t="str">
        <f t="shared" si="113"/>
        <v>G90552</v>
      </c>
      <c r="AU1055" s="488" t="str">
        <f t="shared" si="114"/>
        <v>DEALER FINANCE - USAGE</v>
      </c>
      <c r="AV1055" s="899">
        <f>IFERROR(INDEX(V1055:AG1055,1,MATCH(Parametres!$B$3,V$1:AG$1,0)-1)*IF(OR(C1055="L",C1055="S",C1055="I"),-1,1),"")</f>
        <v>5</v>
      </c>
      <c r="AW1055" s="899">
        <f t="shared" si="115"/>
        <v>0</v>
      </c>
      <c r="AX1055" s="899">
        <f>INDEX(V1055:AG1055,1,MATCH(Parametres!$B$3,V$1:AG$1,0))*IF(OR(C1055="L",C1055="S",C1055="I"),-1,1)</f>
        <v>5</v>
      </c>
      <c r="AY1055" s="487" t="s">
        <v>337</v>
      </c>
      <c r="AZ1055" s="487">
        <f>+VLOOKUP($AJ1055,Data_Validation!$A:$E,5,0)</f>
        <v>0</v>
      </c>
    </row>
    <row r="1056" spans="1:52" ht="15" hidden="1" customHeight="1">
      <c r="A1056" s="706" t="s">
        <v>1148</v>
      </c>
      <c r="B1056" s="706">
        <v>2026</v>
      </c>
      <c r="C1056" s="706" t="s">
        <v>3415</v>
      </c>
      <c r="D1056" s="706" t="s">
        <v>3416</v>
      </c>
      <c r="E1056" s="706" t="s">
        <v>333</v>
      </c>
      <c r="F1056" s="706" t="s">
        <v>1150</v>
      </c>
      <c r="G1056" s="706">
        <v>0</v>
      </c>
      <c r="H1056" s="706">
        <v>0</v>
      </c>
      <c r="I1056" s="706">
        <v>0</v>
      </c>
      <c r="J1056" s="706">
        <v>0</v>
      </c>
      <c r="K1056" s="706">
        <v>0</v>
      </c>
      <c r="L1056" s="706">
        <v>0</v>
      </c>
      <c r="M1056" s="706">
        <v>4744.12</v>
      </c>
      <c r="N1056" s="706">
        <v>4744.12</v>
      </c>
      <c r="O1056" s="706">
        <v>4744.12</v>
      </c>
      <c r="P1056" s="706">
        <v>0</v>
      </c>
      <c r="Q1056" s="706">
        <v>0</v>
      </c>
      <c r="R1056" s="706">
        <v>0</v>
      </c>
      <c r="S1056" s="706">
        <v>593.02</v>
      </c>
      <c r="T1056" s="706">
        <v>593.02</v>
      </c>
      <c r="U1056" s="706">
        <v>0</v>
      </c>
      <c r="V1056" s="706">
        <v>0</v>
      </c>
      <c r="W1056" s="706">
        <v>0</v>
      </c>
      <c r="X1056" s="706">
        <v>0</v>
      </c>
      <c r="Y1056" s="706">
        <v>0</v>
      </c>
      <c r="Z1056" s="706">
        <v>0</v>
      </c>
      <c r="AA1056" s="706">
        <v>0</v>
      </c>
      <c r="AB1056" s="706">
        <v>1</v>
      </c>
      <c r="AC1056" s="706">
        <v>1</v>
      </c>
      <c r="AD1056" s="706">
        <v>1</v>
      </c>
      <c r="AE1056" s="706">
        <v>0</v>
      </c>
      <c r="AF1056" s="706">
        <v>0</v>
      </c>
      <c r="AG1056" s="706">
        <v>0</v>
      </c>
      <c r="AH1056" s="706">
        <v>0</v>
      </c>
      <c r="AI1056" s="706">
        <v>0</v>
      </c>
      <c r="AJ1056" s="905" t="str">
        <f t="shared" si="110"/>
        <v>G90553</v>
      </c>
      <c r="AK1056" s="905" t="str">
        <f t="shared" si="111"/>
        <v>DEALER FINANCE - USA</v>
      </c>
      <c r="AL1056" s="905">
        <f>IFERROR(INDEX(G1056:R1056,1,MATCH(Parametres!$B$3,G$1:R$1,0)-1)*IF(OR(F1056="L",F1056="S",F1056="I"),-1,1),"")</f>
        <v>-4744.12</v>
      </c>
      <c r="AM1056" s="905">
        <f t="shared" si="112"/>
        <v>0</v>
      </c>
      <c r="AN1056" s="905">
        <f>INDEX(G1056:R1056,1,MATCH(Parametres!$B$3,G$1:R$1,0))*IF(OR(F1056="L",F1056="S",F1056="I"),-1,1)</f>
        <v>-4744.12</v>
      </c>
      <c r="AO1056" s="487" t="str">
        <f>+VLOOKUP($AJ1056,Data_Validation!$A:$D,1,0)</f>
        <v>G90553</v>
      </c>
      <c r="AP1056" s="487" t="str">
        <f>+VLOOKUP($AJ1056,Data_Validation!$A:$D,3,0)</f>
        <v>Wholesale autres</v>
      </c>
      <c r="AQ1056" s="487" t="str">
        <f>+VLOOKUP($AJ1056,Data_Validation!$A:$D,4,0)</f>
        <v>Crédit Boni TD</v>
      </c>
      <c r="AR1056" s="487" t="s">
        <v>299</v>
      </c>
      <c r="AS1056" s="487">
        <f>+VLOOKUP($AJ1056,Data_Validation!$A:$E,5,0)</f>
        <v>0</v>
      </c>
      <c r="AT1056" s="904" t="str">
        <f t="shared" si="113"/>
        <v>G90553</v>
      </c>
      <c r="AU1056" s="488" t="str">
        <f t="shared" si="114"/>
        <v>DEALER FINANCE - USA</v>
      </c>
      <c r="AV1056" s="899">
        <f>IFERROR(INDEX(V1056:AG1056,1,MATCH(Parametres!$B$3,V$1:AG$1,0)-1)*IF(OR(C1056="L",C1056="S",C1056="I"),-1,1),"")</f>
        <v>1</v>
      </c>
      <c r="AW1056" s="899">
        <f t="shared" si="115"/>
        <v>0</v>
      </c>
      <c r="AX1056" s="899">
        <f>INDEX(V1056:AG1056,1,MATCH(Parametres!$B$3,V$1:AG$1,0))*IF(OR(C1056="L",C1056="S",C1056="I"),-1,1)</f>
        <v>1</v>
      </c>
      <c r="AY1056" s="487" t="s">
        <v>337</v>
      </c>
      <c r="AZ1056" s="487">
        <f>+VLOOKUP($AJ1056,Data_Validation!$A:$E,5,0)</f>
        <v>0</v>
      </c>
    </row>
    <row r="1057" spans="1:52" ht="15" hidden="1" customHeight="1">
      <c r="A1057" s="706" t="s">
        <v>1148</v>
      </c>
      <c r="B1057" s="706">
        <v>2026</v>
      </c>
      <c r="C1057" s="706" t="s">
        <v>3084</v>
      </c>
      <c r="D1057" s="706" t="s">
        <v>3085</v>
      </c>
      <c r="E1057" s="706" t="s">
        <v>333</v>
      </c>
      <c r="F1057" s="706" t="s">
        <v>1150</v>
      </c>
      <c r="G1057" s="706">
        <v>0</v>
      </c>
      <c r="H1057" s="706">
        <v>0</v>
      </c>
      <c r="I1057" s="706">
        <v>37199.85</v>
      </c>
      <c r="J1057" s="706">
        <v>50434.879999999997</v>
      </c>
      <c r="K1057" s="706">
        <v>63583.76</v>
      </c>
      <c r="L1057" s="706">
        <v>76646.100000000006</v>
      </c>
      <c r="M1057" s="706">
        <v>89621.54</v>
      </c>
      <c r="N1057" s="706">
        <v>89621.54</v>
      </c>
      <c r="O1057" s="706">
        <v>89621.54</v>
      </c>
      <c r="P1057" s="706">
        <v>0</v>
      </c>
      <c r="Q1057" s="706">
        <v>0</v>
      </c>
      <c r="R1057" s="706">
        <v>0</v>
      </c>
      <c r="S1057" s="706">
        <v>11202.69</v>
      </c>
      <c r="T1057" s="706">
        <v>11202.69</v>
      </c>
      <c r="U1057" s="706">
        <v>0</v>
      </c>
      <c r="V1057" s="706">
        <v>0</v>
      </c>
      <c r="W1057" s="706">
        <v>0</v>
      </c>
      <c r="X1057" s="706">
        <v>2</v>
      </c>
      <c r="Y1057" s="706">
        <v>4</v>
      </c>
      <c r="Z1057" s="706">
        <v>6</v>
      </c>
      <c r="AA1057" s="706">
        <v>8</v>
      </c>
      <c r="AB1057" s="706">
        <v>10</v>
      </c>
      <c r="AC1057" s="706">
        <v>10</v>
      </c>
      <c r="AD1057" s="706">
        <v>10</v>
      </c>
      <c r="AE1057" s="706">
        <v>0</v>
      </c>
      <c r="AF1057" s="706">
        <v>0</v>
      </c>
      <c r="AG1057" s="706">
        <v>0</v>
      </c>
      <c r="AH1057" s="706">
        <v>1</v>
      </c>
      <c r="AI1057" s="706">
        <v>1</v>
      </c>
      <c r="AJ1057" s="905" t="str">
        <f t="shared" si="110"/>
        <v>G90800</v>
      </c>
      <c r="AK1057" s="905" t="str">
        <f t="shared" si="111"/>
        <v>REVENU INTERET (PRETS)</v>
      </c>
      <c r="AL1057" s="905">
        <f>IFERROR(INDEX(G1057:R1057,1,MATCH(Parametres!$B$3,G$1:R$1,0)-1)*IF(OR(F1057="L",F1057="S",F1057="I"),-1,1),"")</f>
        <v>-89621.54</v>
      </c>
      <c r="AM1057" s="905">
        <f t="shared" si="112"/>
        <v>0</v>
      </c>
      <c r="AN1057" s="905">
        <f>INDEX(G1057:R1057,1,MATCH(Parametres!$B$3,G$1:R$1,0))*IF(OR(F1057="L",F1057="S",F1057="I"),-1,1)</f>
        <v>-89621.54</v>
      </c>
      <c r="AO1057" s="487" t="str">
        <f>+VLOOKUP($AJ1057,Data_Validation!$A:$D,1,0)</f>
        <v>G90800</v>
      </c>
      <c r="AP1057" s="487" t="str">
        <f>+VLOOKUP($AJ1057,Data_Validation!$A:$D,3,0)</f>
        <v>TOTAL DES REVENUS ET DÉPENSES</v>
      </c>
      <c r="AQ1057" s="487" t="str">
        <f>+VLOOKUP($AJ1057,Data_Validation!$A:$D,4,0)</f>
        <v>Intérêts sur prêt</v>
      </c>
      <c r="AR1057" s="487" t="s">
        <v>299</v>
      </c>
      <c r="AS1057" s="487">
        <f>+VLOOKUP($AJ1057,Data_Validation!$A:$E,5,0)</f>
        <v>0</v>
      </c>
      <c r="AT1057" s="904" t="str">
        <f t="shared" si="113"/>
        <v>G90800</v>
      </c>
      <c r="AU1057" s="488" t="str">
        <f t="shared" si="114"/>
        <v>REVENU INTERET (PRETS)</v>
      </c>
      <c r="AV1057" s="899">
        <f>IFERROR(INDEX(V1057:AG1057,1,MATCH(Parametres!$B$3,V$1:AG$1,0)-1)*IF(OR(C1057="L",C1057="S",C1057="I"),-1,1),"")</f>
        <v>10</v>
      </c>
      <c r="AW1057" s="899">
        <f t="shared" si="115"/>
        <v>0</v>
      </c>
      <c r="AX1057" s="899">
        <f>INDEX(V1057:AG1057,1,MATCH(Parametres!$B$3,V$1:AG$1,0))*IF(OR(C1057="L",C1057="S",C1057="I"),-1,1)</f>
        <v>10</v>
      </c>
      <c r="AY1057" s="487" t="s">
        <v>337</v>
      </c>
      <c r="AZ1057" s="487">
        <f>+VLOOKUP($AJ1057,Data_Validation!$A:$E,5,0)</f>
        <v>0</v>
      </c>
    </row>
    <row r="1058" spans="1:52" ht="15" hidden="1" customHeight="1">
      <c r="A1058" s="706" t="s">
        <v>1148</v>
      </c>
      <c r="B1058" s="706">
        <v>2026</v>
      </c>
      <c r="C1058" s="706" t="s">
        <v>3086</v>
      </c>
      <c r="D1058" s="706" t="s">
        <v>3087</v>
      </c>
      <c r="E1058" s="706" t="s">
        <v>333</v>
      </c>
      <c r="F1058" s="706" t="s">
        <v>1150</v>
      </c>
      <c r="G1058" s="706">
        <v>0</v>
      </c>
      <c r="H1058" s="706">
        <v>0</v>
      </c>
      <c r="I1058" s="706">
        <v>0</v>
      </c>
      <c r="J1058" s="706">
        <v>810.96</v>
      </c>
      <c r="K1058" s="706">
        <v>3953.43</v>
      </c>
      <c r="L1058" s="706">
        <v>5930.14</v>
      </c>
      <c r="M1058" s="706">
        <v>5980.82</v>
      </c>
      <c r="N1058" s="706">
        <v>5980.82</v>
      </c>
      <c r="O1058" s="706">
        <v>5980.82</v>
      </c>
      <c r="P1058" s="706">
        <v>0</v>
      </c>
      <c r="Q1058" s="706">
        <v>0</v>
      </c>
      <c r="R1058" s="706">
        <v>0</v>
      </c>
      <c r="S1058" s="706">
        <v>747.6</v>
      </c>
      <c r="T1058" s="706">
        <v>747.6</v>
      </c>
      <c r="U1058" s="706">
        <v>0</v>
      </c>
      <c r="V1058" s="706">
        <v>0</v>
      </c>
      <c r="W1058" s="706">
        <v>0</v>
      </c>
      <c r="X1058" s="706">
        <v>0</v>
      </c>
      <c r="Y1058" s="706">
        <v>1</v>
      </c>
      <c r="Z1058" s="706">
        <v>2</v>
      </c>
      <c r="AA1058" s="706">
        <v>3</v>
      </c>
      <c r="AB1058" s="706">
        <v>4</v>
      </c>
      <c r="AC1058" s="706">
        <v>4</v>
      </c>
      <c r="AD1058" s="706">
        <v>4</v>
      </c>
      <c r="AE1058" s="706">
        <v>0</v>
      </c>
      <c r="AF1058" s="706">
        <v>0</v>
      </c>
      <c r="AG1058" s="706">
        <v>0</v>
      </c>
      <c r="AH1058" s="706">
        <v>1</v>
      </c>
      <c r="AI1058" s="706">
        <v>1</v>
      </c>
      <c r="AJ1058" s="905" t="str">
        <f t="shared" si="110"/>
        <v>G90810</v>
      </c>
      <c r="AK1058" s="905" t="str">
        <f t="shared" si="111"/>
        <v>REVENU INTERET (BULK)</v>
      </c>
      <c r="AL1058" s="905">
        <f>IFERROR(INDEX(G1058:R1058,1,MATCH(Parametres!$B$3,G$1:R$1,0)-1)*IF(OR(F1058="L",F1058="S",F1058="I"),-1,1),"")</f>
        <v>-5980.82</v>
      </c>
      <c r="AM1058" s="905">
        <f t="shared" si="112"/>
        <v>0</v>
      </c>
      <c r="AN1058" s="905">
        <f>INDEX(G1058:R1058,1,MATCH(Parametres!$B$3,G$1:R$1,0))*IF(OR(F1058="L",F1058="S",F1058="I"),-1,1)</f>
        <v>-5980.82</v>
      </c>
      <c r="AO1058" s="487" t="str">
        <f>+VLOOKUP($AJ1058,Data_Validation!$A:$D,1,0)</f>
        <v>G90810</v>
      </c>
      <c r="AP1058" s="487" t="str">
        <f>+VLOOKUP($AJ1058,Data_Validation!$A:$D,3,0)</f>
        <v>TOTAL DES REVENUS ET DÉPENSES</v>
      </c>
      <c r="AQ1058" s="487" t="str">
        <f>+VLOOKUP($AJ1058,Data_Validation!$A:$D,4,0)</f>
        <v>Revenus d'intérêts Floor plan</v>
      </c>
      <c r="AR1058" s="487" t="s">
        <v>299</v>
      </c>
      <c r="AS1058" s="487">
        <f>+VLOOKUP($AJ1058,Data_Validation!$A:$E,5,0)</f>
        <v>0</v>
      </c>
      <c r="AT1058" s="904" t="str">
        <f t="shared" si="113"/>
        <v>G90810</v>
      </c>
      <c r="AU1058" s="488" t="str">
        <f t="shared" si="114"/>
        <v>REVENU INTERET (BULK)</v>
      </c>
      <c r="AV1058" s="899">
        <f>IFERROR(INDEX(V1058:AG1058,1,MATCH(Parametres!$B$3,V$1:AG$1,0)-1)*IF(OR(C1058="L",C1058="S",C1058="I"),-1,1),"")</f>
        <v>4</v>
      </c>
      <c r="AW1058" s="899">
        <f t="shared" si="115"/>
        <v>0</v>
      </c>
      <c r="AX1058" s="899">
        <f>INDEX(V1058:AG1058,1,MATCH(Parametres!$B$3,V$1:AG$1,0))*IF(OR(C1058="L",C1058="S",C1058="I"),-1,1)</f>
        <v>4</v>
      </c>
      <c r="AY1058" s="487" t="s">
        <v>337</v>
      </c>
      <c r="AZ1058" s="487">
        <f>+VLOOKUP($AJ1058,Data_Validation!$A:$E,5,0)</f>
        <v>0</v>
      </c>
    </row>
    <row r="1059" spans="1:52" ht="15" hidden="1" customHeight="1">
      <c r="A1059" s="706" t="s">
        <v>1148</v>
      </c>
      <c r="B1059" s="706">
        <v>2026</v>
      </c>
      <c r="C1059" s="706" t="s">
        <v>3088</v>
      </c>
      <c r="D1059" s="706" t="s">
        <v>3089</v>
      </c>
      <c r="E1059" s="706" t="s">
        <v>333</v>
      </c>
      <c r="F1059" s="706" t="s">
        <v>1150</v>
      </c>
      <c r="G1059" s="706">
        <v>31433.86</v>
      </c>
      <c r="H1059" s="706">
        <v>29413.86</v>
      </c>
      <c r="I1059" s="706">
        <v>29146.86</v>
      </c>
      <c r="J1059" s="706">
        <v>37628.720000000001</v>
      </c>
      <c r="K1059" s="706">
        <v>69120.7</v>
      </c>
      <c r="L1059" s="706">
        <v>93472.23</v>
      </c>
      <c r="M1059" s="706">
        <v>96266.62</v>
      </c>
      <c r="N1059" s="706">
        <v>130441.62</v>
      </c>
      <c r="O1059" s="706">
        <v>130441.62</v>
      </c>
      <c r="P1059" s="706">
        <v>0</v>
      </c>
      <c r="Q1059" s="706">
        <v>0</v>
      </c>
      <c r="R1059" s="706">
        <v>0</v>
      </c>
      <c r="S1059" s="706">
        <v>16305.2</v>
      </c>
      <c r="T1059" s="706">
        <v>16305.2</v>
      </c>
      <c r="U1059" s="706">
        <v>0</v>
      </c>
      <c r="V1059" s="706">
        <v>3</v>
      </c>
      <c r="W1059" s="706">
        <v>1</v>
      </c>
      <c r="X1059" s="706">
        <v>0</v>
      </c>
      <c r="Y1059" s="706">
        <v>1</v>
      </c>
      <c r="Z1059" s="706">
        <v>7</v>
      </c>
      <c r="AA1059" s="706">
        <v>25</v>
      </c>
      <c r="AB1059" s="706">
        <v>33</v>
      </c>
      <c r="AC1059" s="706">
        <v>39</v>
      </c>
      <c r="AD1059" s="706">
        <v>39</v>
      </c>
      <c r="AE1059" s="706">
        <v>0</v>
      </c>
      <c r="AF1059" s="706">
        <v>0</v>
      </c>
      <c r="AG1059" s="706">
        <v>0</v>
      </c>
      <c r="AH1059" s="706">
        <v>5</v>
      </c>
      <c r="AI1059" s="706">
        <v>5</v>
      </c>
      <c r="AJ1059" s="905" t="str">
        <f t="shared" si="110"/>
        <v>G90900</v>
      </c>
      <c r="AK1059" s="905" t="str">
        <f t="shared" si="111"/>
        <v>REMBOURSEMENTS DE GMCL</v>
      </c>
      <c r="AL1059" s="905">
        <f>IFERROR(INDEX(G1059:R1059,1,MATCH(Parametres!$B$3,G$1:R$1,0)-1)*IF(OR(F1059="L",F1059="S",F1059="I"),-1,1),"")</f>
        <v>-96266.62</v>
      </c>
      <c r="AM1059" s="905">
        <f t="shared" si="112"/>
        <v>-34175</v>
      </c>
      <c r="AN1059" s="905">
        <f>INDEX(G1059:R1059,1,MATCH(Parametres!$B$3,G$1:R$1,0))*IF(OR(F1059="L",F1059="S",F1059="I"),-1,1)</f>
        <v>-130441.62</v>
      </c>
      <c r="AO1059" s="487" t="str">
        <f>+VLOOKUP($AJ1059,Data_Validation!$A:$D,1,0)</f>
        <v>G90900</v>
      </c>
      <c r="AP1059" s="487" t="str">
        <f>+VLOOKUP($AJ1059,Data_Validation!$A:$D,3,0)</f>
        <v>Véhicules neufs</v>
      </c>
      <c r="AQ1059" s="487" t="str">
        <f>+VLOOKUP($AJ1059,Data_Validation!$A:$D,4,0)</f>
        <v>Programme Excellence</v>
      </c>
      <c r="AR1059" s="487" t="s">
        <v>299</v>
      </c>
      <c r="AS1059" s="487">
        <f>+VLOOKUP($AJ1059,Data_Validation!$A:$E,5,0)</f>
        <v>0</v>
      </c>
      <c r="AT1059" s="904" t="str">
        <f t="shared" si="113"/>
        <v>G90900</v>
      </c>
      <c r="AU1059" s="488" t="str">
        <f t="shared" si="114"/>
        <v>REMBOURSEMENTS DE GMCL</v>
      </c>
      <c r="AV1059" s="899">
        <f>IFERROR(INDEX(V1059:AG1059,1,MATCH(Parametres!$B$3,V$1:AG$1,0)-1)*IF(OR(C1059="L",C1059="S",C1059="I"),-1,1),"")</f>
        <v>33</v>
      </c>
      <c r="AW1059" s="899">
        <f t="shared" si="115"/>
        <v>6</v>
      </c>
      <c r="AX1059" s="899">
        <f>INDEX(V1059:AG1059,1,MATCH(Parametres!$B$3,V$1:AG$1,0))*IF(OR(C1059="L",C1059="S",C1059="I"),-1,1)</f>
        <v>39</v>
      </c>
      <c r="AY1059" s="487" t="s">
        <v>337</v>
      </c>
      <c r="AZ1059" s="487">
        <f>+VLOOKUP($AJ1059,Data_Validation!$A:$E,5,0)</f>
        <v>0</v>
      </c>
    </row>
    <row r="1060" spans="1:52" ht="15" hidden="1" customHeight="1">
      <c r="A1060" s="706" t="s">
        <v>1148</v>
      </c>
      <c r="B1060" s="706">
        <v>2026</v>
      </c>
      <c r="C1060" s="706" t="s">
        <v>3090</v>
      </c>
      <c r="D1060" s="706" t="s">
        <v>3091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G953</v>
      </c>
      <c r="AK1060" s="905" t="str">
        <f t="shared" si="111"/>
        <v>ESCOMPTE ACCORDE</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G953</v>
      </c>
      <c r="AU1060" s="488" t="str">
        <f t="shared" si="114"/>
        <v>ESCOMPTE ACCORDE</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3092</v>
      </c>
      <c r="D1061" s="706" t="s">
        <v>3093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G955</v>
      </c>
      <c r="AK1061" s="905" t="str">
        <f t="shared" si="111"/>
        <v>AUTRES DEDUCTIONS</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G955</v>
      </c>
      <c r="AU1061" s="488" t="str">
        <f t="shared" si="114"/>
        <v>AUTRES DEDUCTIONS</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hidden="1" customHeight="1">
      <c r="A1062" s="706" t="s">
        <v>1148</v>
      </c>
      <c r="B1062" s="706">
        <v>2026</v>
      </c>
      <c r="C1062" s="706" t="s">
        <v>3094</v>
      </c>
      <c r="D1062" s="706" t="s">
        <v>3093</v>
      </c>
      <c r="E1062" s="706" t="s">
        <v>333</v>
      </c>
      <c r="F1062" s="706" t="s">
        <v>1104</v>
      </c>
      <c r="G1062" s="706">
        <v>40.75</v>
      </c>
      <c r="H1062" s="706">
        <v>305.54000000000002</v>
      </c>
      <c r="I1062" s="706">
        <v>-1036.4000000000001</v>
      </c>
      <c r="J1062" s="706">
        <v>-1010.84</v>
      </c>
      <c r="K1062" s="706">
        <v>49163.08</v>
      </c>
      <c r="L1062" s="706">
        <v>49240.4</v>
      </c>
      <c r="M1062" s="706">
        <v>51449.07</v>
      </c>
      <c r="N1062" s="706">
        <v>51479.37</v>
      </c>
      <c r="O1062" s="706">
        <v>51479.44</v>
      </c>
      <c r="P1062" s="706">
        <v>0</v>
      </c>
      <c r="Q1062" s="706">
        <v>0</v>
      </c>
      <c r="R1062" s="706">
        <v>0</v>
      </c>
      <c r="S1062" s="706">
        <v>6434.92</v>
      </c>
      <c r="T1062" s="706">
        <v>6434.92</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G95500</v>
      </c>
      <c r="AK1062" s="905" t="str">
        <f t="shared" si="111"/>
        <v>AUTRES DEDUCTIONS</v>
      </c>
      <c r="AL1062" s="905">
        <f>IFERROR(INDEX(G1062:R1062,1,MATCH(Parametres!$B$3,G$1:R$1,0)-1)*IF(OR(F1062="L",F1062="S",F1062="I"),-1,1),"")</f>
        <v>51449.07</v>
      </c>
      <c r="AM1062" s="905">
        <f t="shared" si="112"/>
        <v>30.30000000000291</v>
      </c>
      <c r="AN1062" s="905">
        <f>INDEX(G1062:R1062,1,MATCH(Parametres!$B$3,G$1:R$1,0))*IF(OR(F1062="L",F1062="S",F1062="I"),-1,1)</f>
        <v>51479.37</v>
      </c>
      <c r="AO1062" s="487" t="str">
        <f>+VLOOKUP($AJ1062,Data_Validation!$A:$D,1,0)</f>
        <v>G95500</v>
      </c>
      <c r="AP1062" s="487" t="str">
        <f>+VLOOKUP($AJ1062,Data_Validation!$A:$D,3,0)</f>
        <v>TOTAL DES REVENUS ET DÉPENSES</v>
      </c>
      <c r="AQ1062" s="487" t="str">
        <f>+VLOOKUP($AJ1062,Data_Validation!$A:$D,4,0)</f>
        <v>Revenus autres</v>
      </c>
      <c r="AR1062" s="487" t="s">
        <v>299</v>
      </c>
      <c r="AS1062" s="487">
        <f>+VLOOKUP($AJ1062,Data_Validation!$A:$E,5,0)</f>
        <v>0</v>
      </c>
      <c r="AT1062" s="904" t="str">
        <f t="shared" si="113"/>
        <v>G95500</v>
      </c>
      <c r="AU1062" s="488" t="str">
        <f t="shared" si="114"/>
        <v>AUTRES DEDUCTIONS</v>
      </c>
      <c r="AV1062" s="899">
        <f>IFERROR(INDEX(V1062:AG1062,1,MATCH(Parametres!$B$3,V$1:AG$1,0)-1)*IF(OR(C1062="L",C1062="S",C1062="I"),-1,1),"")</f>
        <v>0</v>
      </c>
      <c r="AW1062" s="899">
        <f t="shared" si="115"/>
        <v>0</v>
      </c>
      <c r="AX1062" s="899">
        <f>INDEX(V1062:AG1062,1,MATCH(Parametres!$B$3,V$1:AG$1,0))*IF(OR(C1062="L",C1062="S",C1062="I"),-1,1)</f>
        <v>0</v>
      </c>
      <c r="AY1062" s="487" t="s">
        <v>337</v>
      </c>
      <c r="AZ1062" s="487">
        <f>+VLOOKUP($AJ1062,Data_Validation!$A:$E,5,0)</f>
        <v>0</v>
      </c>
    </row>
    <row r="1063" spans="1:52" ht="15" hidden="1" customHeight="1">
      <c r="A1063" s="706" t="s">
        <v>1148</v>
      </c>
      <c r="B1063" s="706">
        <v>2026</v>
      </c>
      <c r="C1063" s="706" t="s">
        <v>3095</v>
      </c>
      <c r="D1063" s="706" t="s">
        <v>3096</v>
      </c>
      <c r="E1063" s="706" t="s">
        <v>333</v>
      </c>
      <c r="F1063" s="706" t="s">
        <v>1104</v>
      </c>
      <c r="G1063" s="706">
        <v>0</v>
      </c>
      <c r="H1063" s="706">
        <v>0</v>
      </c>
      <c r="I1063" s="706">
        <v>37199.85</v>
      </c>
      <c r="J1063" s="706">
        <v>58589.83</v>
      </c>
      <c r="K1063" s="706">
        <v>79840.570000000007</v>
      </c>
      <c r="L1063" s="706">
        <v>100951.46</v>
      </c>
      <c r="M1063" s="706">
        <v>121921.9</v>
      </c>
      <c r="N1063" s="706">
        <v>121921.9</v>
      </c>
      <c r="O1063" s="706">
        <v>121921.9</v>
      </c>
      <c r="P1063" s="706">
        <v>0</v>
      </c>
      <c r="Q1063" s="706">
        <v>0</v>
      </c>
      <c r="R1063" s="706">
        <v>0</v>
      </c>
      <c r="S1063" s="706">
        <v>15240.24</v>
      </c>
      <c r="T1063" s="706">
        <v>15240.24</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G95800</v>
      </c>
      <c r="AK1063" s="905" t="str">
        <f t="shared" si="111"/>
        <v>DEPENSES D'INTERET</v>
      </c>
      <c r="AL1063" s="905">
        <f>IFERROR(INDEX(G1063:R1063,1,MATCH(Parametres!$B$3,G$1:R$1,0)-1)*IF(OR(F1063="L",F1063="S",F1063="I"),-1,1),"")</f>
        <v>121921.9</v>
      </c>
      <c r="AM1063" s="905">
        <f t="shared" si="112"/>
        <v>0</v>
      </c>
      <c r="AN1063" s="905">
        <f>INDEX(G1063:R1063,1,MATCH(Parametres!$B$3,G$1:R$1,0))*IF(OR(F1063="L",F1063="S",F1063="I"),-1,1)</f>
        <v>121921.9</v>
      </c>
      <c r="AO1063" s="487" t="str">
        <f>+VLOOKUP($AJ1063,Data_Validation!$A:$D,1,0)</f>
        <v>G95800</v>
      </c>
      <c r="AP1063" s="487" t="str">
        <f>+VLOOKUP($AJ1063,Data_Validation!$A:$D,3,0)</f>
        <v>TOTAL DES REVENUS ET DÉPENSES</v>
      </c>
      <c r="AQ1063" s="487" t="str">
        <f>+VLOOKUP($AJ1063,Data_Validation!$A:$D,4,0)</f>
        <v>Intérêts sur prêt</v>
      </c>
      <c r="AR1063" s="487" t="s">
        <v>299</v>
      </c>
      <c r="AS1063" s="487">
        <f>+VLOOKUP($AJ1063,Data_Validation!$A:$E,5,0)</f>
        <v>0</v>
      </c>
      <c r="AT1063" s="904" t="str">
        <f t="shared" si="113"/>
        <v>G95800</v>
      </c>
      <c r="AU1063" s="488" t="str">
        <f t="shared" si="114"/>
        <v>DEPENSES D'INTERET</v>
      </c>
      <c r="AV1063" s="899">
        <f>IFERROR(INDEX(V1063:AG1063,1,MATCH(Parametres!$B$3,V$1:AG$1,0)-1)*IF(OR(C1063="L",C1063="S",C1063="I"),-1,1),"")</f>
        <v>0</v>
      </c>
      <c r="AW1063" s="899">
        <f t="shared" si="115"/>
        <v>0</v>
      </c>
      <c r="AX1063" s="899">
        <f>INDEX(V1063:AG1063,1,MATCH(Parametres!$B$3,V$1:AG$1,0))*IF(OR(C1063="L",C1063="S",C1063="I"),-1,1)</f>
        <v>0</v>
      </c>
      <c r="AY1063" s="487" t="s">
        <v>337</v>
      </c>
      <c r="AZ1063" s="487">
        <f>+VLOOKUP($AJ1063,Data_Validation!$A:$E,5,0)</f>
        <v>0</v>
      </c>
    </row>
    <row r="1064" spans="1:52" ht="15" hidden="1" customHeight="1">
      <c r="A1064" s="706" t="s">
        <v>1148</v>
      </c>
      <c r="B1064" s="706">
        <v>2026</v>
      </c>
      <c r="C1064" s="706" t="s">
        <v>3097</v>
      </c>
      <c r="D1064" s="706" t="s">
        <v>1784</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G99960</v>
      </c>
      <c r="AK1064" s="905" t="str">
        <f t="shared" si="111"/>
        <v>IN &amp; OUT PAYROLL</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G99960</v>
      </c>
      <c r="AU1064" s="488" t="str">
        <f t="shared" si="114"/>
        <v>IN &amp; OUT PAYROLL</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3098</v>
      </c>
      <c r="D1065" s="706" t="s">
        <v>3099</v>
      </c>
      <c r="E1065" s="706" t="s">
        <v>1141</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G9999</v>
      </c>
      <c r="AK1065" s="905" t="str">
        <f t="shared" si="111"/>
        <v>CHARGES A REFACTURER</v>
      </c>
      <c r="AL1065" s="905">
        <f>IFERROR(INDEX(G1065:R1065,1,MATCH(Parametres!$B$3,G$1:R$1,0)-1)*IF(OR(F1065="L",F1065="S",F1065="I"),-1,1),"")</f>
        <v>0</v>
      </c>
      <c r="AM1065" s="905">
        <f t="shared" si="112"/>
        <v>0</v>
      </c>
      <c r="AN1065" s="905">
        <f>INDEX(G1065:R1065,1,MATCH(Parametres!$B$3,G$1:R$1,0))*IF(OR(F1065="L",F1065="S",F1065="I"),-1,1)</f>
        <v>0</v>
      </c>
      <c r="AO1065" s="487" t="str">
        <f>+VLOOKUP($AJ1065,Data_Validation!$A:$D,1,0)</f>
        <v>G9999</v>
      </c>
      <c r="AP1065" s="487" t="str">
        <f>+VLOOKUP($AJ1065,Data_Validation!$A:$D,3,0)</f>
        <v>Wholesale autres</v>
      </c>
      <c r="AQ1065" s="487" t="str">
        <f>+VLOOKUP($AJ1065,Data_Validation!$A:$D,4,0)</f>
        <v>Frais de livraison</v>
      </c>
      <c r="AR1065" s="487" t="s">
        <v>299</v>
      </c>
      <c r="AS1065" s="487">
        <f>+VLOOKUP($AJ1065,Data_Validation!$A:$E,5,0)</f>
        <v>0</v>
      </c>
      <c r="AT1065" s="904" t="str">
        <f t="shared" si="113"/>
        <v>G9999</v>
      </c>
      <c r="AU1065" s="488" t="str">
        <f t="shared" si="114"/>
        <v>CHARGES A REFACTURER</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J1066" s="905">
        <f t="shared" si="110"/>
        <v>0</v>
      </c>
      <c r="AK1066" s="905">
        <f t="shared" si="111"/>
        <v>0</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f t="shared" si="113"/>
        <v>0</v>
      </c>
      <c r="AU1066" s="488">
        <f t="shared" si="114"/>
        <v>0</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J1067" s="905">
        <f t="shared" si="110"/>
        <v>0</v>
      </c>
      <c r="AK1067" s="905">
        <f t="shared" si="111"/>
        <v>0</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f t="shared" si="113"/>
        <v>0</v>
      </c>
      <c r="AU1067" s="488">
        <f t="shared" si="114"/>
        <v>0</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hidden="1"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hidden="1"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hidden="1"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hidden="1"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hidden="1"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filterColumn colId="38">
      <filters>
        <filter val="(1,804,486.49)"/>
        <filter val="(3,434,434.64)"/>
        <filter val="(360,000.00)"/>
        <filter val="(791,000.00)"/>
        <filter val="(86,552.35)"/>
        <filter val="(911,530.95)"/>
        <filter val="(927,723.00)"/>
        <filter val="(93,751.00)"/>
        <filter val="1,781,106.67"/>
        <filter val="23,764.96"/>
        <filter val="3,501,123.61"/>
        <filter val="352,500.00"/>
        <filter val="776,865.00"/>
        <filter val="86,552.35"/>
        <filter val="902,457.45"/>
        <filter val="915,390.57"/>
        <filter val="95,317.65"/>
      </filters>
    </filterColumn>
    <filterColumn colId="42">
      <filters>
        <filter val="0"/>
        <filter val="Ventes au Gros"/>
        <filter val="Wholesale Canada"/>
        <filter val="Wholesale Luxueux"/>
        <filter val="Wholesale US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89" t="s">
        <v>14</v>
      </c>
      <c r="D4" s="1290"/>
      <c r="E4" s="1290"/>
      <c r="F4" s="1290"/>
      <c r="G4" s="1291"/>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47</v>
      </c>
      <c r="D6" s="1067"/>
      <c r="E6" s="1068">
        <f t="shared" ref="E6:E19" si="0">C6-D6</f>
        <v>47</v>
      </c>
      <c r="F6" s="1069">
        <f>Print_Mois!O13</f>
        <v>80</v>
      </c>
      <c r="G6" s="1101">
        <f t="shared" ref="G6:G19" si="1">C6-F6</f>
        <v>-33</v>
      </c>
    </row>
    <row r="7" spans="2:7" s="1061" customFormat="1">
      <c r="B7" s="1099" t="s">
        <v>3188</v>
      </c>
      <c r="C7" s="1095">
        <f>Print_Mois!J17</f>
        <v>36</v>
      </c>
      <c r="D7" s="1096"/>
      <c r="E7" s="1068">
        <f t="shared" si="0"/>
        <v>36</v>
      </c>
      <c r="F7" s="1098">
        <f>Print_Mois!O17</f>
        <v>54</v>
      </c>
      <c r="G7" s="1097">
        <f t="shared" si="1"/>
        <v>-18</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138312.43000000177</v>
      </c>
      <c r="D9" s="1077"/>
      <c r="E9" s="1078">
        <f t="shared" si="0"/>
        <v>138312.43000000177</v>
      </c>
      <c r="F9" s="1077">
        <f>Print_Mois!Q27</f>
        <v>306255.92999999149</v>
      </c>
      <c r="G9" s="1078">
        <f t="shared" si="1"/>
        <v>-167943.49999998973</v>
      </c>
    </row>
    <row r="10" spans="2:7">
      <c r="B10" s="1075" t="s">
        <v>3170</v>
      </c>
      <c r="C10" s="1076">
        <f>Print_Mois!L109</f>
        <v>16233.009999998452</v>
      </c>
      <c r="D10" s="1077"/>
      <c r="E10" s="1078">
        <f t="shared" si="0"/>
        <v>16233.009999998452</v>
      </c>
      <c r="F10" s="1077">
        <f>Print_Mois!Q109</f>
        <v>33491.69999999812</v>
      </c>
      <c r="G10" s="1078">
        <f t="shared" si="1"/>
        <v>-17258.689999999668</v>
      </c>
    </row>
    <row r="11" spans="2:7">
      <c r="B11" s="1100" t="s">
        <v>3189</v>
      </c>
      <c r="C11" s="1076">
        <f>Print_Mois!L182</f>
        <v>-19788.420000003651</v>
      </c>
      <c r="D11" s="1077"/>
      <c r="E11" s="1078"/>
      <c r="F11" s="1077">
        <f>Print_Mois!Q182</f>
        <v>70310.469999999739</v>
      </c>
      <c r="G11" s="1078">
        <f t="shared" si="1"/>
        <v>-90098.89000000339</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5" thickBot="1">
      <c r="B15" s="1075" t="s">
        <v>3172</v>
      </c>
      <c r="C15" s="1076">
        <f>Print_Mois!L390</f>
        <v>91034.830000000191</v>
      </c>
      <c r="D15" s="1077"/>
      <c r="E15" s="1078">
        <f t="shared" si="0"/>
        <v>91034.830000000191</v>
      </c>
      <c r="F15" s="1077">
        <f>Print_Mois!Q390</f>
        <v>97640.879999999976</v>
      </c>
      <c r="G15" s="1078">
        <f t="shared" si="1"/>
        <v>-6606.0499999997846</v>
      </c>
    </row>
    <row r="16" spans="2:7" ht="15" thickTop="1">
      <c r="B16" s="1079" t="s">
        <v>3173</v>
      </c>
      <c r="C16" s="1080">
        <f>SUM(C9:C15)</f>
        <v>460031.30999999674</v>
      </c>
      <c r="D16" s="1081">
        <f>SUM(D9:D15)</f>
        <v>0</v>
      </c>
      <c r="E16" s="1082">
        <f t="shared" si="0"/>
        <v>460031.30999999674</v>
      </c>
      <c r="F16" s="1081">
        <f>SUM(F9:F15)</f>
        <v>789154.20999998925</v>
      </c>
      <c r="G16" s="1082">
        <f t="shared" si="1"/>
        <v>-329122.89999999251</v>
      </c>
    </row>
    <row r="17" spans="2:7">
      <c r="B17" s="1075" t="s">
        <v>3174</v>
      </c>
      <c r="C17" s="1076">
        <f>Print_Mois!AF568</f>
        <v>55345.02</v>
      </c>
      <c r="D17" s="1077"/>
      <c r="E17" s="1078">
        <f t="shared" si="0"/>
        <v>55345.02</v>
      </c>
      <c r="F17" s="1077">
        <f>Print_Mois!AL568</f>
        <v>6264.3299999999799</v>
      </c>
      <c r="G17" s="1078">
        <f t="shared" si="1"/>
        <v>49080.690000000017</v>
      </c>
    </row>
    <row r="18" spans="2:7">
      <c r="B18" s="1075" t="s">
        <v>3175</v>
      </c>
      <c r="C18" s="1076">
        <f>-Print_Mois!AF555</f>
        <v>-288282.36</v>
      </c>
      <c r="D18" s="1077"/>
      <c r="E18" s="1078">
        <f t="shared" si="0"/>
        <v>-288282.36</v>
      </c>
      <c r="F18" s="1077">
        <f>-Print_Mois!AL555</f>
        <v>-726933.25000000012</v>
      </c>
      <c r="G18" s="1078">
        <f t="shared" si="1"/>
        <v>438650.89000000013</v>
      </c>
    </row>
    <row r="19" spans="2:7" ht="15" thickBot="1">
      <c r="B19" s="1075" t="s">
        <v>3176</v>
      </c>
      <c r="C19" s="1076">
        <f>-Print_Mois!AF578-Print_Mois!AF579-Print_Mois!AF580-Print_Mois!AF581-Print_Mois!AF583</f>
        <v>-10810</v>
      </c>
      <c r="D19" s="1077"/>
      <c r="E19" s="1078">
        <f t="shared" si="0"/>
        <v>-10810</v>
      </c>
      <c r="F19" s="1077">
        <f>-Print_Mois!AL578-Print_Mois!AL579-Print_Mois!AL580-Print_Mois!AL581-Print_Mois!AL583</f>
        <v>-10790.13</v>
      </c>
      <c r="G19" s="1078">
        <f t="shared" si="1"/>
        <v>-19.8700000000008</v>
      </c>
    </row>
    <row r="20" spans="2:7" ht="16.5" thickTop="1" thickBot="1">
      <c r="B20" s="1083" t="s">
        <v>3177</v>
      </c>
      <c r="C20" s="1084">
        <f>SUM(C16:C19)</f>
        <v>216283.96999999677</v>
      </c>
      <c r="D20" s="1085">
        <f t="shared" ref="D20:G20" si="2">SUM(D16:D19)</f>
        <v>0</v>
      </c>
      <c r="E20" s="1086">
        <f t="shared" si="2"/>
        <v>216283.96999999677</v>
      </c>
      <c r="F20" s="1085">
        <f t="shared" si="2"/>
        <v>57695.159999989097</v>
      </c>
      <c r="G20" s="1086">
        <f t="shared" si="2"/>
        <v>158588.81000000762</v>
      </c>
    </row>
    <row r="21" spans="2:7" ht="15" thickBot="1"/>
    <row r="22" spans="2:7" ht="21" thickBot="1">
      <c r="C22" s="1289" t="s">
        <v>3435</v>
      </c>
      <c r="D22" s="1290"/>
      <c r="E22" s="1290"/>
      <c r="F22" s="1290"/>
      <c r="G22" s="1291"/>
    </row>
    <row r="23" spans="2:7" ht="30.75" thickBot="1">
      <c r="B23" s="1061"/>
      <c r="C23" s="1062" t="s">
        <v>3187</v>
      </c>
      <c r="D23" s="1063" t="s">
        <v>3178</v>
      </c>
      <c r="E23" s="1064" t="s">
        <v>3165</v>
      </c>
      <c r="F23" s="1063" t="s">
        <v>3179</v>
      </c>
      <c r="G23" s="1064" t="s">
        <v>3166</v>
      </c>
    </row>
    <row r="24" spans="2:7" ht="15" thickBot="1">
      <c r="B24" s="1065" t="s">
        <v>3167</v>
      </c>
      <c r="C24" s="1066">
        <f>Print_AAD!J13</f>
        <v>350</v>
      </c>
      <c r="D24" s="1067"/>
      <c r="E24" s="1068">
        <f t="shared" ref="E24:E37" si="3">C24-D24</f>
        <v>350</v>
      </c>
      <c r="F24" s="1069">
        <f>Print_AAD!O13</f>
        <v>527</v>
      </c>
      <c r="G24" s="1101">
        <f t="shared" ref="G24:G37" si="4">C24-F24</f>
        <v>-177</v>
      </c>
    </row>
    <row r="25" spans="2:7">
      <c r="B25" s="1099" t="s">
        <v>3188</v>
      </c>
      <c r="C25" s="1095">
        <f>Print_AAD!J17</f>
        <v>940</v>
      </c>
      <c r="D25" s="1096"/>
      <c r="E25" s="1068">
        <f t="shared" si="3"/>
        <v>940</v>
      </c>
      <c r="F25" s="1098">
        <f>Print_AAD!O17</f>
        <v>1170</v>
      </c>
      <c r="G25" s="1097">
        <f t="shared" si="4"/>
        <v>-230</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1616503.9499999995</v>
      </c>
      <c r="D27" s="1077"/>
      <c r="E27" s="1078">
        <f t="shared" si="3"/>
        <v>1616503.9499999995</v>
      </c>
      <c r="F27" s="1077">
        <f>Print_AAD!Q27</f>
        <v>2507490.2299999958</v>
      </c>
      <c r="G27" s="1078">
        <f t="shared" si="4"/>
        <v>-890986.2799999963</v>
      </c>
    </row>
    <row r="28" spans="2:7">
      <c r="B28" s="1075" t="s">
        <v>3170</v>
      </c>
      <c r="C28" s="1076">
        <f>Print_AAD!L109</f>
        <v>474681.18999999925</v>
      </c>
      <c r="D28" s="1077"/>
      <c r="E28" s="1078">
        <f t="shared" si="3"/>
        <v>474681.18999999925</v>
      </c>
      <c r="F28" s="1077">
        <f>Print_AAD!Q109</f>
        <v>464469.31999999809</v>
      </c>
      <c r="G28" s="1078">
        <f t="shared" si="4"/>
        <v>10211.870000001159</v>
      </c>
    </row>
    <row r="29" spans="2:7">
      <c r="B29" s="1100" t="s">
        <v>3189</v>
      </c>
      <c r="C29" s="1076">
        <f>Print_AAD!L182</f>
        <v>1142685.33</v>
      </c>
      <c r="D29" s="1077"/>
      <c r="E29" s="1078"/>
      <c r="F29" s="1077">
        <f>Print_AAD!Q182</f>
        <v>1148094.2199999988</v>
      </c>
      <c r="G29" s="1078">
        <f t="shared" si="4"/>
        <v>-5408.8899999987334</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5" thickBot="1">
      <c r="B33" s="1075" t="s">
        <v>3172</v>
      </c>
      <c r="C33" s="1076">
        <f>Print_AAD!L390</f>
        <v>785029.59000000008</v>
      </c>
      <c r="D33" s="1077"/>
      <c r="E33" s="1078">
        <f t="shared" si="3"/>
        <v>785029.59000000008</v>
      </c>
      <c r="F33" s="1077">
        <f>Print_AAD!Q390</f>
        <v>776387.20000000007</v>
      </c>
      <c r="G33" s="1078">
        <f t="shared" si="4"/>
        <v>8642.390000000014</v>
      </c>
    </row>
    <row r="34" spans="2:8" ht="15" thickTop="1">
      <c r="B34" s="1079" t="s">
        <v>3173</v>
      </c>
      <c r="C34" s="1080">
        <f>SUM(C27:C33)</f>
        <v>6211744.2599999988</v>
      </c>
      <c r="D34" s="1081">
        <f>SUM(D27:D33)</f>
        <v>0</v>
      </c>
      <c r="E34" s="1082">
        <f t="shared" si="3"/>
        <v>6211744.2599999988</v>
      </c>
      <c r="F34" s="1081">
        <f>SUM(F27:F33)</f>
        <v>7214386.2599999923</v>
      </c>
      <c r="G34" s="1082">
        <f t="shared" si="4"/>
        <v>-1002641.9999999935</v>
      </c>
    </row>
    <row r="35" spans="2:8">
      <c r="B35" s="1075" t="s">
        <v>3174</v>
      </c>
      <c r="C35" s="1076">
        <f>Print_AAD!AF568</f>
        <v>393754</v>
      </c>
      <c r="D35" s="1077"/>
      <c r="E35" s="1078">
        <f t="shared" si="3"/>
        <v>393754</v>
      </c>
      <c r="F35" s="1077">
        <f>Print_AAD!AL568</f>
        <v>463210.15</v>
      </c>
      <c r="G35" s="1078">
        <f t="shared" si="4"/>
        <v>-69456.150000000023</v>
      </c>
    </row>
    <row r="36" spans="2:8">
      <c r="B36" s="1075" t="s">
        <v>3175</v>
      </c>
      <c r="C36" s="1076">
        <f>-Print_AAD!AF555</f>
        <v>-4415052.67</v>
      </c>
      <c r="D36" s="1077"/>
      <c r="E36" s="1078">
        <f t="shared" si="3"/>
        <v>-4415052.67</v>
      </c>
      <c r="F36" s="1077">
        <f>-Print_AAD!AL555</f>
        <v>-5003329.8099999996</v>
      </c>
      <c r="G36" s="1078">
        <f t="shared" si="4"/>
        <v>588277.13999999966</v>
      </c>
      <c r="H36" s="1102" t="s">
        <v>3192</v>
      </c>
    </row>
    <row r="37" spans="2:8" ht="15" thickBot="1">
      <c r="B37" s="1075" t="s">
        <v>3180</v>
      </c>
      <c r="C37" s="1076">
        <f>-Print_AAD!AF578-Print_AAD!AF579-Print_AAD!AF580-Print_AAD!AF581-Print_AAD!AF583</f>
        <v>-112799.54000000001</v>
      </c>
      <c r="D37" s="1077"/>
      <c r="E37" s="1078">
        <f t="shared" si="3"/>
        <v>-112799.54000000001</v>
      </c>
      <c r="F37" s="1077">
        <f>-Print_AAD!AL578-Print_AAD!AL579-Print_AAD!AL580-Print_AAD!AL581-Print_AAD!AL583</f>
        <v>-90702.57</v>
      </c>
      <c r="G37" s="1078">
        <f t="shared" si="4"/>
        <v>-22096.97</v>
      </c>
    </row>
    <row r="38" spans="2:8" ht="16.5" thickTop="1" thickBot="1">
      <c r="B38" s="1083" t="s">
        <v>3177</v>
      </c>
      <c r="C38" s="1084">
        <f t="shared" ref="C38:G38" si="5">SUM(C34:C37)</f>
        <v>2077646.0499999989</v>
      </c>
      <c r="D38" s="1085">
        <f t="shared" si="5"/>
        <v>0</v>
      </c>
      <c r="E38" s="1086">
        <f t="shared" si="5"/>
        <v>2077646.0499999989</v>
      </c>
      <c r="F38" s="1085">
        <f t="shared" si="5"/>
        <v>2583564.0299999933</v>
      </c>
      <c r="G38" s="1086">
        <f t="shared" si="5"/>
        <v>-505917.97999999369</v>
      </c>
    </row>
    <row r="40" spans="2:8" ht="21" hidden="1" thickBot="1">
      <c r="C40" s="1289" t="s">
        <v>3181</v>
      </c>
      <c r="D40" s="1290"/>
      <c r="E40" s="1290"/>
      <c r="F40" s="1290"/>
      <c r="G40" s="1291"/>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89" t="s">
        <v>3206</v>
      </c>
      <c r="D54" s="1290"/>
      <c r="E54" s="1290"/>
      <c r="F54" s="1290"/>
      <c r="G54" s="1291"/>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zoomScale="60" zoomScaleNormal="60" workbookViewId="0">
      <pane xSplit="1" topLeftCell="M1" activePane="topRight" state="frozen"/>
      <selection activeCell="A478" sqref="A478"/>
      <selection pane="topRight" activeCell="Y527" sqref="Y527"/>
    </sheetView>
  </sheetViews>
  <sheetFormatPr baseColWidth="10" defaultRowHeight="14.25"/>
  <cols>
    <col min="1" max="1" width="39.375" customWidth="1"/>
    <col min="2" max="22" width="17.25" customWidth="1"/>
  </cols>
  <sheetData>
    <row r="1" spans="1:22" s="1248" customFormat="1" ht="23.25">
      <c r="C1" s="1248" t="s">
        <v>3425</v>
      </c>
      <c r="F1" s="1248" t="s">
        <v>3426</v>
      </c>
      <c r="I1" s="1248" t="s">
        <v>3427</v>
      </c>
      <c r="L1" s="1248" t="s">
        <v>3428</v>
      </c>
      <c r="O1" s="1248" t="s">
        <v>3429</v>
      </c>
      <c r="R1" s="1248" t="s">
        <v>3430</v>
      </c>
      <c r="U1" s="1248" t="s">
        <v>3436</v>
      </c>
    </row>
    <row r="3" spans="1:22"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0.25">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25">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0.25">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0.25">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0.25">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25">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25">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0.25">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3.25">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75" thickBot="1">
      <c r="A92" s="34"/>
      <c r="B92" s="35"/>
      <c r="C92" s="35"/>
      <c r="D92" s="35"/>
      <c r="E92" s="35"/>
      <c r="F92" s="35"/>
      <c r="G92" s="35"/>
      <c r="H92" s="35"/>
      <c r="I92" s="35"/>
      <c r="J92" s="35"/>
      <c r="K92" s="35"/>
      <c r="L92" s="35"/>
      <c r="M92" s="35"/>
      <c r="N92" s="35"/>
      <c r="O92" s="35"/>
      <c r="P92" s="35"/>
      <c r="Q92" s="35"/>
      <c r="R92" s="35"/>
      <c r="S92" s="35"/>
      <c r="T92" s="35"/>
      <c r="U92" s="35"/>
      <c r="V92" s="35"/>
    </row>
    <row r="93" spans="1:22"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0.25">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0.25">
      <c r="D490" s="305"/>
      <c r="G490" s="305"/>
      <c r="J490" s="305"/>
      <c r="M490" s="305"/>
      <c r="P490" s="305"/>
      <c r="S490" s="305"/>
      <c r="V490" s="305"/>
    </row>
    <row r="491" spans="1:22" ht="35.25">
      <c r="A491" s="656" t="s">
        <v>1161</v>
      </c>
      <c r="D491" s="709"/>
      <c r="G491" s="709"/>
      <c r="J491" s="709"/>
      <c r="M491" s="709"/>
      <c r="P491" s="709"/>
      <c r="S491" s="709"/>
      <c r="V491" s="709"/>
    </row>
    <row r="492" spans="1:22" ht="18.75" thickBot="1">
      <c r="A492" s="376"/>
    </row>
    <row r="493" spans="1:22"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25">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5"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2026-09-03T20:38:10Z</dcterms:modified>
</cp:coreProperties>
</file>