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imeallard/Desktop/"/>
    </mc:Choice>
  </mc:AlternateContent>
  <xr:revisionPtr revIDLastSave="0" documentId="8_{4B4A6269-7DFB-3944-8E0B-C7F632EE6384}" xr6:coauthVersionLast="47" xr6:coauthVersionMax="47" xr10:uidLastSave="{00000000-0000-0000-0000-000000000000}"/>
  <bookViews>
    <workbookView xWindow="0" yWindow="660" windowWidth="30240" windowHeight="17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2" sheetId="31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'Q2'!$C$1:$S$354,'Q2'!$V$403:$AO$499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44" i="3" l="1"/>
  <c r="AQ448" i="3"/>
  <c r="AQ443" i="3"/>
  <c r="AQ438" i="3"/>
  <c r="AQ435" i="3"/>
  <c r="AQ436" i="3" l="1"/>
  <c r="AQ462" i="3" l="1"/>
  <c r="AR478" i="3"/>
  <c r="AR472" i="3"/>
  <c r="W109" i="3"/>
  <c r="X109" i="3"/>
  <c r="X15" i="3"/>
  <c r="X27" i="3" l="1"/>
  <c r="W27" i="3"/>
  <c r="AQ459" i="3" l="1"/>
  <c r="AQ460" i="3"/>
  <c r="F43" i="26" l="1"/>
  <c r="D43" i="26"/>
  <c r="C43" i="26"/>
  <c r="A500" i="31" l="1"/>
  <c r="A499" i="31"/>
  <c r="AO498" i="31"/>
  <c r="AN498" i="31"/>
  <c r="AB498" i="31"/>
  <c r="AI498" i="31"/>
  <c r="A498" i="31"/>
  <c r="AN497" i="31"/>
  <c r="AB497" i="31"/>
  <c r="AI497" i="31"/>
  <c r="A497" i="31"/>
  <c r="AO496" i="31"/>
  <c r="AN496" i="31"/>
  <c r="AH496" i="31"/>
  <c r="AB496" i="31"/>
  <c r="AI496" i="31"/>
  <c r="A496" i="31"/>
  <c r="AN495" i="31"/>
  <c r="AO495" i="31"/>
  <c r="AI495" i="31"/>
  <c r="AH495" i="31"/>
  <c r="AB495" i="31"/>
  <c r="A495" i="31"/>
  <c r="AO494" i="31"/>
  <c r="AI494" i="31"/>
  <c r="AH494" i="31"/>
  <c r="AN494" i="31"/>
  <c r="AB494" i="31"/>
  <c r="A494" i="31"/>
  <c r="AO493" i="31"/>
  <c r="AI493" i="31"/>
  <c r="AB493" i="31"/>
  <c r="A493" i="31"/>
  <c r="AN492" i="31"/>
  <c r="AO492" i="31" s="1"/>
  <c r="AB492" i="31"/>
  <c r="A492" i="31"/>
  <c r="A491" i="31"/>
  <c r="A490" i="31"/>
  <c r="A489" i="31"/>
  <c r="A488" i="31"/>
  <c r="A487" i="31"/>
  <c r="A485" i="31"/>
  <c r="A484" i="31"/>
  <c r="AO483" i="31"/>
  <c r="AN483" i="31"/>
  <c r="A483" i="31"/>
  <c r="A482" i="31"/>
  <c r="AN481" i="31"/>
  <c r="AO481" i="31" s="1"/>
  <c r="AB481" i="31"/>
  <c r="AH481" i="31"/>
  <c r="AI481" i="31" s="1"/>
  <c r="A481" i="31"/>
  <c r="AO480" i="31"/>
  <c r="AN480" i="31"/>
  <c r="AB480" i="31"/>
  <c r="AH480" i="31"/>
  <c r="AI480" i="31" s="1"/>
  <c r="A480" i="31"/>
  <c r="AB479" i="31"/>
  <c r="AH479" i="31"/>
  <c r="AI479" i="31" s="1"/>
  <c r="A479" i="31"/>
  <c r="AN478" i="31"/>
  <c r="AO478" i="31" s="1"/>
  <c r="AB478" i="31"/>
  <c r="A478" i="31"/>
  <c r="AO477" i="31"/>
  <c r="AN477" i="31"/>
  <c r="AB477" i="31"/>
  <c r="A477" i="31"/>
  <c r="AN476" i="31"/>
  <c r="AB476" i="31"/>
  <c r="AH476" i="31"/>
  <c r="AI476" i="31" s="1"/>
  <c r="A476" i="31"/>
  <c r="AN475" i="31"/>
  <c r="AO475" i="31" s="1"/>
  <c r="AB475" i="31"/>
  <c r="AH475" i="31"/>
  <c r="AI475" i="31" s="1"/>
  <c r="A475" i="31"/>
  <c r="AO474" i="31"/>
  <c r="AN474" i="31"/>
  <c r="AH474" i="31"/>
  <c r="AI474" i="31" s="1"/>
  <c r="AB474" i="31"/>
  <c r="A474" i="31"/>
  <c r="AB473" i="31"/>
  <c r="AH473" i="31"/>
  <c r="AI473" i="31" s="1"/>
  <c r="A473" i="31"/>
  <c r="AN472" i="31"/>
  <c r="AO472" i="31" s="1"/>
  <c r="AB472" i="31"/>
  <c r="A472" i="31"/>
  <c r="AN471" i="31"/>
  <c r="AB471" i="31"/>
  <c r="A471" i="31"/>
  <c r="AN470" i="31"/>
  <c r="AC482" i="31"/>
  <c r="AA482" i="31" s="1"/>
  <c r="AB470" i="31"/>
  <c r="A470" i="31"/>
  <c r="A469" i="31"/>
  <c r="AO468" i="31"/>
  <c r="AN468" i="31"/>
  <c r="AH468" i="31"/>
  <c r="A468" i="31"/>
  <c r="A467" i="31"/>
  <c r="AH466" i="31"/>
  <c r="AI466" i="31"/>
  <c r="A466" i="31"/>
  <c r="AH465" i="31"/>
  <c r="AI465" i="31"/>
  <c r="A465" i="31"/>
  <c r="AI464" i="31"/>
  <c r="AF467" i="31"/>
  <c r="A464" i="31"/>
  <c r="AB463" i="31"/>
  <c r="A463" i="31"/>
  <c r="AH462" i="31"/>
  <c r="AI462" i="31" s="1"/>
  <c r="AB462" i="31"/>
  <c r="A462" i="31"/>
  <c r="AH461" i="31"/>
  <c r="AI461" i="31" s="1"/>
  <c r="AB461" i="31"/>
  <c r="A461" i="31"/>
  <c r="AB460" i="31"/>
  <c r="A460" i="31"/>
  <c r="AN459" i="31"/>
  <c r="AO459" i="31" s="1"/>
  <c r="AB459" i="31"/>
  <c r="A459" i="31"/>
  <c r="AN458" i="31"/>
  <c r="AO458" i="31" s="1"/>
  <c r="AB458" i="31"/>
  <c r="A458" i="31"/>
  <c r="AO457" i="31"/>
  <c r="AH457" i="31"/>
  <c r="AB457" i="31"/>
  <c r="AI457" i="31"/>
  <c r="A457" i="31"/>
  <c r="AN456" i="31"/>
  <c r="AH456" i="31"/>
  <c r="AI456" i="31" s="1"/>
  <c r="AB456" i="31"/>
  <c r="A456" i="31"/>
  <c r="AI455" i="31"/>
  <c r="AH455" i="31"/>
  <c r="AB455" i="31"/>
  <c r="A455" i="31"/>
  <c r="A454" i="31"/>
  <c r="AA453" i="31"/>
  <c r="A453" i="31"/>
  <c r="AO452" i="31"/>
  <c r="AN452" i="31"/>
  <c r="AB452" i="31"/>
  <c r="AI452" i="31"/>
  <c r="A452" i="31"/>
  <c r="AO451" i="31"/>
  <c r="AN451" i="31"/>
  <c r="AB451" i="31"/>
  <c r="AI451" i="31"/>
  <c r="A451" i="31"/>
  <c r="AB450" i="31"/>
  <c r="AI450" i="31"/>
  <c r="A450" i="31"/>
  <c r="AI449" i="31"/>
  <c r="AH449" i="31"/>
  <c r="AB449" i="31"/>
  <c r="A449" i="31"/>
  <c r="AH448" i="31"/>
  <c r="AI448" i="31" s="1"/>
  <c r="AB448" i="31"/>
  <c r="A448" i="31"/>
  <c r="AB447" i="31"/>
  <c r="A447" i="31"/>
  <c r="AB446" i="31"/>
  <c r="A446" i="31"/>
  <c r="AB445" i="31"/>
  <c r="A445" i="31"/>
  <c r="AB444" i="31"/>
  <c r="A444" i="31"/>
  <c r="AH443" i="31"/>
  <c r="AI443" i="31" s="1"/>
  <c r="AB443" i="31"/>
  <c r="A443" i="31"/>
  <c r="AH442" i="31"/>
  <c r="AB442" i="31"/>
  <c r="AI442" i="31"/>
  <c r="A442" i="31"/>
  <c r="AH441" i="31"/>
  <c r="AB441" i="31"/>
  <c r="AI441" i="31"/>
  <c r="AH440" i="31"/>
  <c r="AI440" i="31" s="1"/>
  <c r="AB440" i="31"/>
  <c r="A440" i="31"/>
  <c r="AH439" i="31"/>
  <c r="AI439" i="31" s="1"/>
  <c r="AB439" i="31"/>
  <c r="A439" i="31"/>
  <c r="AH438" i="31"/>
  <c r="AI438" i="31" s="1"/>
  <c r="AB438" i="31"/>
  <c r="A438" i="31"/>
  <c r="AI437" i="31"/>
  <c r="AH437" i="31"/>
  <c r="AB437" i="31"/>
  <c r="A437" i="31"/>
  <c r="AB436" i="31"/>
  <c r="A436" i="31"/>
  <c r="AB435" i="31"/>
  <c r="A435" i="31"/>
  <c r="A434" i="31"/>
  <c r="AB433" i="31"/>
  <c r="AI433" i="31"/>
  <c r="A433" i="31"/>
  <c r="AB432" i="31"/>
  <c r="A432" i="31"/>
  <c r="AH431" i="31"/>
  <c r="AI431" i="31" s="1"/>
  <c r="AB431" i="31"/>
  <c r="A431" i="31"/>
  <c r="AB430" i="31"/>
  <c r="A430" i="31"/>
  <c r="AH429" i="31"/>
  <c r="AB429" i="31"/>
  <c r="AI429" i="31"/>
  <c r="A429" i="31"/>
  <c r="AO428" i="31"/>
  <c r="AI428" i="31"/>
  <c r="AN428" i="31"/>
  <c r="AB428" i="31"/>
  <c r="A428" i="31"/>
  <c r="AO427" i="31"/>
  <c r="AN427" i="31"/>
  <c r="AB427" i="31"/>
  <c r="AI427" i="31"/>
  <c r="A427" i="31"/>
  <c r="AO426" i="31"/>
  <c r="AI426" i="31"/>
  <c r="AH426" i="31"/>
  <c r="AN426" i="31"/>
  <c r="AB426" i="31"/>
  <c r="A426" i="31"/>
  <c r="AB425" i="31"/>
  <c r="A425" i="31"/>
  <c r="AB424" i="31"/>
  <c r="Z434" i="31"/>
  <c r="A424" i="31"/>
  <c r="AB423" i="31"/>
  <c r="A423" i="31"/>
  <c r="AH422" i="31"/>
  <c r="AI422" i="31" s="1"/>
  <c r="AB422" i="31"/>
  <c r="A422" i="31"/>
  <c r="AN421" i="31"/>
  <c r="AH421" i="31"/>
  <c r="AI421" i="31" s="1"/>
  <c r="AB421" i="31"/>
  <c r="A421" i="31"/>
  <c r="A420" i="31"/>
  <c r="AO419" i="31"/>
  <c r="AI419" i="31"/>
  <c r="AN419" i="31"/>
  <c r="AE419" i="31"/>
  <c r="AB419" i="31"/>
  <c r="AH419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B416" i="31"/>
  <c r="A416" i="31"/>
  <c r="AI415" i="31"/>
  <c r="AH415" i="31"/>
  <c r="AB415" i="31"/>
  <c r="A415" i="31"/>
  <c r="AB414" i="31"/>
  <c r="A414" i="31"/>
  <c r="AH413" i="31"/>
  <c r="AB413" i="31"/>
  <c r="A413" i="31"/>
  <c r="AB412" i="31"/>
  <c r="A412" i="31"/>
  <c r="AH411" i="31"/>
  <c r="AI411" i="31" s="1"/>
  <c r="AB411" i="31"/>
  <c r="A411" i="31"/>
  <c r="AF420" i="31"/>
  <c r="AC420" i="31"/>
  <c r="A410" i="31"/>
  <c r="A409" i="31"/>
  <c r="A408" i="31"/>
  <c r="A407" i="31"/>
  <c r="A406" i="31"/>
  <c r="A405" i="31"/>
  <c r="V403" i="31"/>
  <c r="V486" i="31" s="1"/>
  <c r="A486" i="31" s="1"/>
  <c r="L396" i="31"/>
  <c r="K396" i="31" s="1"/>
  <c r="S395" i="31"/>
  <c r="A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I396" i="31"/>
  <c r="H396" i="31" s="1"/>
  <c r="F396" i="31"/>
  <c r="E396" i="31" s="1"/>
  <c r="A379" i="31"/>
  <c r="Q378" i="31"/>
  <c r="P378" i="31" s="1"/>
  <c r="A378" i="31"/>
  <c r="S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F378" i="31"/>
  <c r="A366" i="31"/>
  <c r="A365" i="31"/>
  <c r="A364" i="31"/>
  <c r="Q363" i="31"/>
  <c r="S364" i="31" s="1"/>
  <c r="F363" i="31"/>
  <c r="E363" i="31"/>
  <c r="A363" i="31"/>
  <c r="A362" i="31"/>
  <c r="P361" i="31"/>
  <c r="O363" i="31"/>
  <c r="S361" i="31"/>
  <c r="J363" i="31"/>
  <c r="K363" i="31" s="1"/>
  <c r="G363" i="31"/>
  <c r="H363" i="31" s="1"/>
  <c r="E361" i="31"/>
  <c r="D363" i="31"/>
  <c r="A361" i="31"/>
  <c r="A360" i="31"/>
  <c r="N353" i="31"/>
  <c r="N349" i="31"/>
  <c r="S349" i="31"/>
  <c r="A349" i="31"/>
  <c r="A348" i="31"/>
  <c r="S347" i="31"/>
  <c r="N347" i="31"/>
  <c r="A347" i="31"/>
  <c r="S346" i="31"/>
  <c r="N346" i="31"/>
  <c r="A346" i="31"/>
  <c r="N345" i="31"/>
  <c r="S345" i="31"/>
  <c r="A345" i="31"/>
  <c r="S344" i="31"/>
  <c r="N344" i="31"/>
  <c r="A344" i="31"/>
  <c r="S343" i="31"/>
  <c r="A343" i="31"/>
  <c r="S342" i="31"/>
  <c r="N342" i="31"/>
  <c r="A342" i="31"/>
  <c r="N341" i="31"/>
  <c r="S341" i="31"/>
  <c r="A341" i="31"/>
  <c r="S340" i="31"/>
  <c r="A340" i="31"/>
  <c r="S339" i="31"/>
  <c r="N339" i="31"/>
  <c r="A339" i="31"/>
  <c r="S338" i="31"/>
  <c r="A338" i="31"/>
  <c r="N337" i="31"/>
  <c r="S337" i="31"/>
  <c r="A337" i="31"/>
  <c r="A336" i="31"/>
  <c r="S335" i="31"/>
  <c r="N335" i="31"/>
  <c r="A335" i="31"/>
  <c r="S334" i="31"/>
  <c r="N334" i="31"/>
  <c r="A334" i="31"/>
  <c r="N333" i="31"/>
  <c r="S333" i="31"/>
  <c r="A333" i="31"/>
  <c r="S332" i="31"/>
  <c r="N332" i="31"/>
  <c r="A332" i="31"/>
  <c r="A331" i="31"/>
  <c r="S330" i="31"/>
  <c r="A330" i="31"/>
  <c r="N329" i="31"/>
  <c r="S329" i="31"/>
  <c r="A329" i="31"/>
  <c r="A328" i="31"/>
  <c r="S327" i="31"/>
  <c r="N327" i="31"/>
  <c r="A327" i="31"/>
  <c r="S326" i="31"/>
  <c r="N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S320" i="31"/>
  <c r="A320" i="31"/>
  <c r="Q331" i="31"/>
  <c r="N319" i="31"/>
  <c r="I331" i="31"/>
  <c r="A319" i="31"/>
  <c r="A318" i="31"/>
  <c r="A317" i="31"/>
  <c r="A316" i="31"/>
  <c r="A315" i="31"/>
  <c r="A314" i="31"/>
  <c r="P313" i="31"/>
  <c r="N313" i="31"/>
  <c r="M313" i="31"/>
  <c r="S313" i="31"/>
  <c r="R313" i="31" s="1"/>
  <c r="K313" i="31"/>
  <c r="H313" i="31"/>
  <c r="E313" i="31"/>
  <c r="A313" i="31"/>
  <c r="P312" i="31"/>
  <c r="K312" i="31"/>
  <c r="H312" i="31"/>
  <c r="E312" i="31"/>
  <c r="A312" i="31"/>
  <c r="A311" i="31"/>
  <c r="A310" i="31"/>
  <c r="R309" i="31"/>
  <c r="S309" i="31"/>
  <c r="K309" i="31"/>
  <c r="H309" i="31"/>
  <c r="A309" i="31"/>
  <c r="P308" i="31"/>
  <c r="M308" i="31"/>
  <c r="N308" i="31"/>
  <c r="K308" i="31"/>
  <c r="R308" i="31"/>
  <c r="H308" i="31"/>
  <c r="E308" i="31"/>
  <c r="A308" i="31"/>
  <c r="A307" i="31"/>
  <c r="A306" i="31"/>
  <c r="F305" i="31"/>
  <c r="F310" i="31" s="1"/>
  <c r="F315" i="31" s="1"/>
  <c r="A305" i="31"/>
  <c r="R304" i="31"/>
  <c r="S304" i="31"/>
  <c r="K304" i="31"/>
  <c r="H304" i="31"/>
  <c r="E304" i="31"/>
  <c r="A304" i="31"/>
  <c r="S303" i="31"/>
  <c r="N303" i="31"/>
  <c r="K303" i="31"/>
  <c r="H303" i="31"/>
  <c r="E303" i="31"/>
  <c r="A303" i="31"/>
  <c r="S302" i="31"/>
  <c r="R302" i="31"/>
  <c r="P302" i="31"/>
  <c r="N302" i="31"/>
  <c r="K302" i="31"/>
  <c r="M302" i="31"/>
  <c r="H302" i="31"/>
  <c r="E302" i="31"/>
  <c r="A302" i="31"/>
  <c r="P301" i="31"/>
  <c r="R301" i="31"/>
  <c r="K301" i="31"/>
  <c r="H301" i="31"/>
  <c r="E301" i="31"/>
  <c r="A301" i="31"/>
  <c r="R300" i="31"/>
  <c r="S300" i="31"/>
  <c r="K300" i="31"/>
  <c r="H300" i="31"/>
  <c r="N300" i="31"/>
  <c r="M300" i="31"/>
  <c r="A300" i="31"/>
  <c r="P299" i="31"/>
  <c r="N299" i="31"/>
  <c r="S299" i="31"/>
  <c r="H299" i="31"/>
  <c r="E299" i="31"/>
  <c r="A299" i="31"/>
  <c r="S298" i="31"/>
  <c r="N298" i="31"/>
  <c r="K298" i="31"/>
  <c r="M298" i="31"/>
  <c r="H298" i="31"/>
  <c r="E298" i="31"/>
  <c r="A298" i="31"/>
  <c r="S297" i="31"/>
  <c r="P297" i="31"/>
  <c r="R297" i="31"/>
  <c r="N297" i="31"/>
  <c r="H297" i="31"/>
  <c r="E297" i="31"/>
  <c r="A297" i="31"/>
  <c r="Q305" i="31"/>
  <c r="M296" i="31"/>
  <c r="H296" i="31"/>
  <c r="E296" i="31"/>
  <c r="A296" i="31"/>
  <c r="A295" i="31"/>
  <c r="C292" i="31"/>
  <c r="C357" i="31" s="1"/>
  <c r="N289" i="31"/>
  <c r="A285" i="31"/>
  <c r="S284" i="31"/>
  <c r="N284" i="31"/>
  <c r="A284" i="31"/>
  <c r="A283" i="31"/>
  <c r="N282" i="31"/>
  <c r="S282" i="31"/>
  <c r="A282" i="31"/>
  <c r="A281" i="31"/>
  <c r="S280" i="31"/>
  <c r="N280" i="31"/>
  <c r="A280" i="31"/>
  <c r="S279" i="31"/>
  <c r="N279" i="31"/>
  <c r="A279" i="31"/>
  <c r="N278" i="31"/>
  <c r="S278" i="31"/>
  <c r="A278" i="31"/>
  <c r="N277" i="31"/>
  <c r="A277" i="31"/>
  <c r="S276" i="31"/>
  <c r="N276" i="31"/>
  <c r="A276" i="31"/>
  <c r="S275" i="31"/>
  <c r="A275" i="31"/>
  <c r="S274" i="31"/>
  <c r="N274" i="31"/>
  <c r="A274" i="31"/>
  <c r="A273" i="31"/>
  <c r="S272" i="31"/>
  <c r="N272" i="31"/>
  <c r="A272" i="31"/>
  <c r="A271" i="31"/>
  <c r="N270" i="31"/>
  <c r="S270" i="31"/>
  <c r="A270" i="31"/>
  <c r="A269" i="31"/>
  <c r="S268" i="31"/>
  <c r="I286" i="31"/>
  <c r="H286" i="31" s="1"/>
  <c r="F286" i="31"/>
  <c r="E286" i="31" s="1"/>
  <c r="A268" i="31"/>
  <c r="P267" i="31"/>
  <c r="A267" i="31"/>
  <c r="N266" i="31"/>
  <c r="S266" i="31"/>
  <c r="A266" i="31"/>
  <c r="A265" i="31"/>
  <c r="S264" i="31"/>
  <c r="N264" i="31"/>
  <c r="A264" i="31"/>
  <c r="A263" i="31"/>
  <c r="N262" i="31"/>
  <c r="S262" i="31"/>
  <c r="A262" i="31"/>
  <c r="A261" i="31"/>
  <c r="S260" i="31"/>
  <c r="N260" i="31"/>
  <c r="A260" i="31"/>
  <c r="S259" i="31"/>
  <c r="N259" i="31"/>
  <c r="A259" i="31"/>
  <c r="S258" i="31"/>
  <c r="N258" i="31"/>
  <c r="A258" i="31"/>
  <c r="N257" i="31"/>
  <c r="S257" i="31"/>
  <c r="A257" i="31"/>
  <c r="Q267" i="31"/>
  <c r="A256" i="31"/>
  <c r="S255" i="31"/>
  <c r="A255" i="31"/>
  <c r="A254" i="31"/>
  <c r="A253" i="31"/>
  <c r="A252" i="31"/>
  <c r="L251" i="31"/>
  <c r="I251" i="31"/>
  <c r="H251" i="31"/>
  <c r="E251" i="31"/>
  <c r="A251" i="31"/>
  <c r="A250" i="31"/>
  <c r="A249" i="31"/>
  <c r="S248" i="31"/>
  <c r="S249" i="31"/>
  <c r="R248" i="31"/>
  <c r="N248" i="31"/>
  <c r="I249" i="31"/>
  <c r="F249" i="31"/>
  <c r="M248" i="31"/>
  <c r="A248" i="31"/>
  <c r="A247" i="31"/>
  <c r="S246" i="31"/>
  <c r="A246" i="31"/>
  <c r="Q246" i="31"/>
  <c r="R245" i="31"/>
  <c r="N245" i="31"/>
  <c r="N246" i="31" s="1"/>
  <c r="S245" i="31"/>
  <c r="K251" i="31"/>
  <c r="L252" i="31" s="1"/>
  <c r="I246" i="31"/>
  <c r="F251" i="31"/>
  <c r="A245" i="31"/>
  <c r="A244" i="31"/>
  <c r="A243" i="31"/>
  <c r="S242" i="31"/>
  <c r="Q243" i="31"/>
  <c r="R242" i="31"/>
  <c r="N242" i="31"/>
  <c r="M242" i="31"/>
  <c r="L243" i="31"/>
  <c r="I243" i="31"/>
  <c r="F243" i="31"/>
  <c r="A242" i="31"/>
  <c r="A241" i="31"/>
  <c r="A240" i="31"/>
  <c r="C237" i="31"/>
  <c r="N233" i="31"/>
  <c r="S229" i="31"/>
  <c r="N229" i="31"/>
  <c r="A229" i="31"/>
  <c r="S228" i="31"/>
  <c r="S227" i="31"/>
  <c r="N227" i="31"/>
  <c r="A227" i="31"/>
  <c r="S226" i="31"/>
  <c r="N226" i="31"/>
  <c r="A226" i="31"/>
  <c r="S225" i="31"/>
  <c r="A225" i="31"/>
  <c r="S224" i="31"/>
  <c r="A224" i="31"/>
  <c r="S223" i="31"/>
  <c r="A223" i="31"/>
  <c r="S222" i="31"/>
  <c r="N222" i="31"/>
  <c r="A222" i="31"/>
  <c r="S221" i="31"/>
  <c r="A221" i="31"/>
  <c r="N220" i="31"/>
  <c r="S220" i="31"/>
  <c r="A220" i="31"/>
  <c r="A219" i="31"/>
  <c r="S218" i="31"/>
  <c r="N218" i="31"/>
  <c r="A218" i="31"/>
  <c r="S217" i="31"/>
  <c r="N217" i="31"/>
  <c r="A217" i="31"/>
  <c r="S216" i="31"/>
  <c r="N216" i="31"/>
  <c r="A216" i="31"/>
  <c r="S215" i="31"/>
  <c r="N215" i="31"/>
  <c r="A215" i="31"/>
  <c r="S214" i="31"/>
  <c r="A214" i="31"/>
  <c r="S213" i="31"/>
  <c r="N213" i="31"/>
  <c r="A213" i="31"/>
  <c r="A212" i="31"/>
  <c r="A211" i="31"/>
  <c r="S210" i="31"/>
  <c r="N210" i="31"/>
  <c r="A210" i="31"/>
  <c r="S209" i="31"/>
  <c r="N209" i="31"/>
  <c r="A209" i="31"/>
  <c r="S208" i="31"/>
  <c r="N208" i="31"/>
  <c r="A208" i="31"/>
  <c r="S207" i="31"/>
  <c r="N207" i="31"/>
  <c r="A207" i="31"/>
  <c r="S206" i="31"/>
  <c r="N206" i="31"/>
  <c r="A206" i="31"/>
  <c r="S205" i="31"/>
  <c r="N205" i="31"/>
  <c r="A205" i="31"/>
  <c r="S204" i="31"/>
  <c r="A204" i="31"/>
  <c r="S203" i="31"/>
  <c r="A203" i="31"/>
  <c r="S202" i="31"/>
  <c r="N202" i="31"/>
  <c r="A202" i="31"/>
  <c r="S201" i="31"/>
  <c r="A201" i="31"/>
  <c r="N200" i="31"/>
  <c r="S200" i="31"/>
  <c r="A200" i="31"/>
  <c r="Q211" i="31"/>
  <c r="A199" i="31"/>
  <c r="A198" i="31"/>
  <c r="A197" i="31"/>
  <c r="A196" i="31"/>
  <c r="A195" i="31"/>
  <c r="A194" i="31"/>
  <c r="F193" i="31"/>
  <c r="A193" i="31"/>
  <c r="Q193" i="31"/>
  <c r="L193" i="31"/>
  <c r="I193" i="31"/>
  <c r="A192" i="31"/>
  <c r="A191" i="31"/>
  <c r="A190" i="31"/>
  <c r="R189" i="31"/>
  <c r="L190" i="31"/>
  <c r="I190" i="31"/>
  <c r="N189" i="31"/>
  <c r="M189" i="31"/>
  <c r="A189" i="31"/>
  <c r="A188" i="31"/>
  <c r="A187" i="31"/>
  <c r="R186" i="31"/>
  <c r="S187" i="31" s="1"/>
  <c r="P186" i="31"/>
  <c r="P195" i="31" s="1"/>
  <c r="A186" i="31"/>
  <c r="A185" i="31"/>
  <c r="A184" i="31"/>
  <c r="M183" i="31"/>
  <c r="A183" i="31"/>
  <c r="R182" i="31"/>
  <c r="L183" i="31"/>
  <c r="I183" i="31"/>
  <c r="M182" i="31"/>
  <c r="A182" i="31"/>
  <c r="A181" i="31"/>
  <c r="R180" i="31"/>
  <c r="A180" i="31"/>
  <c r="S179" i="31"/>
  <c r="R179" i="31"/>
  <c r="Q180" i="31"/>
  <c r="N179" i="31"/>
  <c r="M179" i="31"/>
  <c r="I180" i="31"/>
  <c r="F180" i="31"/>
  <c r="A179" i="31"/>
  <c r="A178" i="31"/>
  <c r="A177" i="31"/>
  <c r="R176" i="31"/>
  <c r="L177" i="31"/>
  <c r="I177" i="31"/>
  <c r="A176" i="31"/>
  <c r="P175" i="31"/>
  <c r="A175" i="31"/>
  <c r="Q174" i="31"/>
  <c r="F174" i="31"/>
  <c r="A174" i="31"/>
  <c r="L186" i="31"/>
  <c r="K186" i="31"/>
  <c r="K195" i="31" s="1"/>
  <c r="R173" i="31"/>
  <c r="A173" i="31"/>
  <c r="A172" i="31"/>
  <c r="C169" i="31"/>
  <c r="N163" i="31"/>
  <c r="S163" i="31"/>
  <c r="A163" i="31"/>
  <c r="S162" i="31"/>
  <c r="A162" i="31"/>
  <c r="S161" i="31"/>
  <c r="N161" i="31"/>
  <c r="A161" i="31"/>
  <c r="S160" i="31"/>
  <c r="A160" i="31"/>
  <c r="N159" i="31"/>
  <c r="S159" i="31"/>
  <c r="A159" i="31"/>
  <c r="A158" i="31"/>
  <c r="S157" i="31"/>
  <c r="N157" i="31"/>
  <c r="I164" i="31"/>
  <c r="A157" i="31"/>
  <c r="A156" i="31"/>
  <c r="A155" i="31"/>
  <c r="A154" i="31"/>
  <c r="S153" i="31"/>
  <c r="A153" i="31"/>
  <c r="S152" i="31"/>
  <c r="A152" i="31"/>
  <c r="S151" i="31"/>
  <c r="N151" i="31"/>
  <c r="A151" i="31"/>
  <c r="S150" i="31"/>
  <c r="A150" i="31"/>
  <c r="N149" i="31"/>
  <c r="S149" i="31"/>
  <c r="A149" i="31"/>
  <c r="A148" i="31"/>
  <c r="S147" i="31"/>
  <c r="N147" i="31"/>
  <c r="A147" i="31"/>
  <c r="S146" i="31"/>
  <c r="N146" i="31"/>
  <c r="A146" i="31"/>
  <c r="S145" i="31"/>
  <c r="N145" i="31"/>
  <c r="A145" i="31"/>
  <c r="S144" i="31"/>
  <c r="N144" i="31"/>
  <c r="A144" i="31"/>
  <c r="S143" i="31"/>
  <c r="N143" i="31"/>
  <c r="A143" i="31"/>
  <c r="S142" i="31"/>
  <c r="N142" i="31"/>
  <c r="A142" i="31"/>
  <c r="S141" i="31"/>
  <c r="A141" i="31"/>
  <c r="S140" i="31"/>
  <c r="A140" i="31"/>
  <c r="S139" i="31"/>
  <c r="N139" i="31"/>
  <c r="A139" i="31"/>
  <c r="S138" i="31"/>
  <c r="A138" i="31"/>
  <c r="N137" i="31"/>
  <c r="S137" i="31"/>
  <c r="A137" i="31"/>
  <c r="A136" i="31"/>
  <c r="S135" i="31"/>
  <c r="N135" i="31"/>
  <c r="A135" i="31"/>
  <c r="S134" i="31"/>
  <c r="N134" i="31"/>
  <c r="A134" i="31"/>
  <c r="S133" i="31"/>
  <c r="A133" i="31"/>
  <c r="S132" i="31"/>
  <c r="A132" i="31"/>
  <c r="S131" i="31"/>
  <c r="N131" i="31"/>
  <c r="A131" i="31"/>
  <c r="S130" i="31"/>
  <c r="A130" i="31"/>
  <c r="N129" i="31"/>
  <c r="S129" i="31"/>
  <c r="A129" i="31"/>
  <c r="A128" i="31"/>
  <c r="S127" i="31"/>
  <c r="N127" i="31"/>
  <c r="A127" i="31"/>
  <c r="N126" i="31"/>
  <c r="A126" i="31"/>
  <c r="S125" i="31"/>
  <c r="I136" i="31"/>
  <c r="H136" i="31" s="1"/>
  <c r="N125" i="31"/>
  <c r="A125" i="31"/>
  <c r="S124" i="31"/>
  <c r="N124" i="31"/>
  <c r="F136" i="31"/>
  <c r="E136" i="31" s="1"/>
  <c r="A124" i="31"/>
  <c r="L123" i="31"/>
  <c r="K123" i="31" s="1"/>
  <c r="A123" i="31"/>
  <c r="N122" i="31"/>
  <c r="S122" i="31"/>
  <c r="A122" i="31"/>
  <c r="S121" i="31"/>
  <c r="A121" i="31"/>
  <c r="S120" i="31"/>
  <c r="A120" i="31"/>
  <c r="S119" i="31"/>
  <c r="A119" i="31"/>
  <c r="S118" i="31"/>
  <c r="N118" i="31"/>
  <c r="A118" i="31"/>
  <c r="S117" i="31"/>
  <c r="A117" i="31"/>
  <c r="S116" i="31"/>
  <c r="N116" i="31"/>
  <c r="A116" i="31"/>
  <c r="S115" i="31"/>
  <c r="N115" i="31"/>
  <c r="A115" i="31"/>
  <c r="N114" i="31"/>
  <c r="A114" i="31"/>
  <c r="O113" i="31"/>
  <c r="S113" i="31"/>
  <c r="J113" i="31"/>
  <c r="G113" i="31"/>
  <c r="A113" i="31"/>
  <c r="A112" i="31"/>
  <c r="A111" i="31"/>
  <c r="A110" i="31"/>
  <c r="A109" i="31"/>
  <c r="A108" i="31"/>
  <c r="A107" i="31"/>
  <c r="O106" i="31"/>
  <c r="P106" i="31" s="1"/>
  <c r="J106" i="31"/>
  <c r="K106" i="31" s="1"/>
  <c r="G106" i="31"/>
  <c r="H106" i="31" s="1"/>
  <c r="D106" i="31"/>
  <c r="E106" i="31" s="1"/>
  <c r="A106" i="31"/>
  <c r="S105" i="31"/>
  <c r="P105" i="31"/>
  <c r="N105" i="31"/>
  <c r="K105" i="31"/>
  <c r="R105" i="31" s="1"/>
  <c r="H105" i="31"/>
  <c r="E105" i="31"/>
  <c r="A105" i="31"/>
  <c r="P104" i="31"/>
  <c r="S104" i="31"/>
  <c r="K104" i="31"/>
  <c r="R104" i="31" s="1"/>
  <c r="H104" i="31"/>
  <c r="E104" i="31"/>
  <c r="A104" i="31"/>
  <c r="Q106" i="31"/>
  <c r="L106" i="31"/>
  <c r="K103" i="31"/>
  <c r="I106" i="31"/>
  <c r="H103" i="31"/>
  <c r="F106" i="31"/>
  <c r="D114" i="31" s="1"/>
  <c r="E103" i="31"/>
  <c r="A103" i="31"/>
  <c r="A102" i="31"/>
  <c r="R101" i="31"/>
  <c r="S101" i="31"/>
  <c r="P101" i="31"/>
  <c r="M101" i="31"/>
  <c r="H101" i="31"/>
  <c r="N101" i="31"/>
  <c r="E101" i="31"/>
  <c r="A101" i="31"/>
  <c r="A100" i="31"/>
  <c r="R99" i="31"/>
  <c r="S99" i="31"/>
  <c r="G114" i="31"/>
  <c r="N99" i="31"/>
  <c r="A99" i="31"/>
  <c r="H98" i="31"/>
  <c r="A98" i="31"/>
  <c r="O97" i="31"/>
  <c r="O109" i="31" s="1"/>
  <c r="D97" i="31"/>
  <c r="E118" i="31" s="1"/>
  <c r="A97" i="31"/>
  <c r="S96" i="31"/>
  <c r="R96" i="31"/>
  <c r="P96" i="31"/>
  <c r="K96" i="31"/>
  <c r="J97" i="31"/>
  <c r="K122" i="31" s="1"/>
  <c r="H96" i="31"/>
  <c r="A96" i="31"/>
  <c r="P95" i="31"/>
  <c r="M95" i="31"/>
  <c r="S95" i="31"/>
  <c r="R95" i="31"/>
  <c r="H95" i="31"/>
  <c r="E95" i="31"/>
  <c r="A95" i="31"/>
  <c r="R94" i="31"/>
  <c r="Q97" i="31"/>
  <c r="Q109" i="31" s="1"/>
  <c r="P94" i="31"/>
  <c r="K94" i="31"/>
  <c r="I97" i="31"/>
  <c r="H94" i="31"/>
  <c r="M94" i="31"/>
  <c r="A94" i="31"/>
  <c r="A93" i="31"/>
  <c r="C89" i="31"/>
  <c r="B85" i="31"/>
  <c r="A85" i="31" s="1"/>
  <c r="B84" i="31"/>
  <c r="A84" i="31" s="1"/>
  <c r="L83" i="31"/>
  <c r="I83" i="31"/>
  <c r="B83" i="31"/>
  <c r="A83" i="31" s="1"/>
  <c r="S82" i="31"/>
  <c r="N82" i="31"/>
  <c r="B82" i="31"/>
  <c r="A82" i="31" s="1"/>
  <c r="S81" i="31"/>
  <c r="N81" i="31"/>
  <c r="B81" i="31"/>
  <c r="A81" i="31" s="1"/>
  <c r="S80" i="31"/>
  <c r="B80" i="31"/>
  <c r="A80" i="31" s="1"/>
  <c r="S79" i="31"/>
  <c r="N79" i="31"/>
  <c r="B79" i="31"/>
  <c r="A79" i="31" s="1"/>
  <c r="S78" i="31"/>
  <c r="N78" i="31"/>
  <c r="B78" i="31"/>
  <c r="A78" i="31"/>
  <c r="S77" i="31"/>
  <c r="N77" i="31"/>
  <c r="F83" i="31"/>
  <c r="B77" i="31"/>
  <c r="A77" i="31" s="1"/>
  <c r="S76" i="31"/>
  <c r="N76" i="31"/>
  <c r="B76" i="31"/>
  <c r="A76" i="31" s="1"/>
  <c r="S75" i="31"/>
  <c r="N75" i="31"/>
  <c r="B75" i="31"/>
  <c r="A75" i="31" s="1"/>
  <c r="B74" i="31"/>
  <c r="A74" i="31"/>
  <c r="B73" i="31"/>
  <c r="A73" i="31" s="1"/>
  <c r="B72" i="31"/>
  <c r="A72" i="31" s="1"/>
  <c r="S71" i="31"/>
  <c r="N71" i="31"/>
  <c r="B71" i="31"/>
  <c r="A71" i="31" s="1"/>
  <c r="N70" i="31"/>
  <c r="S70" i="31"/>
  <c r="B70" i="31"/>
  <c r="A70" i="31" s="1"/>
  <c r="N69" i="31"/>
  <c r="S69" i="31"/>
  <c r="B69" i="31"/>
  <c r="A69" i="31" s="1"/>
  <c r="S68" i="31"/>
  <c r="N68" i="31"/>
  <c r="B68" i="31"/>
  <c r="A68" i="31" s="1"/>
  <c r="AL448" i="31"/>
  <c r="S67" i="31"/>
  <c r="N67" i="31"/>
  <c r="B67" i="31"/>
  <c r="A67" i="31"/>
  <c r="S66" i="31"/>
  <c r="N66" i="31"/>
  <c r="B66" i="31"/>
  <c r="A66" i="31" s="1"/>
  <c r="AL446" i="31"/>
  <c r="S65" i="31"/>
  <c r="B65" i="31"/>
  <c r="A65" i="31" s="1"/>
  <c r="AL445" i="31"/>
  <c r="N64" i="31"/>
  <c r="S64" i="31"/>
  <c r="B64" i="31"/>
  <c r="A64" i="31" s="1"/>
  <c r="S63" i="31"/>
  <c r="N63" i="31"/>
  <c r="B63" i="31"/>
  <c r="A63" i="31" s="1"/>
  <c r="S62" i="31"/>
  <c r="N62" i="31"/>
  <c r="B62" i="31"/>
  <c r="A62" i="31" s="1"/>
  <c r="AL442" i="31"/>
  <c r="S61" i="31"/>
  <c r="N61" i="31"/>
  <c r="B61" i="31"/>
  <c r="A61" i="31" s="1"/>
  <c r="N60" i="31"/>
  <c r="B60" i="31"/>
  <c r="A60" i="31" s="1"/>
  <c r="AL439" i="31"/>
  <c r="N59" i="31"/>
  <c r="B59" i="31"/>
  <c r="A59" i="31" s="1"/>
  <c r="AL438" i="31"/>
  <c r="S58" i="31"/>
  <c r="B58" i="31"/>
  <c r="A58" i="31"/>
  <c r="AL437" i="31"/>
  <c r="N57" i="31"/>
  <c r="B57" i="31"/>
  <c r="A57" i="31" s="1"/>
  <c r="AL436" i="31"/>
  <c r="S56" i="31"/>
  <c r="B56" i="31"/>
  <c r="A56" i="31" s="1"/>
  <c r="AL435" i="31"/>
  <c r="N55" i="31"/>
  <c r="B55" i="31"/>
  <c r="A55" i="31"/>
  <c r="B54" i="31"/>
  <c r="A54" i="31"/>
  <c r="S53" i="31"/>
  <c r="N53" i="31"/>
  <c r="B53" i="31"/>
  <c r="A53" i="31" s="1"/>
  <c r="AL432" i="31"/>
  <c r="AN432" i="31" s="1"/>
  <c r="N52" i="31"/>
  <c r="B52" i="31"/>
  <c r="A52" i="31" s="1"/>
  <c r="S51" i="31"/>
  <c r="B51" i="31"/>
  <c r="A51" i="31"/>
  <c r="N50" i="31"/>
  <c r="B50" i="31"/>
  <c r="A50" i="31" s="1"/>
  <c r="AL429" i="31"/>
  <c r="N49" i="31"/>
  <c r="B49" i="31"/>
  <c r="A49" i="31" s="1"/>
  <c r="S48" i="31"/>
  <c r="B48" i="31"/>
  <c r="A48" i="31"/>
  <c r="N47" i="31"/>
  <c r="S47" i="31"/>
  <c r="B47" i="31"/>
  <c r="A47" i="31" s="1"/>
  <c r="S46" i="31"/>
  <c r="B46" i="31"/>
  <c r="A46" i="31" s="1"/>
  <c r="AL425" i="31"/>
  <c r="N45" i="31"/>
  <c r="B45" i="31"/>
  <c r="A45" i="31" s="1"/>
  <c r="N44" i="31"/>
  <c r="S44" i="31"/>
  <c r="B44" i="31"/>
  <c r="A44" i="31" s="1"/>
  <c r="AL423" i="31"/>
  <c r="S43" i="31"/>
  <c r="B43" i="31"/>
  <c r="A43" i="31" s="1"/>
  <c r="AL422" i="31"/>
  <c r="I54" i="31"/>
  <c r="F54" i="31"/>
  <c r="B42" i="31"/>
  <c r="A42" i="31"/>
  <c r="F41" i="31"/>
  <c r="B41" i="31"/>
  <c r="A41" i="31"/>
  <c r="P40" i="31"/>
  <c r="K40" i="31"/>
  <c r="B40" i="31"/>
  <c r="A40" i="31" s="1"/>
  <c r="P39" i="31"/>
  <c r="S39" i="31"/>
  <c r="K39" i="31"/>
  <c r="B39" i="31"/>
  <c r="A39" i="31"/>
  <c r="P38" i="31"/>
  <c r="K38" i="31"/>
  <c r="B38" i="31"/>
  <c r="A38" i="31"/>
  <c r="AL416" i="31"/>
  <c r="B37" i="31"/>
  <c r="A37" i="31" s="1"/>
  <c r="AL415" i="31"/>
  <c r="B36" i="31"/>
  <c r="A36" i="31" s="1"/>
  <c r="AL414" i="31"/>
  <c r="B35" i="31"/>
  <c r="A35" i="31"/>
  <c r="AL413" i="31"/>
  <c r="N34" i="31"/>
  <c r="B34" i="31"/>
  <c r="A34" i="31" s="1"/>
  <c r="AL412" i="31"/>
  <c r="N33" i="31"/>
  <c r="B33" i="31"/>
  <c r="A33" i="31" s="1"/>
  <c r="AL411" i="31"/>
  <c r="N32" i="31"/>
  <c r="I41" i="31"/>
  <c r="B32" i="31"/>
  <c r="A32" i="31" s="1"/>
  <c r="AL410" i="31"/>
  <c r="N31" i="31"/>
  <c r="B31" i="31"/>
  <c r="A31" i="31" s="1"/>
  <c r="B30" i="31"/>
  <c r="A30" i="31" s="1"/>
  <c r="B29" i="31"/>
  <c r="A29" i="31"/>
  <c r="B28" i="31"/>
  <c r="A28" i="31"/>
  <c r="B27" i="31"/>
  <c r="A27" i="31"/>
  <c r="B26" i="31"/>
  <c r="A26" i="31" s="1"/>
  <c r="B25" i="31"/>
  <c r="A25" i="31" s="1"/>
  <c r="I24" i="31"/>
  <c r="B24" i="31"/>
  <c r="A24" i="31"/>
  <c r="S23" i="31"/>
  <c r="N23" i="31"/>
  <c r="H23" i="31"/>
  <c r="E23" i="31"/>
  <c r="B23" i="31"/>
  <c r="A23" i="31"/>
  <c r="S22" i="31"/>
  <c r="N22" i="31"/>
  <c r="H22" i="31"/>
  <c r="E22" i="31"/>
  <c r="B22" i="31"/>
  <c r="A22" i="31" s="1"/>
  <c r="Q24" i="31"/>
  <c r="S21" i="31"/>
  <c r="H21" i="31"/>
  <c r="F24" i="31"/>
  <c r="D32" i="31" s="1"/>
  <c r="E21" i="31"/>
  <c r="B21" i="31"/>
  <c r="A21" i="31" s="1"/>
  <c r="B20" i="31"/>
  <c r="A20" i="31"/>
  <c r="R19" i="31"/>
  <c r="S19" i="31"/>
  <c r="B19" i="31"/>
  <c r="A19" i="31" s="1"/>
  <c r="B18" i="31"/>
  <c r="A18" i="31"/>
  <c r="P17" i="31"/>
  <c r="M17" i="31"/>
  <c r="S17" i="31"/>
  <c r="K17" i="31"/>
  <c r="R17" i="31"/>
  <c r="H17" i="31"/>
  <c r="E17" i="31"/>
  <c r="B17" i="31"/>
  <c r="A17" i="31"/>
  <c r="B16" i="31"/>
  <c r="A16" i="31"/>
  <c r="S15" i="31"/>
  <c r="O24" i="31"/>
  <c r="N15" i="31"/>
  <c r="M15" i="31"/>
  <c r="E15" i="31"/>
  <c r="B15" i="31"/>
  <c r="A15" i="31" s="1"/>
  <c r="B14" i="31"/>
  <c r="A14" i="31"/>
  <c r="G13" i="31"/>
  <c r="G27" i="31" s="1"/>
  <c r="H27" i="31" s="1"/>
  <c r="B13" i="31"/>
  <c r="A13" i="31" s="1"/>
  <c r="P12" i="31"/>
  <c r="N12" i="31"/>
  <c r="M12" i="31"/>
  <c r="S12" i="31"/>
  <c r="K12" i="31"/>
  <c r="H12" i="31"/>
  <c r="E12" i="31"/>
  <c r="B12" i="31"/>
  <c r="A12" i="31"/>
  <c r="S11" i="31"/>
  <c r="P11" i="31"/>
  <c r="N11" i="31"/>
  <c r="M11" i="31"/>
  <c r="H11" i="31"/>
  <c r="E11" i="31"/>
  <c r="B11" i="31"/>
  <c r="A11" i="31" s="1"/>
  <c r="P10" i="31"/>
  <c r="N10" i="31"/>
  <c r="M10" i="31"/>
  <c r="S10" i="31"/>
  <c r="K10" i="31"/>
  <c r="H10" i="31"/>
  <c r="E10" i="31"/>
  <c r="B10" i="31"/>
  <c r="A10" i="31"/>
  <c r="S9" i="31"/>
  <c r="P9" i="31"/>
  <c r="N9" i="31"/>
  <c r="K9" i="31"/>
  <c r="H9" i="31"/>
  <c r="E9" i="31"/>
  <c r="B9" i="31"/>
  <c r="A9" i="31" s="1"/>
  <c r="P8" i="31"/>
  <c r="N8" i="31"/>
  <c r="M8" i="31"/>
  <c r="S8" i="31"/>
  <c r="K8" i="31"/>
  <c r="H8" i="31"/>
  <c r="E8" i="31"/>
  <c r="B8" i="31"/>
  <c r="A8" i="31" s="1"/>
  <c r="S7" i="31"/>
  <c r="O13" i="31"/>
  <c r="N7" i="31"/>
  <c r="M7" i="31"/>
  <c r="H7" i="31"/>
  <c r="E7" i="31"/>
  <c r="B7" i="31"/>
  <c r="A7" i="31" s="1"/>
  <c r="Q13" i="31"/>
  <c r="P6" i="31"/>
  <c r="N6" i="31"/>
  <c r="M6" i="31"/>
  <c r="S6" i="31"/>
  <c r="K6" i="31"/>
  <c r="I13" i="31"/>
  <c r="I27" i="31" s="1"/>
  <c r="H6" i="31"/>
  <c r="F13" i="31"/>
  <c r="E6" i="31"/>
  <c r="B6" i="31"/>
  <c r="A6" i="31"/>
  <c r="B5" i="31"/>
  <c r="A5" i="31" s="1"/>
  <c r="AL447" i="31" l="1"/>
  <c r="M106" i="31"/>
  <c r="P97" i="31"/>
  <c r="E114" i="31"/>
  <c r="G24" i="31"/>
  <c r="AL444" i="31"/>
  <c r="AN444" i="31" s="1"/>
  <c r="AO444" i="31" s="1"/>
  <c r="S243" i="31"/>
  <c r="AL431" i="31"/>
  <c r="AN431" i="31" s="1"/>
  <c r="AO431" i="31" s="1"/>
  <c r="E119" i="31"/>
  <c r="H24" i="31"/>
  <c r="H37" i="31"/>
  <c r="H31" i="31"/>
  <c r="H38" i="31"/>
  <c r="H54" i="31"/>
  <c r="M13" i="31"/>
  <c r="AK418" i="31"/>
  <c r="AK433" i="31"/>
  <c r="AK417" i="31"/>
  <c r="AK498" i="31"/>
  <c r="AK419" i="31"/>
  <c r="P22" i="31"/>
  <c r="P21" i="31"/>
  <c r="P23" i="31"/>
  <c r="P13" i="31"/>
  <c r="O27" i="31"/>
  <c r="P27" i="31" s="1"/>
  <c r="N13" i="31"/>
  <c r="N14" i="31" s="1"/>
  <c r="P31" i="31"/>
  <c r="P36" i="31"/>
  <c r="P24" i="31"/>
  <c r="P37" i="31"/>
  <c r="H41" i="31"/>
  <c r="S13" i="31"/>
  <c r="S106" i="31"/>
  <c r="S107" i="31" s="1"/>
  <c r="N106" i="31"/>
  <c r="N107" i="31" s="1"/>
  <c r="S14" i="31"/>
  <c r="O31" i="31"/>
  <c r="Q27" i="31"/>
  <c r="F27" i="31"/>
  <c r="E54" i="31"/>
  <c r="S219" i="31"/>
  <c r="N219" i="31"/>
  <c r="S49" i="31"/>
  <c r="AK412" i="31"/>
  <c r="P7" i="31"/>
  <c r="D13" i="31"/>
  <c r="Y414" i="31" s="1"/>
  <c r="P15" i="31"/>
  <c r="S32" i="31"/>
  <c r="S33" i="31"/>
  <c r="R7" i="31"/>
  <c r="R9" i="31"/>
  <c r="R11" i="31"/>
  <c r="R15" i="31"/>
  <c r="L24" i="31"/>
  <c r="J32" i="31" s="1"/>
  <c r="N42" i="31"/>
  <c r="AO437" i="31"/>
  <c r="AN437" i="31"/>
  <c r="AN445" i="31"/>
  <c r="AO445" i="31"/>
  <c r="K95" i="31"/>
  <c r="P109" i="31"/>
  <c r="E120" i="31"/>
  <c r="N120" i="31"/>
  <c r="F164" i="31"/>
  <c r="I186" i="31"/>
  <c r="I174" i="31"/>
  <c r="Q177" i="31"/>
  <c r="Q186" i="31"/>
  <c r="S176" i="31"/>
  <c r="Q190" i="31"/>
  <c r="S189" i="31"/>
  <c r="I211" i="31"/>
  <c r="Q230" i="31"/>
  <c r="P230" i="31" s="1"/>
  <c r="AN439" i="31"/>
  <c r="AO439" i="31" s="1"/>
  <c r="S36" i="31"/>
  <c r="N36" i="31"/>
  <c r="AK416" i="31"/>
  <c r="AL424" i="31"/>
  <c r="AL434" i="31" s="1"/>
  <c r="N46" i="31"/>
  <c r="N51" i="31"/>
  <c r="Q54" i="31"/>
  <c r="P54" i="31" s="1"/>
  <c r="N56" i="31"/>
  <c r="Q72" i="31"/>
  <c r="P72" i="31" s="1"/>
  <c r="N95" i="31"/>
  <c r="N96" i="31"/>
  <c r="N133" i="31"/>
  <c r="Q164" i="31"/>
  <c r="L187" i="31"/>
  <c r="L195" i="31"/>
  <c r="S186" i="31"/>
  <c r="N176" i="31"/>
  <c r="F177" i="31"/>
  <c r="H331" i="31"/>
  <c r="AO497" i="31"/>
  <c r="S94" i="31"/>
  <c r="P114" i="31"/>
  <c r="L136" i="31"/>
  <c r="S164" i="31"/>
  <c r="L305" i="31"/>
  <c r="S296" i="31"/>
  <c r="N296" i="31"/>
  <c r="AN415" i="31"/>
  <c r="AO415" i="31" s="1"/>
  <c r="AK415" i="31"/>
  <c r="N65" i="31"/>
  <c r="E113" i="31"/>
  <c r="D113" i="31"/>
  <c r="F123" i="31"/>
  <c r="N123" i="31" s="1"/>
  <c r="O114" i="31"/>
  <c r="Q123" i="31"/>
  <c r="S123" i="31" s="1"/>
  <c r="S114" i="31"/>
  <c r="N204" i="31"/>
  <c r="F211" i="31"/>
  <c r="N224" i="31"/>
  <c r="AH430" i="31"/>
  <c r="AN422" i="31"/>
  <c r="AO422" i="31"/>
  <c r="Q136" i="31"/>
  <c r="P136" i="31" s="1"/>
  <c r="S126" i="31"/>
  <c r="S256" i="31"/>
  <c r="N256" i="31"/>
  <c r="S301" i="31"/>
  <c r="N301" i="31"/>
  <c r="H13" i="31"/>
  <c r="H15" i="31"/>
  <c r="S59" i="31"/>
  <c r="N19" i="31"/>
  <c r="S35" i="31"/>
  <c r="N35" i="31"/>
  <c r="R6" i="31"/>
  <c r="R8" i="31"/>
  <c r="R10" i="31"/>
  <c r="R12" i="31"/>
  <c r="L13" i="31"/>
  <c r="AL420" i="31"/>
  <c r="AK410" i="31"/>
  <c r="S34" i="31"/>
  <c r="P35" i="31"/>
  <c r="Q41" i="31"/>
  <c r="N43" i="31"/>
  <c r="N48" i="31"/>
  <c r="F72" i="31"/>
  <c r="E72" i="31" s="1"/>
  <c r="N58" i="31"/>
  <c r="Q83" i="31"/>
  <c r="N80" i="31"/>
  <c r="N83" i="31" s="1"/>
  <c r="E94" i="31"/>
  <c r="Q154" i="31"/>
  <c r="P154" i="31" s="1"/>
  <c r="S185" i="31"/>
  <c r="N185" i="31"/>
  <c r="AH464" i="31"/>
  <c r="N182" i="31"/>
  <c r="F183" i="31"/>
  <c r="L211" i="31"/>
  <c r="S199" i="31"/>
  <c r="N199" i="31"/>
  <c r="L41" i="31"/>
  <c r="N153" i="31"/>
  <c r="N243" i="31"/>
  <c r="S321" i="31"/>
  <c r="L331" i="31"/>
  <c r="N321" i="31"/>
  <c r="AH470" i="31"/>
  <c r="AI470" i="31" s="1"/>
  <c r="Z482" i="31"/>
  <c r="J13" i="31"/>
  <c r="J24" i="31" s="1"/>
  <c r="N17" i="31"/>
  <c r="K7" i="31"/>
  <c r="K11" i="31"/>
  <c r="K15" i="31"/>
  <c r="AO403" i="31"/>
  <c r="AO486" i="31"/>
  <c r="S357" i="31"/>
  <c r="S237" i="31"/>
  <c r="S169" i="31"/>
  <c r="S89" i="31"/>
  <c r="S292" i="31"/>
  <c r="M9" i="31"/>
  <c r="N21" i="31"/>
  <c r="D31" i="31"/>
  <c r="S31" i="31"/>
  <c r="O32" i="31"/>
  <c r="I72" i="31"/>
  <c r="H72" i="31" s="1"/>
  <c r="AN438" i="31"/>
  <c r="AO438" i="31" s="1"/>
  <c r="S60" i="31"/>
  <c r="S83" i="31"/>
  <c r="N94" i="31"/>
  <c r="F97" i="31"/>
  <c r="F109" i="31" s="1"/>
  <c r="I123" i="31"/>
  <c r="E115" i="31"/>
  <c r="E117" i="31"/>
  <c r="F154" i="31"/>
  <c r="E154" i="31" s="1"/>
  <c r="N214" i="31"/>
  <c r="F230" i="31"/>
  <c r="E230" i="31" s="1"/>
  <c r="Q310" i="31"/>
  <c r="AH446" i="31"/>
  <c r="AI446" i="31" s="1"/>
  <c r="AN462" i="31"/>
  <c r="AO462" i="31" s="1"/>
  <c r="AO414" i="31"/>
  <c r="AK414" i="31"/>
  <c r="S40" i="31"/>
  <c r="P32" i="31"/>
  <c r="P33" i="31"/>
  <c r="P34" i="31"/>
  <c r="S45" i="31"/>
  <c r="L72" i="31"/>
  <c r="S55" i="31"/>
  <c r="G97" i="31"/>
  <c r="H117" i="31" s="1"/>
  <c r="E96" i="31"/>
  <c r="H115" i="31"/>
  <c r="I154" i="31"/>
  <c r="H154" i="31" s="1"/>
  <c r="N141" i="31"/>
  <c r="S158" i="31"/>
  <c r="N158" i="31"/>
  <c r="E186" i="31"/>
  <c r="E195" i="31" s="1"/>
  <c r="M176" i="31"/>
  <c r="F74" i="31"/>
  <c r="E74" i="31" s="1"/>
  <c r="AK413" i="31"/>
  <c r="AL430" i="31"/>
  <c r="AN430" i="31" s="1"/>
  <c r="S50" i="31"/>
  <c r="AL440" i="31"/>
  <c r="E121" i="31"/>
  <c r="E122" i="31"/>
  <c r="E97" i="31"/>
  <c r="E116" i="31"/>
  <c r="S103" i="31"/>
  <c r="N103" i="31"/>
  <c r="F186" i="31"/>
  <c r="AL443" i="31"/>
  <c r="P115" i="31"/>
  <c r="P116" i="31"/>
  <c r="K97" i="31"/>
  <c r="P117" i="31"/>
  <c r="P113" i="31"/>
  <c r="P118" i="31"/>
  <c r="K115" i="31"/>
  <c r="K114" i="31"/>
  <c r="P119" i="31"/>
  <c r="K116" i="31"/>
  <c r="P120" i="31"/>
  <c r="K117" i="31"/>
  <c r="P121" i="31"/>
  <c r="K118" i="31"/>
  <c r="K113" i="31"/>
  <c r="R97" i="31"/>
  <c r="R98" i="31" s="1"/>
  <c r="P122" i="31"/>
  <c r="K119" i="31"/>
  <c r="J109" i="31"/>
  <c r="K120" i="31"/>
  <c r="K121" i="31"/>
  <c r="P211" i="31"/>
  <c r="Q232" i="31"/>
  <c r="P232" i="31" s="1"/>
  <c r="AO425" i="31"/>
  <c r="AO435" i="31"/>
  <c r="S57" i="31"/>
  <c r="M97" i="31"/>
  <c r="M98" i="31" s="1"/>
  <c r="R103" i="31"/>
  <c r="P103" i="31"/>
  <c r="D109" i="31"/>
  <c r="S148" i="31"/>
  <c r="N148" i="31"/>
  <c r="Q183" i="31"/>
  <c r="S182" i="31"/>
  <c r="N186" i="31"/>
  <c r="N187" i="31" s="1"/>
  <c r="L230" i="31"/>
  <c r="S212" i="31"/>
  <c r="AO479" i="31"/>
  <c r="AN479" i="31"/>
  <c r="S37" i="31"/>
  <c r="N37" i="31"/>
  <c r="AN411" i="31"/>
  <c r="AO411" i="31" s="1"/>
  <c r="AK411" i="31"/>
  <c r="AO432" i="31"/>
  <c r="S38" i="31"/>
  <c r="N38" i="31"/>
  <c r="L54" i="31"/>
  <c r="S42" i="31"/>
  <c r="S52" i="31"/>
  <c r="L97" i="31"/>
  <c r="S128" i="31"/>
  <c r="N128" i="31"/>
  <c r="H186" i="31"/>
  <c r="H195" i="31" s="1"/>
  <c r="H175" i="31"/>
  <c r="N212" i="31"/>
  <c r="Q286" i="31"/>
  <c r="P286" i="31" s="1"/>
  <c r="S336" i="31"/>
  <c r="N336" i="31"/>
  <c r="N350" i="31" s="1"/>
  <c r="N343" i="31"/>
  <c r="F350" i="31"/>
  <c r="E350" i="31" s="1"/>
  <c r="O305" i="31"/>
  <c r="R296" i="31"/>
  <c r="P296" i="31"/>
  <c r="R298" i="31"/>
  <c r="P298" i="31"/>
  <c r="P300" i="31"/>
  <c r="R303" i="31"/>
  <c r="P303" i="31"/>
  <c r="Q350" i="31"/>
  <c r="P350" i="31" s="1"/>
  <c r="Q396" i="31"/>
  <c r="P396" i="31" s="1"/>
  <c r="AN435" i="31"/>
  <c r="AI444" i="31"/>
  <c r="AN446" i="31"/>
  <c r="AO446" i="31" s="1"/>
  <c r="AH459" i="31"/>
  <c r="AI459" i="31" s="1"/>
  <c r="L174" i="31"/>
  <c r="Q352" i="31"/>
  <c r="P352" i="31" s="1"/>
  <c r="P331" i="31"/>
  <c r="AL441" i="31"/>
  <c r="AO441" i="31" s="1"/>
  <c r="AL450" i="31"/>
  <c r="N121" i="31"/>
  <c r="N130" i="31"/>
  <c r="N138" i="31"/>
  <c r="N150" i="31"/>
  <c r="N160" i="31"/>
  <c r="F190" i="31"/>
  <c r="N201" i="31"/>
  <c r="N221" i="31"/>
  <c r="N228" i="31"/>
  <c r="F252" i="31"/>
  <c r="M251" i="31" s="1"/>
  <c r="S285" i="31"/>
  <c r="N285" i="31"/>
  <c r="S319" i="31"/>
  <c r="Q398" i="31"/>
  <c r="AA420" i="31"/>
  <c r="AN442" i="31"/>
  <c r="AO442" i="31" s="1"/>
  <c r="AI447" i="31"/>
  <c r="AH472" i="31"/>
  <c r="AI472" i="31" s="1"/>
  <c r="M173" i="31"/>
  <c r="L180" i="31"/>
  <c r="N180" i="31" s="1"/>
  <c r="N251" i="31"/>
  <c r="N252" i="31" s="1"/>
  <c r="F267" i="31"/>
  <c r="S283" i="31"/>
  <c r="N283" i="31"/>
  <c r="I363" i="31"/>
  <c r="H361" i="31"/>
  <c r="Y416" i="31"/>
  <c r="AN425" i="31"/>
  <c r="AH425" i="31"/>
  <c r="AI425" i="31" s="1"/>
  <c r="AL482" i="31"/>
  <c r="K101" i="31"/>
  <c r="N104" i="31"/>
  <c r="N119" i="31"/>
  <c r="N132" i="31"/>
  <c r="N140" i="31"/>
  <c r="N152" i="31"/>
  <c r="N162" i="31"/>
  <c r="L164" i="31"/>
  <c r="N173" i="31"/>
  <c r="E175" i="31"/>
  <c r="N203" i="31"/>
  <c r="N223" i="31"/>
  <c r="F246" i="31"/>
  <c r="L249" i="31"/>
  <c r="P251" i="31"/>
  <c r="I267" i="31"/>
  <c r="S273" i="31"/>
  <c r="N273" i="31"/>
  <c r="N275" i="31"/>
  <c r="S281" i="31"/>
  <c r="N281" i="31"/>
  <c r="D305" i="31"/>
  <c r="E300" i="31"/>
  <c r="P309" i="31"/>
  <c r="F331" i="31"/>
  <c r="S328" i="31"/>
  <c r="N328" i="31"/>
  <c r="I350" i="31"/>
  <c r="H350" i="31" s="1"/>
  <c r="AE414" i="31"/>
  <c r="AC434" i="31"/>
  <c r="AA434" i="31" s="1"/>
  <c r="AN436" i="31"/>
  <c r="AO436" i="31" s="1"/>
  <c r="AH436" i="31"/>
  <c r="AI436" i="31" s="1"/>
  <c r="Z467" i="31"/>
  <c r="AH478" i="31"/>
  <c r="AI478" i="31" s="1"/>
  <c r="AN493" i="31"/>
  <c r="AH493" i="31"/>
  <c r="M96" i="31"/>
  <c r="N113" i="31"/>
  <c r="J114" i="31"/>
  <c r="L246" i="31"/>
  <c r="N249" i="31"/>
  <c r="Q251" i="31"/>
  <c r="L267" i="31"/>
  <c r="S271" i="31"/>
  <c r="N271" i="31"/>
  <c r="AN429" i="31"/>
  <c r="AO429" i="31" s="1"/>
  <c r="AN447" i="31"/>
  <c r="AO447" i="31" s="1"/>
  <c r="AN449" i="31"/>
  <c r="AO449" i="31" s="1"/>
  <c r="AC467" i="31"/>
  <c r="AA467" i="31" s="1"/>
  <c r="AB454" i="31"/>
  <c r="AO476" i="31"/>
  <c r="N39" i="31"/>
  <c r="N40" i="31"/>
  <c r="N117" i="31"/>
  <c r="K175" i="31"/>
  <c r="N225" i="31"/>
  <c r="Q249" i="31"/>
  <c r="K267" i="31"/>
  <c r="S269" i="31"/>
  <c r="L286" i="31"/>
  <c r="N269" i="31"/>
  <c r="S277" i="31"/>
  <c r="P363" i="31"/>
  <c r="R363" i="31"/>
  <c r="S396" i="31"/>
  <c r="AN412" i="31"/>
  <c r="AO412" i="31" s="1"/>
  <c r="AH412" i="31"/>
  <c r="AN416" i="31"/>
  <c r="AO416" i="31" s="1"/>
  <c r="AH416" i="31"/>
  <c r="AO421" i="31"/>
  <c r="AN423" i="31"/>
  <c r="AO423" i="31" s="1"/>
  <c r="AN454" i="31"/>
  <c r="AH454" i="31"/>
  <c r="S265" i="31"/>
  <c r="N265" i="31"/>
  <c r="S348" i="31"/>
  <c r="N348" i="31"/>
  <c r="F398" i="31"/>
  <c r="E398" i="31" s="1"/>
  <c r="E378" i="31"/>
  <c r="AH492" i="31"/>
  <c r="AI492" i="31" s="1"/>
  <c r="L154" i="31"/>
  <c r="I252" i="31"/>
  <c r="S261" i="31"/>
  <c r="S263" i="31"/>
  <c r="N263" i="31"/>
  <c r="I305" i="31"/>
  <c r="I310" i="31" s="1"/>
  <c r="I315" i="31" s="1"/>
  <c r="M297" i="31"/>
  <c r="J305" i="31"/>
  <c r="K297" i="31"/>
  <c r="R299" i="31"/>
  <c r="M299" i="31"/>
  <c r="K299" i="31"/>
  <c r="M309" i="31"/>
  <c r="E309" i="31"/>
  <c r="I378" i="31"/>
  <c r="AI413" i="31"/>
  <c r="AI417" i="31"/>
  <c r="Y417" i="31"/>
  <c r="AG417" i="31" s="1"/>
  <c r="AI430" i="31"/>
  <c r="AI432" i="31"/>
  <c r="AN460" i="31"/>
  <c r="AO460" i="31" s="1"/>
  <c r="AH460" i="31"/>
  <c r="AI460" i="31" s="1"/>
  <c r="S173" i="31"/>
  <c r="I230" i="31"/>
  <c r="H230" i="31" s="1"/>
  <c r="M245" i="31"/>
  <c r="N261" i="31"/>
  <c r="K296" i="31"/>
  <c r="L378" i="31"/>
  <c r="Z453" i="31"/>
  <c r="AN448" i="31"/>
  <c r="AO448" i="31" s="1"/>
  <c r="AO456" i="31"/>
  <c r="AO471" i="31"/>
  <c r="AO473" i="31"/>
  <c r="AN473" i="31"/>
  <c r="S308" i="31"/>
  <c r="N309" i="31"/>
  <c r="AN413" i="31"/>
  <c r="AO413" i="31" s="1"/>
  <c r="AN457" i="31"/>
  <c r="M301" i="31"/>
  <c r="G305" i="31"/>
  <c r="K361" i="31"/>
  <c r="AN410" i="31"/>
  <c r="AO410" i="31" s="1"/>
  <c r="AN414" i="31"/>
  <c r="AF453" i="31"/>
  <c r="AH447" i="31"/>
  <c r="AN455" i="31"/>
  <c r="AO455" i="31" s="1"/>
  <c r="AN461" i="31"/>
  <c r="AO461" i="31" s="1"/>
  <c r="AH471" i="31"/>
  <c r="AI471" i="31" s="1"/>
  <c r="AH477" i="31"/>
  <c r="AI477" i="31" s="1"/>
  <c r="AE498" i="31"/>
  <c r="N304" i="31"/>
  <c r="N330" i="31"/>
  <c r="N338" i="31"/>
  <c r="AB410" i="31"/>
  <c r="AI412" i="31"/>
  <c r="AI416" i="31"/>
  <c r="AH424" i="31"/>
  <c r="AI424" i="31" s="1"/>
  <c r="AF434" i="31"/>
  <c r="AH435" i="31"/>
  <c r="AI435" i="31" s="1"/>
  <c r="AH452" i="31"/>
  <c r="AL467" i="31"/>
  <c r="L350" i="31"/>
  <c r="K350" i="31" s="1"/>
  <c r="AH498" i="31"/>
  <c r="P304" i="31"/>
  <c r="N320" i="31"/>
  <c r="N340" i="31"/>
  <c r="AE410" i="31"/>
  <c r="AH417" i="31"/>
  <c r="Z420" i="31"/>
  <c r="AH420" i="31" s="1"/>
  <c r="AI420" i="31" s="1"/>
  <c r="AH423" i="31"/>
  <c r="AI423" i="31" s="1"/>
  <c r="AH428" i="31"/>
  <c r="AH458" i="31"/>
  <c r="AI458" i="31" s="1"/>
  <c r="AF482" i="31"/>
  <c r="AH497" i="31"/>
  <c r="N268" i="31"/>
  <c r="R361" i="31"/>
  <c r="L363" i="31"/>
  <c r="AH433" i="31"/>
  <c r="AH445" i="31"/>
  <c r="AI445" i="31" s="1"/>
  <c r="AH451" i="31"/>
  <c r="N255" i="31"/>
  <c r="AH410" i="31"/>
  <c r="AI410" i="31" s="1"/>
  <c r="AH414" i="31"/>
  <c r="AI414" i="31" s="1"/>
  <c r="AH427" i="31"/>
  <c r="AH432" i="31"/>
  <c r="AH444" i="31"/>
  <c r="AH450" i="31"/>
  <c r="AO470" i="31"/>
  <c r="M186" i="31" l="1"/>
  <c r="S54" i="31"/>
  <c r="H119" i="31"/>
  <c r="N54" i="31"/>
  <c r="H36" i="31"/>
  <c r="H34" i="31"/>
  <c r="N164" i="31"/>
  <c r="H113" i="31"/>
  <c r="L27" i="31"/>
  <c r="N27" i="31" s="1"/>
  <c r="AN424" i="31"/>
  <c r="AO424" i="31" s="1"/>
  <c r="H40" i="31"/>
  <c r="S350" i="31"/>
  <c r="H33" i="31"/>
  <c r="H32" i="31"/>
  <c r="E109" i="31"/>
  <c r="H39" i="31"/>
  <c r="H35" i="31"/>
  <c r="K24" i="31"/>
  <c r="K31" i="31"/>
  <c r="K34" i="31"/>
  <c r="K35" i="31"/>
  <c r="K32" i="31"/>
  <c r="K36" i="31"/>
  <c r="K33" i="31"/>
  <c r="K37" i="31"/>
  <c r="AO450" i="31"/>
  <c r="AN450" i="31"/>
  <c r="AH453" i="31"/>
  <c r="AI453" i="31" s="1"/>
  <c r="Q400" i="31"/>
  <c r="P398" i="31"/>
  <c r="AN434" i="31"/>
  <c r="AO434" i="31" s="1"/>
  <c r="AH434" i="31"/>
  <c r="AI434" i="31" s="1"/>
  <c r="L398" i="31"/>
  <c r="L400" i="31" s="1"/>
  <c r="S400" i="31" s="1"/>
  <c r="K378" i="31"/>
  <c r="S378" i="31"/>
  <c r="D310" i="31"/>
  <c r="E305" i="31"/>
  <c r="Z469" i="31"/>
  <c r="D42" i="26" s="1"/>
  <c r="Y413" i="31"/>
  <c r="F187" i="31"/>
  <c r="F195" i="31"/>
  <c r="Z408" i="31" s="1"/>
  <c r="K136" i="31"/>
  <c r="S136" i="31"/>
  <c r="N136" i="31"/>
  <c r="L196" i="31"/>
  <c r="Q187" i="31"/>
  <c r="Q195" i="31"/>
  <c r="AL408" i="31" s="1"/>
  <c r="AN420" i="31"/>
  <c r="AO420" i="31" s="1"/>
  <c r="M109" i="31"/>
  <c r="M110" i="31" s="1"/>
  <c r="R109" i="31"/>
  <c r="R110" i="31" s="1"/>
  <c r="H97" i="31"/>
  <c r="H116" i="31"/>
  <c r="H114" i="31"/>
  <c r="H118" i="31"/>
  <c r="H120" i="31"/>
  <c r="H121" i="31"/>
  <c r="H123" i="31"/>
  <c r="I156" i="31"/>
  <c r="I187" i="31"/>
  <c r="I195" i="31"/>
  <c r="J31" i="31"/>
  <c r="Y415" i="31"/>
  <c r="Y411" i="31"/>
  <c r="Y419" i="31"/>
  <c r="Y418" i="31"/>
  <c r="E13" i="31"/>
  <c r="D24" i="31"/>
  <c r="M24" i="31" s="1"/>
  <c r="M14" i="31"/>
  <c r="D27" i="31"/>
  <c r="E27" i="31" s="1"/>
  <c r="S363" i="31"/>
  <c r="N154" i="31"/>
  <c r="K154" i="31"/>
  <c r="S154" i="31"/>
  <c r="AI454" i="31"/>
  <c r="AH467" i="31"/>
  <c r="AI467" i="31" s="1"/>
  <c r="AG414" i="31"/>
  <c r="AM414" i="31"/>
  <c r="AF469" i="31"/>
  <c r="C42" i="26" s="1"/>
  <c r="AE415" i="31"/>
  <c r="AE411" i="31"/>
  <c r="AE413" i="31"/>
  <c r="AE416" i="31"/>
  <c r="AE412" i="31"/>
  <c r="J27" i="31"/>
  <c r="K23" i="31"/>
  <c r="R23" i="31" s="1"/>
  <c r="K21" i="31"/>
  <c r="R21" i="31" s="1"/>
  <c r="K13" i="31"/>
  <c r="K22" i="31"/>
  <c r="R22" i="31" s="1"/>
  <c r="L232" i="31"/>
  <c r="S211" i="31"/>
  <c r="N211" i="31"/>
  <c r="K211" i="31"/>
  <c r="N24" i="31"/>
  <c r="N25" i="31" s="1"/>
  <c r="S24" i="31"/>
  <c r="S25" i="31" s="1"/>
  <c r="F85" i="31"/>
  <c r="AN467" i="31"/>
  <c r="AO467" i="31" s="1"/>
  <c r="I288" i="31"/>
  <c r="H267" i="31"/>
  <c r="F400" i="31"/>
  <c r="L109" i="31"/>
  <c r="K109" i="31" s="1"/>
  <c r="S97" i="31"/>
  <c r="S98" i="31" s="1"/>
  <c r="N97" i="31"/>
  <c r="N98" i="31" s="1"/>
  <c r="S72" i="31"/>
  <c r="R13" i="31"/>
  <c r="R14" i="31" s="1"/>
  <c r="E211" i="31"/>
  <c r="F232" i="31"/>
  <c r="E232" i="31" s="1"/>
  <c r="Y410" i="31"/>
  <c r="AM410" i="31" s="1"/>
  <c r="N286" i="31"/>
  <c r="Q252" i="31"/>
  <c r="R251" i="31" s="1"/>
  <c r="S252" i="31" s="1"/>
  <c r="K72" i="31"/>
  <c r="E41" i="31"/>
  <c r="AG410" i="31"/>
  <c r="O310" i="31"/>
  <c r="P305" i="31"/>
  <c r="R305" i="31"/>
  <c r="G310" i="31"/>
  <c r="H305" i="31"/>
  <c r="S286" i="31"/>
  <c r="K286" i="31"/>
  <c r="AN440" i="31"/>
  <c r="Q74" i="31"/>
  <c r="P74" i="31" s="1"/>
  <c r="P41" i="31"/>
  <c r="I352" i="31"/>
  <c r="H352" i="31" s="1"/>
  <c r="N72" i="31"/>
  <c r="S267" i="31"/>
  <c r="N267" i="31"/>
  <c r="L288" i="31"/>
  <c r="S41" i="31"/>
  <c r="N41" i="31"/>
  <c r="L74" i="31"/>
  <c r="K41" i="31"/>
  <c r="I398" i="31"/>
  <c r="H398" i="31" s="1"/>
  <c r="H378" i="31"/>
  <c r="Y412" i="31"/>
  <c r="AM417" i="31"/>
  <c r="AN482" i="31"/>
  <c r="AO482" i="31" s="1"/>
  <c r="AH482" i="31"/>
  <c r="AI482" i="31" s="1"/>
  <c r="AN441" i="31"/>
  <c r="AO454" i="31"/>
  <c r="E331" i="31"/>
  <c r="F352" i="31"/>
  <c r="AC469" i="31"/>
  <c r="S251" i="31"/>
  <c r="AL453" i="31"/>
  <c r="P123" i="31"/>
  <c r="Q156" i="31"/>
  <c r="I232" i="31"/>
  <c r="H232" i="31" s="1"/>
  <c r="H211" i="31"/>
  <c r="I74" i="31"/>
  <c r="M305" i="31"/>
  <c r="K305" i="31"/>
  <c r="J310" i="31"/>
  <c r="S230" i="31"/>
  <c r="N230" i="31"/>
  <c r="K230" i="31"/>
  <c r="AO430" i="31"/>
  <c r="Q315" i="31"/>
  <c r="S331" i="31"/>
  <c r="L352" i="31"/>
  <c r="N331" i="31"/>
  <c r="K331" i="31"/>
  <c r="F288" i="31"/>
  <c r="E267" i="31"/>
  <c r="AN443" i="31"/>
  <c r="AO443" i="31" s="1"/>
  <c r="L156" i="31"/>
  <c r="E123" i="31"/>
  <c r="F156" i="31"/>
  <c r="E156" i="31" s="1"/>
  <c r="N305" i="31"/>
  <c r="N306" i="31" s="1"/>
  <c r="L310" i="31"/>
  <c r="S305" i="31"/>
  <c r="S306" i="31" s="1"/>
  <c r="H122" i="31"/>
  <c r="Q288" i="31"/>
  <c r="P288" i="31" s="1"/>
  <c r="AN453" i="31" l="1"/>
  <c r="S27" i="31"/>
  <c r="S28" i="31" s="1"/>
  <c r="I354" i="31"/>
  <c r="K54" i="31"/>
  <c r="Z484" i="31"/>
  <c r="X434" i="31"/>
  <c r="X453" i="31"/>
  <c r="X420" i="31"/>
  <c r="X467" i="31"/>
  <c r="X482" i="31"/>
  <c r="AC484" i="31"/>
  <c r="AA469" i="31"/>
  <c r="AM412" i="31"/>
  <c r="AG412" i="31"/>
  <c r="D315" i="31"/>
  <c r="E310" i="31"/>
  <c r="AO440" i="31"/>
  <c r="N74" i="31"/>
  <c r="K74" i="31"/>
  <c r="S74" i="31"/>
  <c r="AM411" i="31"/>
  <c r="AG411" i="31"/>
  <c r="I166" i="31"/>
  <c r="H156" i="31"/>
  <c r="K398" i="31"/>
  <c r="S398" i="31"/>
  <c r="AM415" i="31"/>
  <c r="AG415" i="31"/>
  <c r="Q234" i="31"/>
  <c r="Q196" i="31"/>
  <c r="R195" i="31" s="1"/>
  <c r="I234" i="31"/>
  <c r="I196" i="31"/>
  <c r="S310" i="31"/>
  <c r="S311" i="31" s="1"/>
  <c r="L315" i="31"/>
  <c r="N310" i="31"/>
  <c r="N311" i="31" s="1"/>
  <c r="F166" i="31"/>
  <c r="E352" i="31"/>
  <c r="F354" i="31"/>
  <c r="S352" i="31"/>
  <c r="N352" i="31"/>
  <c r="K352" i="31"/>
  <c r="S288" i="31"/>
  <c r="K288" i="31"/>
  <c r="N288" i="31"/>
  <c r="L290" i="31"/>
  <c r="H310" i="31"/>
  <c r="G315" i="31"/>
  <c r="H315" i="31" s="1"/>
  <c r="S85" i="31"/>
  <c r="N109" i="31"/>
  <c r="N110" i="31" s="1"/>
  <c r="L166" i="31"/>
  <c r="S109" i="31"/>
  <c r="S110" i="31" s="1"/>
  <c r="S232" i="31"/>
  <c r="N232" i="31"/>
  <c r="K232" i="31"/>
  <c r="AH469" i="31"/>
  <c r="AI469" i="31" s="1"/>
  <c r="E40" i="31"/>
  <c r="E34" i="31"/>
  <c r="E39" i="31"/>
  <c r="E33" i="31"/>
  <c r="E24" i="31"/>
  <c r="E36" i="31"/>
  <c r="E35" i="31"/>
  <c r="E31" i="31"/>
  <c r="E38" i="31"/>
  <c r="E37" i="31"/>
  <c r="E32" i="31"/>
  <c r="S195" i="31"/>
  <c r="S196" i="31" s="1"/>
  <c r="J315" i="31"/>
  <c r="M310" i="31"/>
  <c r="K310" i="31"/>
  <c r="F234" i="31"/>
  <c r="F196" i="31"/>
  <c r="H74" i="31"/>
  <c r="I85" i="31"/>
  <c r="Q354" i="31"/>
  <c r="P156" i="31"/>
  <c r="Q166" i="31"/>
  <c r="L85" i="31"/>
  <c r="M195" i="31"/>
  <c r="X469" i="31"/>
  <c r="E288" i="31"/>
  <c r="F290" i="31"/>
  <c r="N85" i="31"/>
  <c r="N28" i="31"/>
  <c r="AG418" i="31"/>
  <c r="AM418" i="31"/>
  <c r="AM416" i="31"/>
  <c r="AG416" i="31"/>
  <c r="N156" i="31"/>
  <c r="K156" i="31"/>
  <c r="S156" i="31"/>
  <c r="AO453" i="31"/>
  <c r="O315" i="31"/>
  <c r="R310" i="31"/>
  <c r="P310" i="31"/>
  <c r="H288" i="31"/>
  <c r="I290" i="31"/>
  <c r="AG419" i="31"/>
  <c r="AM419" i="31"/>
  <c r="L234" i="31"/>
  <c r="Q290" i="31"/>
  <c r="N195" i="31"/>
  <c r="N196" i="31" s="1"/>
  <c r="AL469" i="31"/>
  <c r="AM413" i="31"/>
  <c r="AG413" i="31"/>
  <c r="Q85" i="31"/>
  <c r="I400" i="31"/>
  <c r="R27" i="31"/>
  <c r="R28" i="31" s="1"/>
  <c r="M27" i="31"/>
  <c r="M28" i="31" s="1"/>
  <c r="K27" i="31"/>
  <c r="AN469" i="31" l="1"/>
  <c r="F42" i="26"/>
  <c r="P315" i="31"/>
  <c r="R315" i="31"/>
  <c r="AL407" i="31"/>
  <c r="M315" i="31"/>
  <c r="K315" i="31"/>
  <c r="AF407" i="31"/>
  <c r="N315" i="31"/>
  <c r="N316" i="31" s="1"/>
  <c r="L354" i="31"/>
  <c r="V315" i="31"/>
  <c r="S315" i="31"/>
  <c r="S316" i="31" s="1"/>
  <c r="AL484" i="31"/>
  <c r="AB484" i="31"/>
  <c r="AC490" i="31"/>
  <c r="AB490" i="31" s="1"/>
  <c r="N290" i="31"/>
  <c r="S290" i="31"/>
  <c r="AO469" i="31"/>
  <c r="N234" i="31"/>
  <c r="S234" i="31"/>
  <c r="AF408" i="31"/>
  <c r="E315" i="31"/>
  <c r="Z407" i="31"/>
  <c r="S166" i="31"/>
  <c r="N166" i="31"/>
  <c r="Y484" i="31"/>
  <c r="Z490" i="31"/>
  <c r="AJ469" i="31" l="1"/>
  <c r="AJ434" i="31"/>
  <c r="AJ453" i="31"/>
  <c r="AJ467" i="31"/>
  <c r="AJ420" i="31"/>
  <c r="AJ408" i="31"/>
  <c r="AN408" i="31"/>
  <c r="AO408" i="31" s="1"/>
  <c r="AF484" i="31"/>
  <c r="AH408" i="31"/>
  <c r="AI408" i="31" s="1"/>
  <c r="AD420" i="31"/>
  <c r="AD467" i="31"/>
  <c r="AD453" i="31"/>
  <c r="AD482" i="31"/>
  <c r="AD434" i="31"/>
  <c r="AD469" i="31"/>
  <c r="AL490" i="31"/>
  <c r="AK484" i="31"/>
  <c r="S354" i="31"/>
  <c r="N354" i="31"/>
  <c r="Y490" i="31"/>
  <c r="Z499" i="31"/>
  <c r="Y499" i="31" s="1"/>
  <c r="Z489" i="31"/>
  <c r="Y489" i="31" s="1"/>
  <c r="AH484" i="31" l="1"/>
  <c r="AI484" i="31" s="1"/>
  <c r="AE484" i="31"/>
  <c r="AF490" i="31"/>
  <c r="AN484" i="31"/>
  <c r="AO484" i="31" s="1"/>
  <c r="AL499" i="31"/>
  <c r="AK490" i="31"/>
  <c r="AL489" i="31"/>
  <c r="AK489" i="31" l="1"/>
  <c r="AK499" i="31"/>
  <c r="AN490" i="31"/>
  <c r="AO490" i="31" s="1"/>
  <c r="AH490" i="31"/>
  <c r="AI490" i="31" s="1"/>
  <c r="AF499" i="31"/>
  <c r="AE490" i="31"/>
  <c r="AF489" i="31"/>
  <c r="AN489" i="31" l="1"/>
  <c r="AO489" i="31" s="1"/>
  <c r="AH489" i="31"/>
  <c r="AI489" i="31" s="1"/>
  <c r="AE489" i="31"/>
  <c r="AN499" i="31"/>
  <c r="AO499" i="31" s="1"/>
  <c r="AH499" i="31"/>
  <c r="AI499" i="31" s="1"/>
  <c r="AE499" i="31"/>
  <c r="AR482" i="3" l="1"/>
  <c r="AQ482" i="3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C305" i="15"/>
  <c r="D305" i="15" s="1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C304" i="15"/>
  <c r="D304" i="15" s="1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U26" i="15" s="1"/>
  <c r="X16" i="15"/>
  <c r="Y24" i="15" s="1"/>
  <c r="Z16" i="15"/>
  <c r="Y16" i="15" s="1"/>
  <c r="AA16" i="15"/>
  <c r="AB24" i="15" s="1"/>
  <c r="AC16" i="15"/>
  <c r="AL16" i="15"/>
  <c r="AM16" i="15"/>
  <c r="AO16" i="15"/>
  <c r="A17" i="15"/>
  <c r="A18" i="15"/>
  <c r="L26" i="15"/>
  <c r="M37" i="15" s="1"/>
  <c r="P18" i="15"/>
  <c r="V18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AO26" i="15"/>
  <c r="AN26" i="15" s="1"/>
  <c r="A24" i="15"/>
  <c r="J24" i="15"/>
  <c r="AN24" i="15"/>
  <c r="A25" i="15"/>
  <c r="J25" i="15"/>
  <c r="M25" i="15"/>
  <c r="P25" i="15"/>
  <c r="Y25" i="15"/>
  <c r="A26" i="15"/>
  <c r="H26" i="15"/>
  <c r="I26" i="15"/>
  <c r="AA26" i="15"/>
  <c r="AB33" i="15" s="1"/>
  <c r="AM26" i="15"/>
  <c r="AN38" i="15" s="1"/>
  <c r="A27" i="15"/>
  <c r="A28" i="15"/>
  <c r="A29" i="15"/>
  <c r="L29" i="15"/>
  <c r="AM29" i="15"/>
  <c r="A30" i="15"/>
  <c r="A31" i="15"/>
  <c r="A32" i="15"/>
  <c r="A33" i="15"/>
  <c r="J33" i="15"/>
  <c r="A34" i="15"/>
  <c r="J34" i="15"/>
  <c r="AB34" i="15"/>
  <c r="AN34" i="15"/>
  <c r="A35" i="15"/>
  <c r="J35" i="15"/>
  <c r="A36" i="15"/>
  <c r="J36" i="15"/>
  <c r="AB36" i="15"/>
  <c r="A37" i="15"/>
  <c r="AN37" i="15"/>
  <c r="A38" i="15"/>
  <c r="J38" i="15"/>
  <c r="A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E41" i="15"/>
  <c r="D41" i="15" s="1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E42" i="15"/>
  <c r="D42" i="15" s="1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Y119" i="15" s="1"/>
  <c r="AF99" i="15"/>
  <c r="AF111" i="15" s="1"/>
  <c r="AG99" i="15"/>
  <c r="AJ99" i="15"/>
  <c r="AK116" i="15" s="1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AO108" i="15"/>
  <c r="A106" i="15"/>
  <c r="M106" i="15"/>
  <c r="AI108" i="15"/>
  <c r="AK106" i="15"/>
  <c r="A107" i="15"/>
  <c r="N108" i="15"/>
  <c r="T108" i="15"/>
  <c r="V107" i="15"/>
  <c r="A108" i="15"/>
  <c r="L108" i="15"/>
  <c r="W108" i="15"/>
  <c r="X108" i="15"/>
  <c r="AF108" i="15"/>
  <c r="AJ108" i="15"/>
  <c r="A109" i="15"/>
  <c r="A110" i="15"/>
  <c r="A111" i="15"/>
  <c r="A112" i="15"/>
  <c r="A113" i="15"/>
  <c r="A114" i="15"/>
  <c r="A115" i="15"/>
  <c r="Y115" i="15"/>
  <c r="AK115" i="15"/>
  <c r="A116" i="15"/>
  <c r="M116" i="15"/>
  <c r="A117" i="15"/>
  <c r="V117" i="15"/>
  <c r="Y117" i="15"/>
  <c r="A118" i="15"/>
  <c r="M118" i="15"/>
  <c r="AK118" i="15"/>
  <c r="A119" i="15"/>
  <c r="M119" i="15"/>
  <c r="A120" i="15"/>
  <c r="M120" i="15"/>
  <c r="Y120" i="15"/>
  <c r="A121" i="15"/>
  <c r="M121" i="15"/>
  <c r="Y121" i="15"/>
  <c r="A122" i="15"/>
  <c r="E122" i="15"/>
  <c r="M122" i="15"/>
  <c r="Y122" i="15"/>
  <c r="A123" i="15"/>
  <c r="E123" i="15"/>
  <c r="M123" i="15"/>
  <c r="Y123" i="15"/>
  <c r="A124" i="15"/>
  <c r="E124" i="15"/>
  <c r="M124" i="15"/>
  <c r="Y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T253" i="15"/>
  <c r="T254" i="15" s="1"/>
  <c r="V253" i="15"/>
  <c r="W253" i="15"/>
  <c r="Z253" i="15"/>
  <c r="AB253" i="15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E365" i="15" s="1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F365" i="15"/>
  <c r="H365" i="15"/>
  <c r="I365" i="15"/>
  <c r="J365" i="15" s="1"/>
  <c r="K365" i="15"/>
  <c r="L365" i="15"/>
  <c r="M365" i="15" s="1"/>
  <c r="N365" i="15"/>
  <c r="O365" i="15"/>
  <c r="P365" i="15" s="1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H380" i="15"/>
  <c r="H400" i="15" s="1"/>
  <c r="G400" i="15" s="1"/>
  <c r="J380" i="15"/>
  <c r="K380" i="15"/>
  <c r="N380" i="15"/>
  <c r="Q380" i="15"/>
  <c r="T380" i="15"/>
  <c r="S380" i="15" s="1"/>
  <c r="W380" i="15"/>
  <c r="V380" i="15" s="1"/>
  <c r="Z380" i="15"/>
  <c r="Z400" i="15" s="1"/>
  <c r="Z402" i="15" s="1"/>
  <c r="AB380" i="15"/>
  <c r="AC380" i="15"/>
  <c r="AF380" i="15"/>
  <c r="AI380" i="15"/>
  <c r="AL380" i="15"/>
  <c r="AL400" i="15" s="1"/>
  <c r="AK400" i="15" s="1"/>
  <c r="AO380" i="15"/>
  <c r="AN380" i="15" s="1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H398" i="15"/>
  <c r="G398" i="15" s="1"/>
  <c r="K398" i="15"/>
  <c r="J398" i="15" s="1"/>
  <c r="N398" i="15"/>
  <c r="M398" i="15" s="1"/>
  <c r="Q398" i="15"/>
  <c r="P398" i="15" s="1"/>
  <c r="T398" i="15"/>
  <c r="T400" i="15" s="1"/>
  <c r="W398" i="15"/>
  <c r="V398" i="15" s="1"/>
  <c r="Y398" i="15"/>
  <c r="Z398" i="15"/>
  <c r="AC398" i="15"/>
  <c r="AB398" i="15" s="1"/>
  <c r="AF398" i="15"/>
  <c r="AE398" i="15" s="1"/>
  <c r="AI398" i="15"/>
  <c r="AH398" i="15" s="1"/>
  <c r="AL398" i="15"/>
  <c r="AK398" i="15" s="1"/>
  <c r="AO398" i="15"/>
  <c r="AN398" i="15" s="1"/>
  <c r="A399" i="15"/>
  <c r="A400" i="15"/>
  <c r="AC400" i="15"/>
  <c r="AB400" i="15" s="1"/>
  <c r="A401" i="15"/>
  <c r="A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S400" i="15" l="1"/>
  <c r="T402" i="15"/>
  <c r="AL402" i="15"/>
  <c r="V35" i="15"/>
  <c r="V34" i="15"/>
  <c r="V37" i="15"/>
  <c r="V39" i="15"/>
  <c r="V36" i="15"/>
  <c r="V38" i="15"/>
  <c r="Y380" i="15"/>
  <c r="AK124" i="15"/>
  <c r="AC402" i="15"/>
  <c r="N254" i="15"/>
  <c r="AK123" i="15"/>
  <c r="AK121" i="15"/>
  <c r="AB38" i="15"/>
  <c r="AN36" i="15"/>
  <c r="O29" i="15"/>
  <c r="X26" i="15"/>
  <c r="S398" i="15"/>
  <c r="E192" i="15"/>
  <c r="Y23" i="15"/>
  <c r="V23" i="15"/>
  <c r="AN35" i="15"/>
  <c r="G380" i="15"/>
  <c r="AK117" i="15"/>
  <c r="AC254" i="15"/>
  <c r="AK380" i="15"/>
  <c r="Y107" i="15"/>
  <c r="Y105" i="15"/>
  <c r="AB35" i="15"/>
  <c r="AK120" i="15"/>
  <c r="E380" i="15"/>
  <c r="AK122" i="15"/>
  <c r="K400" i="15"/>
  <c r="J400" i="15" s="1"/>
  <c r="AA29" i="15"/>
  <c r="O26" i="15"/>
  <c r="K402" i="15"/>
  <c r="AF400" i="15"/>
  <c r="N400" i="15"/>
  <c r="X29" i="15"/>
  <c r="E323" i="15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AO307" i="15"/>
  <c r="AO312" i="15" s="1"/>
  <c r="AO317" i="15" s="1"/>
  <c r="AN352" i="15" s="1"/>
  <c r="W352" i="15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Z446" i="15"/>
  <c r="AC448" i="15"/>
  <c r="AO415" i="15"/>
  <c r="AN415" i="15" s="1"/>
  <c r="W417" i="15"/>
  <c r="V417" i="15" s="1"/>
  <c r="AF433" i="15"/>
  <c r="W429" i="15"/>
  <c r="AC445" i="15"/>
  <c r="AI447" i="15"/>
  <c r="W477" i="15"/>
  <c r="Q479" i="15"/>
  <c r="W418" i="15"/>
  <c r="V418" i="15" s="1"/>
  <c r="AO454" i="15"/>
  <c r="Z418" i="15"/>
  <c r="Y418" i="15" s="1"/>
  <c r="Q420" i="15"/>
  <c r="AO433" i="15"/>
  <c r="H438" i="15"/>
  <c r="K451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AI245" i="15"/>
  <c r="AI253" i="15"/>
  <c r="E244" i="15"/>
  <c r="E253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C16" i="15" s="1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E99" i="15" l="1"/>
  <c r="E400" i="15"/>
  <c r="S352" i="15"/>
  <c r="E352" i="15"/>
  <c r="K453" i="15"/>
  <c r="N420" i="15"/>
  <c r="AC446" i="15"/>
  <c r="W446" i="15"/>
  <c r="J307" i="15"/>
  <c r="P26" i="15"/>
  <c r="Y34" i="15"/>
  <c r="Y35" i="15"/>
  <c r="Y33" i="15"/>
  <c r="Y39" i="15"/>
  <c r="P37" i="15"/>
  <c r="P39" i="15"/>
  <c r="P36" i="15"/>
  <c r="P38" i="15"/>
  <c r="P33" i="15"/>
  <c r="P35" i="15"/>
  <c r="Z432" i="15"/>
  <c r="M307" i="15"/>
  <c r="E245" i="15"/>
  <c r="AF427" i="15"/>
  <c r="K452" i="15"/>
  <c r="AF416" i="15"/>
  <c r="N430" i="15"/>
  <c r="E166" i="15"/>
  <c r="Q421" i="15"/>
  <c r="H439" i="15"/>
  <c r="Q414" i="15"/>
  <c r="P414" i="15" s="1"/>
  <c r="AL415" i="15"/>
  <c r="AK415" i="15" s="1"/>
  <c r="V352" i="15"/>
  <c r="Q402" i="15"/>
  <c r="W419" i="15"/>
  <c r="AL433" i="15"/>
  <c r="AF448" i="15"/>
  <c r="K414" i="15"/>
  <c r="J414" i="15" s="1"/>
  <c r="AN125" i="15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AI410" i="15" s="1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 s="1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N410" i="15" s="1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AK74" i="15"/>
  <c r="AK37" i="15"/>
  <c r="AH43" i="15"/>
  <c r="K410" i="15"/>
  <c r="C34" i="15"/>
  <c r="V125" i="15"/>
  <c r="W410" i="15"/>
  <c r="Q254" i="15"/>
  <c r="J111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S38" i="15"/>
  <c r="AI254" i="15"/>
  <c r="D39" i="15" l="1"/>
  <c r="D36" i="15"/>
  <c r="Y125" i="15"/>
  <c r="C33" i="15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21" i="27"/>
  <c r="E420" i="27"/>
  <c r="E419" i="27"/>
  <c r="E418" i="27"/>
  <c r="E417" i="27"/>
  <c r="E416" i="27"/>
  <c r="E415" i="27"/>
  <c r="E414" i="27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E300" i="27"/>
  <c r="C300" i="27"/>
  <c r="D300" i="27" s="1"/>
  <c r="E299" i="27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57" i="27"/>
  <c r="E250" i="27"/>
  <c r="E253" i="27" s="1"/>
  <c r="D250" i="27"/>
  <c r="D253" i="27" s="1"/>
  <c r="C250" i="27"/>
  <c r="E247" i="27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194" i="27"/>
  <c r="E195" i="27" s="1"/>
  <c r="D194" i="27"/>
  <c r="C194" i="27"/>
  <c r="E191" i="27"/>
  <c r="E192" i="27" s="1"/>
  <c r="D191" i="27"/>
  <c r="C191" i="27"/>
  <c r="E187" i="27"/>
  <c r="D185" i="27"/>
  <c r="E184" i="27"/>
  <c r="D184" i="27"/>
  <c r="C184" i="27"/>
  <c r="D183" i="27"/>
  <c r="E181" i="27"/>
  <c r="D181" i="27"/>
  <c r="C181" i="27"/>
  <c r="E178" i="27"/>
  <c r="D178" i="27"/>
  <c r="D180" i="27" s="1"/>
  <c r="C178" i="27"/>
  <c r="E175" i="27"/>
  <c r="D175" i="27"/>
  <c r="C175" i="27"/>
  <c r="C188" i="27" s="1"/>
  <c r="B171" i="27"/>
  <c r="E165" i="27"/>
  <c r="E164" i="27"/>
  <c r="E163" i="27"/>
  <c r="E162" i="27"/>
  <c r="E161" i="27"/>
  <c r="E160" i="27"/>
  <c r="E159" i="27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3" i="27"/>
  <c r="C103" i="27"/>
  <c r="D103" i="27" s="1"/>
  <c r="E101" i="27"/>
  <c r="E98" i="27"/>
  <c r="C98" i="27"/>
  <c r="E97" i="27"/>
  <c r="C97" i="27"/>
  <c r="D97" i="27" s="1"/>
  <c r="E96" i="27"/>
  <c r="D96" i="27" s="1"/>
  <c r="C96" i="27"/>
  <c r="E95" i="27"/>
  <c r="B91" i="27"/>
  <c r="E84" i="27"/>
  <c r="E83" i="27"/>
  <c r="E82" i="27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2" i="27"/>
  <c r="D42" i="27"/>
  <c r="E41" i="27"/>
  <c r="D41" i="27"/>
  <c r="E40" i="27"/>
  <c r="D40" i="27" s="1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5" i="27"/>
  <c r="E24" i="27"/>
  <c r="E23" i="27"/>
  <c r="E26" i="27" s="1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C12" i="27"/>
  <c r="D12" i="27" s="1"/>
  <c r="E11" i="27"/>
  <c r="C11" i="27"/>
  <c r="D11" i="27" s="1"/>
  <c r="E10" i="27"/>
  <c r="C10" i="27"/>
  <c r="D10" i="27" s="1"/>
  <c r="E9" i="27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56" i="27" l="1"/>
  <c r="E422" i="27"/>
  <c r="D188" i="27"/>
  <c r="D186" i="27"/>
  <c r="E213" i="27"/>
  <c r="E484" i="27"/>
  <c r="E99" i="27"/>
  <c r="E166" i="27"/>
  <c r="E176" i="27"/>
  <c r="E185" i="27"/>
  <c r="E269" i="27"/>
  <c r="E352" i="27"/>
  <c r="E398" i="27"/>
  <c r="D398" i="27" s="1"/>
  <c r="E74" i="27"/>
  <c r="E76" i="27" s="1"/>
  <c r="D76" i="27" s="1"/>
  <c r="E85" i="27"/>
  <c r="D98" i="27"/>
  <c r="C115" i="27"/>
  <c r="E138" i="27"/>
  <c r="E232" i="27"/>
  <c r="E234" i="27" s="1"/>
  <c r="E455" i="27"/>
  <c r="E156" i="27"/>
  <c r="E307" i="27"/>
  <c r="E312" i="27" s="1"/>
  <c r="E317" i="27" s="1"/>
  <c r="E16" i="27"/>
  <c r="C33" i="27" s="1"/>
  <c r="E288" i="27"/>
  <c r="D288" i="27" s="1"/>
  <c r="E333" i="27"/>
  <c r="D333" i="27" s="1"/>
  <c r="E248" i="27"/>
  <c r="E436" i="27"/>
  <c r="E471" i="27" s="1"/>
  <c r="E108" i="27"/>
  <c r="C413" i="27" s="1"/>
  <c r="E188" i="27"/>
  <c r="E197" i="27" s="1"/>
  <c r="D213" i="27" s="1"/>
  <c r="D301" i="27"/>
  <c r="E469" i="27"/>
  <c r="E354" i="27"/>
  <c r="D354" i="27" s="1"/>
  <c r="D380" i="27"/>
  <c r="E400" i="27"/>
  <c r="D400" i="27" s="1"/>
  <c r="E254" i="27"/>
  <c r="D352" i="27"/>
  <c r="D197" i="27"/>
  <c r="D189" i="27"/>
  <c r="C116" i="27"/>
  <c r="E29" i="27"/>
  <c r="D43" i="27" s="1"/>
  <c r="C412" i="27"/>
  <c r="D269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234" i="27" l="1"/>
  <c r="D232" i="27"/>
  <c r="E290" i="27"/>
  <c r="E189" i="27"/>
  <c r="D74" i="27"/>
  <c r="D307" i="27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290" i="27" l="1"/>
  <c r="E292" i="27"/>
  <c r="D312" i="27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N6" i="23" l="1"/>
  <c r="G43" i="26" l="1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64" i="5" l="1"/>
  <c r="N147" i="5"/>
  <c r="N146" i="5"/>
  <c r="N391" i="5"/>
  <c r="N214" i="5"/>
  <c r="O366" i="5"/>
  <c r="N131" i="5"/>
  <c r="O211" i="5"/>
  <c r="O396" i="5"/>
  <c r="N381" i="5"/>
  <c r="O207" i="5"/>
  <c r="O204" i="5"/>
  <c r="N150" i="5"/>
  <c r="N389" i="5"/>
  <c r="N383" i="5"/>
  <c r="O197" i="5"/>
  <c r="O191" i="5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D7" i="26" s="1"/>
  <c r="O97" i="3"/>
  <c r="B37" i="28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31" i="17" s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AK489" i="17" l="1"/>
  <c r="F30" i="26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X798" i="5" s="1"/>
  <c r="S797" i="5"/>
  <c r="R797" i="5"/>
  <c r="Q797" i="5"/>
  <c r="P797" i="5" s="1"/>
  <c r="M797" i="5"/>
  <c r="L797" i="5"/>
  <c r="X797" i="5" s="1"/>
  <c r="S796" i="5"/>
  <c r="R796" i="5"/>
  <c r="Q796" i="5"/>
  <c r="P796" i="5" s="1"/>
  <c r="M796" i="5"/>
  <c r="L796" i="5"/>
  <c r="X796" i="5" s="1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X747" i="5" s="1"/>
  <c r="S746" i="5"/>
  <c r="R746" i="5"/>
  <c r="Q746" i="5"/>
  <c r="M746" i="5"/>
  <c r="L746" i="5"/>
  <c r="X746" i="5" s="1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X742" i="5" s="1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X736" i="5" s="1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L726" i="5"/>
  <c r="X726" i="5" s="1"/>
  <c r="L725" i="5"/>
  <c r="X725" i="5" s="1"/>
  <c r="L724" i="5"/>
  <c r="X724" i="5" s="1"/>
  <c r="L723" i="5"/>
  <c r="X723" i="5" s="1"/>
  <c r="L722" i="5"/>
  <c r="X722" i="5" s="1"/>
  <c r="L721" i="5"/>
  <c r="X721" i="5" s="1"/>
  <c r="L720" i="5"/>
  <c r="X720" i="5" s="1"/>
  <c r="L719" i="5"/>
  <c r="X719" i="5" s="1"/>
  <c r="L718" i="5"/>
  <c r="X718" i="5" s="1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104" i="10" l="1"/>
  <c r="G1103" i="10"/>
  <c r="G1106" i="10"/>
  <c r="G1105" i="10"/>
  <c r="G1101" i="10"/>
  <c r="G1107" i="10"/>
  <c r="G1108" i="10"/>
  <c r="G1099" i="10"/>
  <c r="G1098" i="10"/>
  <c r="G1089" i="10"/>
  <c r="G1093" i="10"/>
  <c r="G1091" i="10"/>
  <c r="G1094" i="10"/>
  <c r="G1090" i="10"/>
  <c r="G1092" i="10"/>
  <c r="G1088" i="10"/>
  <c r="G1100" i="10"/>
  <c r="W1055" i="5"/>
  <c r="X1055" i="5"/>
  <c r="W832" i="5"/>
  <c r="X832" i="5"/>
  <c r="T880" i="5"/>
  <c r="X880" i="5"/>
  <c r="U909" i="5"/>
  <c r="X909" i="5"/>
  <c r="V921" i="5"/>
  <c r="X921" i="5"/>
  <c r="V933" i="5"/>
  <c r="X933" i="5"/>
  <c r="V945" i="5"/>
  <c r="X945" i="5"/>
  <c r="W957" i="5"/>
  <c r="X957" i="5"/>
  <c r="U969" i="5"/>
  <c r="X969" i="5"/>
  <c r="T981" i="5"/>
  <c r="X981" i="5"/>
  <c r="W993" i="5"/>
  <c r="X993" i="5"/>
  <c r="W1005" i="5"/>
  <c r="X1005" i="5"/>
  <c r="W1017" i="5"/>
  <c r="X1017" i="5"/>
  <c r="W1041" i="5"/>
  <c r="X1041" i="5"/>
  <c r="W1053" i="5"/>
  <c r="X1053" i="5"/>
  <c r="V734" i="5"/>
  <c r="X734" i="5"/>
  <c r="V758" i="5"/>
  <c r="X758" i="5"/>
  <c r="W770" i="5"/>
  <c r="X770" i="5"/>
  <c r="W782" i="5"/>
  <c r="X782" i="5"/>
  <c r="W794" i="5"/>
  <c r="X794" i="5"/>
  <c r="V806" i="5"/>
  <c r="X806" i="5"/>
  <c r="V818" i="5"/>
  <c r="X818" i="5"/>
  <c r="T830" i="5"/>
  <c r="X830" i="5"/>
  <c r="U842" i="5"/>
  <c r="X842" i="5"/>
  <c r="T854" i="5"/>
  <c r="X854" i="5"/>
  <c r="U866" i="5"/>
  <c r="X866" i="5"/>
  <c r="W878" i="5"/>
  <c r="X878" i="5"/>
  <c r="T902" i="5"/>
  <c r="X902" i="5"/>
  <c r="W914" i="5"/>
  <c r="X914" i="5"/>
  <c r="W938" i="5"/>
  <c r="X938" i="5"/>
  <c r="T950" i="5"/>
  <c r="X950" i="5"/>
  <c r="U962" i="5"/>
  <c r="X962" i="5"/>
  <c r="U974" i="5"/>
  <c r="X974" i="5"/>
  <c r="V986" i="5"/>
  <c r="X986" i="5"/>
  <c r="T998" i="5"/>
  <c r="X998" i="5"/>
  <c r="T1010" i="5"/>
  <c r="X1010" i="5"/>
  <c r="T1022" i="5"/>
  <c r="X1022" i="5"/>
  <c r="T1046" i="5"/>
  <c r="X1046" i="5"/>
  <c r="U767" i="5"/>
  <c r="X767" i="5"/>
  <c r="U815" i="5"/>
  <c r="X815" i="5"/>
  <c r="V863" i="5"/>
  <c r="X863" i="5"/>
  <c r="V923" i="5"/>
  <c r="X923" i="5"/>
  <c r="T971" i="5"/>
  <c r="X971" i="5"/>
  <c r="W1007" i="5"/>
  <c r="X1007" i="5"/>
  <c r="V732" i="5"/>
  <c r="X732" i="5"/>
  <c r="V744" i="5"/>
  <c r="X744" i="5"/>
  <c r="V756" i="5"/>
  <c r="X756" i="5"/>
  <c r="U768" i="5"/>
  <c r="X768" i="5"/>
  <c r="V780" i="5"/>
  <c r="X780" i="5"/>
  <c r="W792" i="5"/>
  <c r="X792" i="5"/>
  <c r="V828" i="5"/>
  <c r="X828" i="5"/>
  <c r="T852" i="5"/>
  <c r="X852" i="5"/>
  <c r="V864" i="5"/>
  <c r="X864" i="5"/>
  <c r="V876" i="5"/>
  <c r="X876" i="5"/>
  <c r="U900" i="5"/>
  <c r="X900" i="5"/>
  <c r="T912" i="5"/>
  <c r="X912" i="5"/>
  <c r="U936" i="5"/>
  <c r="X936" i="5"/>
  <c r="T948" i="5"/>
  <c r="X948" i="5"/>
  <c r="W960" i="5"/>
  <c r="X960" i="5"/>
  <c r="V972" i="5"/>
  <c r="X972" i="5"/>
  <c r="T984" i="5"/>
  <c r="X984" i="5"/>
  <c r="T996" i="5"/>
  <c r="X996" i="5"/>
  <c r="T1020" i="5"/>
  <c r="X1020" i="5"/>
  <c r="T1044" i="5"/>
  <c r="X1044" i="5"/>
  <c r="V875" i="5"/>
  <c r="X875" i="5"/>
  <c r="V947" i="5"/>
  <c r="X947" i="5"/>
  <c r="T741" i="5"/>
  <c r="X741" i="5"/>
  <c r="T753" i="5"/>
  <c r="X753" i="5"/>
  <c r="W765" i="5"/>
  <c r="X765" i="5"/>
  <c r="U777" i="5"/>
  <c r="X777" i="5"/>
  <c r="U727" i="5"/>
  <c r="X727" i="5"/>
  <c r="W751" i="5"/>
  <c r="X751" i="5"/>
  <c r="W763" i="5"/>
  <c r="X763" i="5"/>
  <c r="V799" i="5"/>
  <c r="X799" i="5"/>
  <c r="V821" i="5"/>
  <c r="X821" i="5"/>
  <c r="V845" i="5"/>
  <c r="X845" i="5"/>
  <c r="V857" i="5"/>
  <c r="X857" i="5"/>
  <c r="T869" i="5"/>
  <c r="X869" i="5"/>
  <c r="W881" i="5"/>
  <c r="X881" i="5"/>
  <c r="U893" i="5"/>
  <c r="X893" i="5"/>
  <c r="V905" i="5"/>
  <c r="X905" i="5"/>
  <c r="W929" i="5"/>
  <c r="X929" i="5"/>
  <c r="V953" i="5"/>
  <c r="X953" i="5"/>
  <c r="V977" i="5"/>
  <c r="X977" i="5"/>
  <c r="V989" i="5"/>
  <c r="X989" i="5"/>
  <c r="W1013" i="5"/>
  <c r="X1013" i="5"/>
  <c r="W1037" i="5"/>
  <c r="X1037" i="5"/>
  <c r="W1049" i="5"/>
  <c r="X1049" i="5"/>
  <c r="W755" i="5"/>
  <c r="X755" i="5"/>
  <c r="V803" i="5"/>
  <c r="X803" i="5"/>
  <c r="V839" i="5"/>
  <c r="X839" i="5"/>
  <c r="V935" i="5"/>
  <c r="X935" i="5"/>
  <c r="W983" i="5"/>
  <c r="X983" i="5"/>
  <c r="U940" i="5"/>
  <c r="X940" i="5"/>
  <c r="U952" i="5"/>
  <c r="X952" i="5"/>
  <c r="W883" i="5"/>
  <c r="X883" i="5"/>
  <c r="V895" i="5"/>
  <c r="X895" i="5"/>
  <c r="V943" i="5"/>
  <c r="X943" i="5"/>
  <c r="W1039" i="5"/>
  <c r="X1039" i="5"/>
  <c r="T737" i="5"/>
  <c r="X737" i="5"/>
  <c r="T773" i="5"/>
  <c r="X773" i="5"/>
  <c r="W730" i="5"/>
  <c r="X730" i="5"/>
  <c r="V754" i="5"/>
  <c r="X754" i="5"/>
  <c r="W766" i="5"/>
  <c r="X766" i="5"/>
  <c r="V778" i="5"/>
  <c r="X778" i="5"/>
  <c r="V790" i="5"/>
  <c r="X790" i="5"/>
  <c r="V802" i="5"/>
  <c r="X802" i="5"/>
  <c r="V814" i="5"/>
  <c r="X814" i="5"/>
  <c r="V826" i="5"/>
  <c r="X826" i="5"/>
  <c r="W838" i="5"/>
  <c r="X838" i="5"/>
  <c r="U850" i="5"/>
  <c r="X850" i="5"/>
  <c r="T862" i="5"/>
  <c r="X862" i="5"/>
  <c r="W874" i="5"/>
  <c r="X874" i="5"/>
  <c r="W898" i="5"/>
  <c r="X898" i="5"/>
  <c r="T910" i="5"/>
  <c r="X910" i="5"/>
  <c r="W922" i="5"/>
  <c r="X922" i="5"/>
  <c r="W934" i="5"/>
  <c r="X934" i="5"/>
  <c r="T946" i="5"/>
  <c r="X946" i="5"/>
  <c r="U958" i="5"/>
  <c r="X958" i="5"/>
  <c r="T970" i="5"/>
  <c r="X970" i="5"/>
  <c r="T982" i="5"/>
  <c r="X982" i="5"/>
  <c r="T994" i="5"/>
  <c r="X994" i="5"/>
  <c r="T1006" i="5"/>
  <c r="X1006" i="5"/>
  <c r="T1018" i="5"/>
  <c r="X1018" i="5"/>
  <c r="T1042" i="5"/>
  <c r="X1042" i="5"/>
  <c r="T1054" i="5"/>
  <c r="X1054" i="5"/>
  <c r="W1019" i="5"/>
  <c r="X1019" i="5"/>
  <c r="W1043" i="5"/>
  <c r="X1043" i="5"/>
  <c r="V808" i="5"/>
  <c r="X808" i="5"/>
  <c r="T844" i="5"/>
  <c r="X844" i="5"/>
  <c r="V1036" i="5"/>
  <c r="X1036" i="5"/>
  <c r="V873" i="5"/>
  <c r="X873" i="5"/>
  <c r="V835" i="5"/>
  <c r="X835" i="5"/>
  <c r="V907" i="5"/>
  <c r="X907" i="5"/>
  <c r="W979" i="5"/>
  <c r="X979" i="5"/>
  <c r="W1051" i="5"/>
  <c r="X1051" i="5"/>
  <c r="W759" i="5"/>
  <c r="X759" i="5"/>
  <c r="T771" i="5"/>
  <c r="X771" i="5"/>
  <c r="V807" i="5"/>
  <c r="X807" i="5"/>
  <c r="V819" i="5"/>
  <c r="X819" i="5"/>
  <c r="U831" i="5"/>
  <c r="X831" i="5"/>
  <c r="V843" i="5"/>
  <c r="X843" i="5"/>
  <c r="V855" i="5"/>
  <c r="X855" i="5"/>
  <c r="V867" i="5"/>
  <c r="X867" i="5"/>
  <c r="V879" i="5"/>
  <c r="X879" i="5"/>
  <c r="V903" i="5"/>
  <c r="X903" i="5"/>
  <c r="V915" i="5"/>
  <c r="X915" i="5"/>
  <c r="V951" i="5"/>
  <c r="X951" i="5"/>
  <c r="T963" i="5"/>
  <c r="X963" i="5"/>
  <c r="W975" i="5"/>
  <c r="X975" i="5"/>
  <c r="W987" i="5"/>
  <c r="X987" i="5"/>
  <c r="W999" i="5"/>
  <c r="X999" i="5"/>
  <c r="W1011" i="5"/>
  <c r="X1011" i="5"/>
  <c r="W1023" i="5"/>
  <c r="X1023" i="5"/>
  <c r="W1047" i="5"/>
  <c r="X1047" i="5"/>
  <c r="U731" i="5"/>
  <c r="X731" i="5"/>
  <c r="W743" i="5"/>
  <c r="X743" i="5"/>
  <c r="V851" i="5"/>
  <c r="X851" i="5"/>
  <c r="W959" i="5"/>
  <c r="X959" i="5"/>
  <c r="V856" i="5"/>
  <c r="X856" i="5"/>
  <c r="U868" i="5"/>
  <c r="X868" i="5"/>
  <c r="V892" i="5"/>
  <c r="X892" i="5"/>
  <c r="T916" i="5"/>
  <c r="X916" i="5"/>
  <c r="U789" i="5"/>
  <c r="X789" i="5"/>
  <c r="V825" i="5"/>
  <c r="X825" i="5"/>
  <c r="V849" i="5"/>
  <c r="X849" i="5"/>
  <c r="T955" i="5"/>
  <c r="X955" i="5"/>
  <c r="W967" i="5"/>
  <c r="X967" i="5"/>
  <c r="W991" i="5"/>
  <c r="X991" i="5"/>
  <c r="W1015" i="5"/>
  <c r="X1015" i="5"/>
  <c r="V728" i="5"/>
  <c r="X728" i="5"/>
  <c r="V740" i="5"/>
  <c r="X740" i="5"/>
  <c r="V752" i="5"/>
  <c r="X752" i="5"/>
  <c r="V764" i="5"/>
  <c r="X764" i="5"/>
  <c r="T776" i="5"/>
  <c r="X776" i="5"/>
  <c r="V788" i="5"/>
  <c r="X788" i="5"/>
  <c r="V800" i="5"/>
  <c r="X800" i="5"/>
  <c r="V812" i="5"/>
  <c r="X812" i="5"/>
  <c r="V836" i="5"/>
  <c r="X836" i="5"/>
  <c r="T872" i="5"/>
  <c r="X872" i="5"/>
  <c r="T884" i="5"/>
  <c r="X884" i="5"/>
  <c r="T896" i="5"/>
  <c r="X896" i="5"/>
  <c r="U908" i="5"/>
  <c r="X908" i="5"/>
  <c r="T932" i="5"/>
  <c r="X932" i="5"/>
  <c r="W956" i="5"/>
  <c r="X956" i="5"/>
  <c r="W968" i="5"/>
  <c r="X968" i="5"/>
  <c r="T980" i="5"/>
  <c r="X980" i="5"/>
  <c r="T992" i="5"/>
  <c r="X992" i="5"/>
  <c r="T1004" i="5"/>
  <c r="X1004" i="5"/>
  <c r="T1016" i="5"/>
  <c r="X1016" i="5"/>
  <c r="T1028" i="5"/>
  <c r="X1028" i="5"/>
  <c r="T1040" i="5"/>
  <c r="X1040" i="5"/>
  <c r="T1052" i="5"/>
  <c r="X1052" i="5"/>
  <c r="V899" i="5"/>
  <c r="X899" i="5"/>
  <c r="V911" i="5"/>
  <c r="X911" i="5"/>
  <c r="T1048" i="5"/>
  <c r="X1048" i="5"/>
  <c r="U729" i="5"/>
  <c r="X729" i="5"/>
  <c r="U801" i="5"/>
  <c r="X801" i="5"/>
  <c r="T813" i="5"/>
  <c r="X813" i="5"/>
  <c r="T837" i="5"/>
  <c r="X837" i="5"/>
  <c r="T775" i="5"/>
  <c r="X775" i="5"/>
  <c r="V787" i="5"/>
  <c r="X787" i="5"/>
  <c r="V811" i="5"/>
  <c r="X811" i="5"/>
  <c r="T847" i="5"/>
  <c r="X847" i="5"/>
  <c r="W919" i="5"/>
  <c r="X919" i="5"/>
  <c r="W1027" i="5"/>
  <c r="X1027" i="5"/>
  <c r="W749" i="5"/>
  <c r="X749" i="5"/>
  <c r="W761" i="5"/>
  <c r="X761" i="5"/>
  <c r="U733" i="5"/>
  <c r="X733" i="5"/>
  <c r="W745" i="5"/>
  <c r="X745" i="5"/>
  <c r="W757" i="5"/>
  <c r="X757" i="5"/>
  <c r="U769" i="5"/>
  <c r="X769" i="5"/>
  <c r="U781" i="5"/>
  <c r="X781" i="5"/>
  <c r="T793" i="5"/>
  <c r="X793" i="5"/>
  <c r="W805" i="5"/>
  <c r="X805" i="5"/>
  <c r="W829" i="5"/>
  <c r="X829" i="5"/>
  <c r="W841" i="5"/>
  <c r="X841" i="5"/>
  <c r="V853" i="5"/>
  <c r="X853" i="5"/>
  <c r="V865" i="5"/>
  <c r="X865" i="5"/>
  <c r="T877" i="5"/>
  <c r="X877" i="5"/>
  <c r="V889" i="5"/>
  <c r="X889" i="5"/>
  <c r="U901" i="5"/>
  <c r="X901" i="5"/>
  <c r="V913" i="5"/>
  <c r="X913" i="5"/>
  <c r="V925" i="5"/>
  <c r="X925" i="5"/>
  <c r="V937" i="5"/>
  <c r="X937" i="5"/>
  <c r="V949" i="5"/>
  <c r="X949" i="5"/>
  <c r="U961" i="5"/>
  <c r="X961" i="5"/>
  <c r="W973" i="5"/>
  <c r="X973" i="5"/>
  <c r="V985" i="5"/>
  <c r="X985" i="5"/>
  <c r="W997" i="5"/>
  <c r="X997" i="5"/>
  <c r="W1009" i="5"/>
  <c r="X1009" i="5"/>
  <c r="W1021" i="5"/>
  <c r="X1021" i="5"/>
  <c r="W1033" i="5"/>
  <c r="X1033" i="5"/>
  <c r="W1045" i="5"/>
  <c r="X1045" i="5"/>
  <c r="V827" i="5"/>
  <c r="X827" i="5"/>
  <c r="W904" i="5"/>
  <c r="X904" i="5"/>
  <c r="U964" i="5"/>
  <c r="X964" i="5"/>
  <c r="W976" i="5"/>
  <c r="X976" i="5"/>
  <c r="T988" i="5"/>
  <c r="X988" i="5"/>
  <c r="T1012" i="5"/>
  <c r="X1012" i="5"/>
  <c r="T1024" i="5"/>
  <c r="X1024" i="5"/>
  <c r="V738" i="5"/>
  <c r="X738" i="5"/>
  <c r="V750" i="5"/>
  <c r="X750" i="5"/>
  <c r="V762" i="5"/>
  <c r="X762" i="5"/>
  <c r="V774" i="5"/>
  <c r="X774" i="5"/>
  <c r="T786" i="5"/>
  <c r="X786" i="5"/>
  <c r="W822" i="5"/>
  <c r="X822" i="5"/>
  <c r="V834" i="5"/>
  <c r="X834" i="5"/>
  <c r="T846" i="5"/>
  <c r="X846" i="5"/>
  <c r="W858" i="5"/>
  <c r="X858" i="5"/>
  <c r="T870" i="5"/>
  <c r="X870" i="5"/>
  <c r="V894" i="5"/>
  <c r="X894" i="5"/>
  <c r="W906" i="5"/>
  <c r="X906" i="5"/>
  <c r="T942" i="5"/>
  <c r="X942" i="5"/>
  <c r="T954" i="5"/>
  <c r="X954" i="5"/>
  <c r="T978" i="5"/>
  <c r="X978" i="5"/>
  <c r="T1014" i="5"/>
  <c r="X1014" i="5"/>
  <c r="T1026" i="5"/>
  <c r="X1026" i="5"/>
  <c r="T1038" i="5"/>
  <c r="X1038" i="5"/>
  <c r="T1050" i="5"/>
  <c r="X1050" i="5"/>
  <c r="G1095" i="10"/>
  <c r="G1096" i="10"/>
  <c r="G1097" i="10"/>
  <c r="G1083" i="10"/>
  <c r="G1081" i="10"/>
  <c r="G1080" i="10"/>
  <c r="G1077" i="10"/>
  <c r="G1076" i="10"/>
  <c r="G1079" i="10"/>
  <c r="G1078" i="10"/>
  <c r="G1075" i="10"/>
  <c r="G1082" i="10"/>
  <c r="G1087" i="10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V746" i="5"/>
  <c r="V796" i="5"/>
  <c r="T797" i="5"/>
  <c r="W747" i="5"/>
  <c r="V742" i="5"/>
  <c r="W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Z416" i="3" l="1"/>
  <c r="L15" i="3"/>
  <c r="Y15" i="3" s="1"/>
  <c r="L32" i="3"/>
  <c r="AF470" i="3"/>
  <c r="AT470" i="3" s="1"/>
  <c r="L101" i="3"/>
  <c r="L31" i="3"/>
  <c r="AF492" i="3"/>
  <c r="AR492" i="3" s="1"/>
  <c r="J17" i="3"/>
  <c r="L114" i="3"/>
  <c r="N114" i="3" s="1"/>
  <c r="E22" i="2"/>
  <c r="L113" i="3"/>
  <c r="N113" i="3" s="1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Y99" i="3" s="1"/>
  <c r="L17" i="3"/>
  <c r="Y17" i="3" s="1"/>
  <c r="J6" i="3"/>
  <c r="J245" i="3"/>
  <c r="J248" i="3"/>
  <c r="N101" i="3" l="1"/>
  <c r="Y101" i="3"/>
  <c r="AH494" i="3"/>
  <c r="AI494" i="3" s="1"/>
  <c r="AR494" i="3"/>
  <c r="AH493" i="3"/>
  <c r="AI493" i="3" s="1"/>
  <c r="AR493" i="3"/>
  <c r="L13" i="3"/>
  <c r="Y13" i="3" s="1"/>
  <c r="AH495" i="3"/>
  <c r="AR495" i="3"/>
  <c r="C29" i="26"/>
  <c r="L106" i="3"/>
  <c r="Y106" i="3" s="1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Y97" i="3" s="1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J32" i="3" l="1"/>
  <c r="Y24" i="3"/>
  <c r="AH471" i="3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Y27" i="3" s="1"/>
  <c r="L109" i="3"/>
  <c r="Y109" i="3" s="1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65" i="17" l="1" a="1"/>
  <c r="F202" i="17" a="1"/>
  <c r="F129" i="17" a="1"/>
  <c r="F299" i="17" a="1"/>
  <c r="F21" i="17" a="1"/>
  <c r="F393" i="17" a="1"/>
  <c r="D99" i="17" a="1"/>
  <c r="F200" i="17" a="1"/>
  <c r="F132" i="17" a="1"/>
  <c r="F17" i="17" a="1"/>
  <c r="F273" i="17" a="1"/>
  <c r="D300" i="17" a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492" i="15"/>
  <c r="Z460" i="17" s="1" a="1"/>
  <c r="E501" i="15"/>
  <c r="D501" i="15" s="1"/>
  <c r="E182" i="17" s="1" a="1"/>
  <c r="E182" i="17" s="1"/>
  <c r="M182" i="17" s="1"/>
  <c r="F130" i="17" l="1" a="1"/>
  <c r="F214" i="17" a="1"/>
  <c r="F103" i="17" a="1"/>
  <c r="F76" i="17" a="1"/>
  <c r="F113" i="17" a="1"/>
  <c r="F339" i="17" a="1"/>
  <c r="F70" i="17" a="1"/>
  <c r="F336" i="17" a="1"/>
  <c r="E242" i="17" a="1"/>
  <c r="F61" i="17" a="1"/>
  <c r="F379" i="17" a="1"/>
  <c r="F39" i="17" a="1"/>
  <c r="F43" i="17" a="1"/>
  <c r="F280" i="17" a="1"/>
  <c r="F117" i="17" a="1"/>
  <c r="F81" i="17" a="1"/>
  <c r="F297" i="17" a="1"/>
  <c r="E176" i="17" a="1"/>
  <c r="F326" i="17" a="1"/>
  <c r="Z454" i="17" a="1"/>
  <c r="F11" i="17" a="1"/>
  <c r="F380" i="17" a="1"/>
  <c r="F163" i="17" a="1"/>
  <c r="E189" i="17" a="1"/>
  <c r="F31" i="17" a="1"/>
  <c r="F138" i="17" a="1"/>
  <c r="F71" i="17" a="1"/>
  <c r="F53" i="17" a="1"/>
  <c r="F385" i="17" a="1"/>
  <c r="F323" i="17" a="1"/>
  <c r="F101" i="17" a="1"/>
  <c r="F120" i="17" a="1"/>
  <c r="F116" i="17" a="1"/>
  <c r="F149" i="17" a="1"/>
  <c r="F224" i="17" a="1"/>
  <c r="F227" i="17" a="1"/>
  <c r="F56" i="17" a="1"/>
  <c r="F69" i="17" a="1"/>
  <c r="D173" i="17" a="1"/>
  <c r="F324" i="17" a="1"/>
  <c r="F262" i="17" a="1"/>
  <c r="F225" i="17" a="1"/>
  <c r="F367" i="17" a="1"/>
  <c r="F42" i="17" a="1"/>
  <c r="D245" i="17" a="1"/>
  <c r="F217" i="17" a="1"/>
  <c r="F245" i="17" a="1"/>
  <c r="F40" i="17" a="1"/>
  <c r="F35" i="17" a="1"/>
  <c r="F67" i="17" a="1"/>
  <c r="F377" i="17" a="1"/>
  <c r="F258" i="17" a="1"/>
  <c r="F151" i="17" a="1"/>
  <c r="F382" i="17" a="1"/>
  <c r="F203" i="17" a="1"/>
  <c r="F333" i="17" a="1"/>
  <c r="F389" i="17" a="1"/>
  <c r="F204" i="17" a="1"/>
  <c r="F204" i="17" s="1"/>
  <c r="N204" i="17" s="1"/>
  <c r="F269" i="17" a="1"/>
  <c r="Z494" i="17" a="1"/>
  <c r="F36" i="17" a="1"/>
  <c r="F207" i="17" a="1"/>
  <c r="F222" i="17" a="1"/>
  <c r="F268" i="17" a="1"/>
  <c r="F182" i="17" a="1"/>
  <c r="D10" i="17" a="1"/>
  <c r="F64" i="17" a="1"/>
  <c r="F282" i="17" a="1"/>
  <c r="F391" i="17" a="1"/>
  <c r="F115" i="17" a="1"/>
  <c r="F229" i="17" a="1"/>
  <c r="F124" i="17" a="1"/>
  <c r="Z421" i="17" a="1"/>
  <c r="F104" i="17" a="1"/>
  <c r="F51" i="17" a="1"/>
  <c r="E173" i="17" a="1"/>
  <c r="F347" i="17" a="1"/>
  <c r="F12" i="17" a="1"/>
  <c r="F392" i="17" a="1"/>
  <c r="F78" i="17" a="1"/>
  <c r="F62" i="17" a="1"/>
  <c r="F272" i="17" a="1"/>
  <c r="F309" i="17" a="1"/>
  <c r="D9" i="17" a="1"/>
  <c r="F8" i="17" a="1"/>
  <c r="F263" i="17" a="1"/>
  <c r="F221" i="17" a="1"/>
  <c r="F219" i="17" a="1"/>
  <c r="F141" i="17" a="1"/>
  <c r="F212" i="17" a="1"/>
  <c r="F348" i="17" a="1"/>
  <c r="F248" i="17" a="1"/>
  <c r="F23" i="17" a="1"/>
  <c r="F213" i="17" a="1"/>
  <c r="F301" i="17" a="1"/>
  <c r="F349" i="17" a="1"/>
  <c r="F279" i="17" a="1"/>
  <c r="F242" i="17" a="1"/>
  <c r="D15" i="17" a="1"/>
  <c r="Z497" i="17" a="1"/>
  <c r="F122" i="17" a="1"/>
  <c r="F65" i="17" a="1"/>
  <c r="F371" i="17" a="1"/>
  <c r="Z461" i="17" a="1"/>
  <c r="F143" i="17" a="1"/>
  <c r="F189" i="17" a="1"/>
  <c r="D17" i="17" a="1"/>
  <c r="F321" i="17" a="1"/>
  <c r="F276" i="17" a="1"/>
  <c r="F395" i="17" a="1"/>
  <c r="F337" i="17" a="1"/>
  <c r="E248" i="17" a="1"/>
  <c r="F147" i="17" a="1"/>
  <c r="F58" i="17" a="1"/>
  <c r="F345" i="17" a="1"/>
  <c r="F327" i="17" a="1"/>
  <c r="F34" i="17" a="1"/>
  <c r="Z459" i="17" a="1"/>
  <c r="F332" i="17" a="1"/>
  <c r="Z493" i="17" a="1"/>
  <c r="F94" i="17" a="1"/>
  <c r="F94" i="17" s="1"/>
  <c r="F5" i="17" a="1"/>
  <c r="F373" i="17" a="1"/>
  <c r="D299" i="17" a="1"/>
  <c r="D302" i="17" a="1"/>
  <c r="F33" i="17" a="1"/>
  <c r="F325" i="17" a="1"/>
  <c r="F298" i="17" a="1"/>
  <c r="F375" i="17" a="1"/>
  <c r="D301" i="17" a="1"/>
  <c r="F270" i="17" a="1"/>
  <c r="F270" i="17" s="1"/>
  <c r="N270" i="17" s="1"/>
  <c r="D304" i="17" a="1"/>
  <c r="F271" i="17" a="1"/>
  <c r="F59" i="17" a="1"/>
  <c r="Z456" i="17" a="1"/>
  <c r="F372" i="17" a="1"/>
  <c r="F256" i="17" a="1"/>
  <c r="F259" i="17" a="1"/>
  <c r="F261" i="17" a="1"/>
  <c r="F226" i="17" a="1"/>
  <c r="F7" i="17" a="1"/>
  <c r="F45" i="17" a="1"/>
  <c r="F334" i="17" a="1"/>
  <c r="F205" i="17" a="1"/>
  <c r="F205" i="17" s="1"/>
  <c r="N205" i="17" s="1"/>
  <c r="F281" i="17" a="1"/>
  <c r="D179" i="17" a="1"/>
  <c r="F134" i="17" a="1"/>
  <c r="F185" i="17" a="1"/>
  <c r="F255" i="17" a="1"/>
  <c r="F37" i="17" a="1"/>
  <c r="F60" i="17" a="1"/>
  <c r="F157" i="17" a="1"/>
  <c r="F159" i="17" a="1"/>
  <c r="F215" i="17" a="1"/>
  <c r="F215" i="17" s="1"/>
  <c r="N215" i="17" s="1"/>
  <c r="F277" i="17" a="1"/>
  <c r="F277" i="17" s="1"/>
  <c r="N277" i="17" s="1"/>
  <c r="F93" i="17" a="1"/>
  <c r="F93" i="17" s="1"/>
  <c r="F296" i="17" a="1"/>
  <c r="F260" i="17" a="1"/>
  <c r="F148" i="17" a="1"/>
  <c r="F383" i="17" a="1"/>
  <c r="F383" i="17" s="1"/>
  <c r="F105" i="17" a="1"/>
  <c r="F99" i="17" a="1"/>
  <c r="F328" i="17" a="1"/>
  <c r="F320" i="17" a="1"/>
  <c r="F320" i="17" s="1"/>
  <c r="N320" i="17" s="1"/>
  <c r="F144" i="17" a="1"/>
  <c r="F144" i="17" s="1"/>
  <c r="N144" i="17" s="1"/>
  <c r="F216" i="17" a="1"/>
  <c r="F216" i="17" s="1"/>
  <c r="N216" i="17" s="1"/>
  <c r="F343" i="17" a="1"/>
  <c r="F135" i="17" a="1"/>
  <c r="F135" i="17" s="1"/>
  <c r="N135" i="17" s="1"/>
  <c r="F161" i="17" a="1"/>
  <c r="F218" i="17" a="1"/>
  <c r="F346" i="17" a="1"/>
  <c r="F49" i="17" a="1"/>
  <c r="D96" i="17" a="1"/>
  <c r="F340" i="17" a="1"/>
  <c r="F137" i="17" a="1"/>
  <c r="F137" i="17" s="1"/>
  <c r="F342" i="17" a="1"/>
  <c r="F342" i="17" s="1"/>
  <c r="N342" i="17" s="1"/>
  <c r="D7" i="17" a="1"/>
  <c r="D7" i="17" s="1"/>
  <c r="F160" i="17" a="1"/>
  <c r="F160" i="17" s="1"/>
  <c r="N160" i="17" s="1"/>
  <c r="D298" i="17" a="1"/>
  <c r="F199" i="17" a="1"/>
  <c r="Z478" i="17" a="1"/>
  <c r="F388" i="17" a="1"/>
  <c r="F126" i="17" a="1"/>
  <c r="F126" i="17" s="1"/>
  <c r="N126" i="17" s="1"/>
  <c r="F77" i="17" a="1"/>
  <c r="F95" i="17" a="1"/>
  <c r="E192" i="17" a="1"/>
  <c r="F139" i="17" a="1"/>
  <c r="F370" i="17" a="1"/>
  <c r="F370" i="17" s="1"/>
  <c r="D303" i="17" a="1"/>
  <c r="F387" i="17" a="1"/>
  <c r="F384" i="17" a="1"/>
  <c r="D248" i="17" a="1"/>
  <c r="F114" i="17" a="1"/>
  <c r="F114" i="17" s="1"/>
  <c r="D94" i="17" a="1"/>
  <c r="D94" i="17" s="1"/>
  <c r="F75" i="17" a="1"/>
  <c r="Z458" i="17" a="1"/>
  <c r="F128" i="17" a="1"/>
  <c r="F206" i="17" a="1"/>
  <c r="F206" i="17" s="1"/>
  <c r="N206" i="17" s="1"/>
  <c r="E179" i="17" a="1"/>
  <c r="F131" i="17" a="1"/>
  <c r="F223" i="17" a="1"/>
  <c r="E245" i="17" a="1"/>
  <c r="F330" i="17" a="1"/>
  <c r="F330" i="17" s="1"/>
  <c r="N330" i="17" s="1"/>
  <c r="F329" i="17" a="1"/>
  <c r="F329" i="17" s="1"/>
  <c r="N329" i="17" s="1"/>
  <c r="F210" i="17" a="1"/>
  <c r="F220" i="17" a="1"/>
  <c r="F220" i="17" s="1"/>
  <c r="N220" i="17" s="1"/>
  <c r="F284" i="17" a="1"/>
  <c r="F284" i="17" s="1"/>
  <c r="N284" i="17" s="1"/>
  <c r="F152" i="17" a="1"/>
  <c r="D101" i="17" a="1"/>
  <c r="F344" i="17" a="1"/>
  <c r="F376" i="17" a="1"/>
  <c r="D182" i="17" a="1"/>
  <c r="F368" i="17" a="1"/>
  <c r="F313" i="17" a="1"/>
  <c r="F79" i="17" a="1"/>
  <c r="F208" i="17" a="1"/>
  <c r="F208" i="17" s="1"/>
  <c r="N208" i="17" s="1"/>
  <c r="F366" i="17" a="1"/>
  <c r="F366" i="17" s="1"/>
  <c r="Z457" i="17" a="1"/>
  <c r="Z457" i="17" s="1"/>
  <c r="D313" i="17" a="1"/>
  <c r="D242" i="17" a="1"/>
  <c r="D95" i="17" a="1"/>
  <c r="F55" i="17" a="1"/>
  <c r="F173" i="17" a="1"/>
  <c r="D6" i="17" a="1"/>
  <c r="F386" i="17" a="1"/>
  <c r="F386" i="17" s="1"/>
  <c r="D182" i="17"/>
  <c r="F381" i="17" a="1"/>
  <c r="F381" i="17" s="1"/>
  <c r="F82" i="17" a="1"/>
  <c r="F303" i="17" a="1"/>
  <c r="K12" i="28" a="1"/>
  <c r="F140" i="17" a="1"/>
  <c r="F264" i="17" a="1"/>
  <c r="F257" i="17" a="1"/>
  <c r="Z470" i="17" a="1"/>
  <c r="Z470" i="17" s="1"/>
  <c r="F150" i="17" a="1"/>
  <c r="F150" i="17" s="1"/>
  <c r="N150" i="17" s="1"/>
  <c r="D11" i="17" a="1"/>
  <c r="D11" i="17" s="1"/>
  <c r="F15" i="17" a="1"/>
  <c r="F15" i="17" s="1"/>
  <c r="N15" i="17" s="1"/>
  <c r="F304" i="17" a="1"/>
  <c r="F304" i="17" s="1"/>
  <c r="N304" i="17" s="1"/>
  <c r="F68" i="17" a="1"/>
  <c r="Z495" i="17" a="1"/>
  <c r="F319" i="17" a="1"/>
  <c r="K7" i="28" a="1"/>
  <c r="F283" i="17" a="1"/>
  <c r="F278" i="17" a="1"/>
  <c r="F278" i="17" s="1"/>
  <c r="N278" i="17" s="1"/>
  <c r="F6" i="17" a="1"/>
  <c r="F6" i="17" s="1"/>
  <c r="F22" i="17" a="1"/>
  <c r="F275" i="17" a="1"/>
  <c r="F275" i="17" s="1"/>
  <c r="N275" i="17" s="1"/>
  <c r="F125" i="17" a="1"/>
  <c r="F46" i="17" a="1"/>
  <c r="F119" i="17" a="1"/>
  <c r="F10" i="17" a="1"/>
  <c r="F162" i="17" a="1"/>
  <c r="Z455" i="17" a="1"/>
  <c r="Z455" i="17" s="1"/>
  <c r="F133" i="17" a="1"/>
  <c r="F133" i="17" s="1"/>
  <c r="N133" i="17" s="1"/>
  <c r="F146" i="17" a="1"/>
  <c r="F146" i="17" s="1"/>
  <c r="N146" i="17" s="1"/>
  <c r="F390" i="17" a="1"/>
  <c r="F390" i="17" s="1"/>
  <c r="F52" i="17" a="1"/>
  <c r="F302" i="17" a="1"/>
  <c r="F302" i="17" s="1"/>
  <c r="N302" i="17" s="1"/>
  <c r="F44" i="17" a="1"/>
  <c r="D176" i="17" a="1"/>
  <c r="D297" i="17" a="1"/>
  <c r="F9" i="17" a="1"/>
  <c r="F145" i="17" a="1"/>
  <c r="D8" i="17" a="1"/>
  <c r="D8" i="17" s="1"/>
  <c r="F63" i="17" a="1"/>
  <c r="Z496" i="17" a="1"/>
  <c r="Z496" i="17" s="1"/>
  <c r="F322" i="17" a="1"/>
  <c r="F322" i="17" s="1"/>
  <c r="N322" i="17" s="1"/>
  <c r="F369" i="17" a="1"/>
  <c r="F369" i="17" s="1"/>
  <c r="F176" i="17" a="1"/>
  <c r="Z463" i="17" a="1"/>
  <c r="F153" i="17" a="1"/>
  <c r="Z492" i="17" a="1"/>
  <c r="F47" i="17" a="1"/>
  <c r="F50" i="17" a="1"/>
  <c r="F142" i="17" a="1"/>
  <c r="F142" i="17" s="1"/>
  <c r="N142" i="17" s="1"/>
  <c r="F96" i="17" a="1"/>
  <c r="F361" i="17" a="1"/>
  <c r="F361" i="17" s="1"/>
  <c r="F66" i="17" a="1"/>
  <c r="F66" i="17" s="1"/>
  <c r="F158" i="17" a="1"/>
  <c r="F374" i="17" a="1"/>
  <c r="F38" i="17" a="1"/>
  <c r="F57" i="17" a="1"/>
  <c r="D12" i="17" a="1"/>
  <c r="F121" i="17" a="1"/>
  <c r="F121" i="17" s="1"/>
  <c r="F48" i="17" a="1"/>
  <c r="F48" i="17" s="1"/>
  <c r="N48" i="17" s="1"/>
  <c r="D308" i="17" a="1"/>
  <c r="F32" i="17" a="1"/>
  <c r="F32" i="17" s="1"/>
  <c r="F308" i="17" a="1"/>
  <c r="F308" i="17" s="1"/>
  <c r="N308" i="17" s="1"/>
  <c r="F300" i="17" a="1"/>
  <c r="F209" i="17" a="1"/>
  <c r="F80" i="17" a="1"/>
  <c r="F394" i="17" a="1"/>
  <c r="D309" i="17" a="1"/>
  <c r="Z462" i="17" a="1"/>
  <c r="F201" i="17" a="1"/>
  <c r="F201" i="17" s="1"/>
  <c r="N201" i="17" s="1"/>
  <c r="F285" i="17" a="1"/>
  <c r="F285" i="17" s="1"/>
  <c r="N285" i="17" s="1"/>
  <c r="F118" i="17" a="1"/>
  <c r="F118" i="17" s="1"/>
  <c r="F335" i="17" a="1"/>
  <c r="F335" i="17" s="1"/>
  <c r="N335" i="17" s="1"/>
  <c r="D361" i="17" a="1"/>
  <c r="F127" i="17" a="1"/>
  <c r="F228" i="17" a="1"/>
  <c r="F179" i="17" a="1"/>
  <c r="F341" i="17" a="1"/>
  <c r="F341" i="17" s="1"/>
  <c r="N341" i="17" s="1"/>
  <c r="D296" i="17" a="1"/>
  <c r="D296" i="17" s="1"/>
  <c r="N94" i="17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95" i="17"/>
  <c r="F129" i="17"/>
  <c r="N129" i="17" s="1"/>
  <c r="D297" i="17"/>
  <c r="D173" i="17"/>
  <c r="F11" i="17"/>
  <c r="N11" i="17" s="1"/>
  <c r="D300" i="17"/>
  <c r="F128" i="17"/>
  <c r="N128" i="17" s="1"/>
  <c r="F282" i="17"/>
  <c r="N282" i="17" s="1"/>
  <c r="F367" i="17"/>
  <c r="Z497" i="17"/>
  <c r="F115" i="17"/>
  <c r="F55" i="17"/>
  <c r="F340" i="17"/>
  <c r="N340" i="17" s="1"/>
  <c r="F346" i="17"/>
  <c r="N346" i="17" s="1"/>
  <c r="F22" i="17"/>
  <c r="N22" i="17" s="1"/>
  <c r="F219" i="17"/>
  <c r="N219" i="17" s="1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394" i="17"/>
  <c r="F53" i="17"/>
  <c r="N53" i="17" s="1"/>
  <c r="Z463" i="17"/>
  <c r="F158" i="17"/>
  <c r="F47" i="17"/>
  <c r="N47" i="17" s="1"/>
  <c r="Z462" i="17"/>
  <c r="D302" i="17"/>
  <c r="F374" i="17"/>
  <c r="F325" i="17"/>
  <c r="N325" i="17" s="1"/>
  <c r="Z454" i="17"/>
  <c r="F223" i="17"/>
  <c r="N223" i="17" s="1"/>
  <c r="F202" i="17"/>
  <c r="N202" i="17" s="1"/>
  <c r="E192" i="17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104" i="17"/>
  <c r="N104" i="17" s="1"/>
  <c r="F324" i="17"/>
  <c r="N324" i="17" s="1"/>
  <c r="Z458" i="17"/>
  <c r="D304" i="17"/>
  <c r="E304" i="17" s="1"/>
  <c r="F124" i="17"/>
  <c r="D95" i="17"/>
  <c r="F96" i="17"/>
  <c r="N96" i="17" s="1"/>
  <c r="F189" i="17"/>
  <c r="F140" i="17"/>
  <c r="N14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43" i="17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70" i="17"/>
  <c r="N70" i="17" s="1"/>
  <c r="F323" i="17"/>
  <c r="N323" i="17" s="1"/>
  <c r="F313" i="17"/>
  <c r="F334" i="17"/>
  <c r="N334" i="17" s="1"/>
  <c r="F260" i="17"/>
  <c r="N260" i="17" s="1"/>
  <c r="E248" i="17"/>
  <c r="M248" i="17" s="1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35" i="17"/>
  <c r="F152" i="17"/>
  <c r="N152" i="17" s="1"/>
  <c r="F199" i="17"/>
  <c r="F159" i="17"/>
  <c r="F49" i="17"/>
  <c r="F227" i="17"/>
  <c r="N227" i="17" s="1"/>
  <c r="F147" i="17"/>
  <c r="N147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56" i="17"/>
  <c r="F393" i="17"/>
  <c r="F12" i="17"/>
  <c r="N12" i="17" s="1"/>
  <c r="F79" i="17"/>
  <c r="N79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336" i="17"/>
  <c r="N336" i="17" s="1"/>
  <c r="F39" i="17"/>
  <c r="F163" i="17"/>
  <c r="N163" i="17" s="1"/>
  <c r="F210" i="17"/>
  <c r="N210" i="17" s="1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40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38" i="17" l="1"/>
  <c r="E36" i="17"/>
  <c r="E33" i="17"/>
  <c r="E136" i="17"/>
  <c r="E35" i="17"/>
  <c r="E31" i="17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D26" i="26" l="1"/>
  <c r="Z490" i="17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<sst xmlns="http://schemas.openxmlformats.org/spreadsheetml/2006/main" count="18311" uniqueCount="3131">
  <si>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</si>
  <si>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</si>
  <si>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</si>
  <si>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</si>
  <si>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</si>
  <si>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</si>
  <si>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</si>
  <si>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</si>
  <si>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</si>
  <si>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</si>
  <si>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</si>
  <si>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</si>
  <si>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</si>
  <si>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</si>
  <si>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</si>
  <si>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</si>
  <si>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</si>
  <si>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</si>
  <si>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</si>
  <si>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</si>
  <si>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</si>
  <si>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</si>
  <si>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</si>
  <si>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</si>
  <si>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</si>
  <si>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</si>
  <si>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</si>
  <si>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</si>
  <si>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</si>
  <si>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</si>
  <si>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</si>
  <si>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</si>
  <si>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</si>
  <si>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</si>
  <si>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</si>
  <si>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</si>
  <si>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</si>
  <si>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</si>
  <si>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</si>
  <si>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</si>
  <si>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</si>
  <si>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</si>
  <si>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</si>
  <si>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</si>
  <si>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</si>
  <si>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</si>
  <si>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</si>
  <si>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</si>
  <si>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</si>
  <si>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</si>
  <si>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</si>
  <si>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</si>
  <si>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</si>
  <si>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</si>
  <si>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</si>
  <si>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</si>
  <si>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</si>
  <si>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</si>
  <si>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</si>
  <si>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</si>
  <si>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</si>
  <si>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</si>
  <si>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</si>
  <si>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</si>
  <si>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</si>
  <si>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</si>
  <si>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</si>
  <si>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</si>
  <si>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</si>
  <si>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</si>
  <si>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</si>
  <si>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</si>
  <si>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</si>
  <si>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</si>
  <si>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</si>
  <si>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</si>
  <si>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</si>
  <si>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</si>
  <si>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</si>
  <si>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</si>
  <si>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</si>
  <si>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</si>
  <si>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</si>
  <si>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</si>
  <si>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</si>
  <si>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</si>
  <si>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</si>
  <si>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</si>
  <si>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</si>
  <si>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</si>
  <si>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</si>
  <si>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</si>
  <si>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</si>
  <si>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</si>
  <si>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</si>
  <si>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</si>
  <si>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</si>
  <si>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</si>
  <si>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</si>
  <si>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</si>
  <si>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</si>
  <si>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</si>
  <si>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</si>
  <si>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</si>
  <si>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</si>
  <si>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</si>
  <si>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</si>
  <si>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</si>
  <si>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</si>
  <si>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</si>
  <si>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</si>
  <si>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</si>
  <si>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</si>
  <si>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</si>
  <si>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</si>
  <si>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</si>
  <si>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</si>
  <si>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</si>
  <si>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</si>
  <si>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</si>
  <si>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</si>
  <si>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</si>
  <si>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</si>
  <si>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</si>
  <si>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</si>
  <si>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</si>
  <si>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</si>
  <si>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</si>
  <si>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</si>
  <si>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</si>
  <si>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</si>
  <si>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</si>
  <si>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</si>
  <si>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</si>
  <si>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</si>
  <si>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</si>
  <si>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</si>
  <si>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</si>
  <si>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</si>
  <si>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</si>
  <si>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</si>
  <si>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</si>
  <si>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</si>
  <si>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</si>
  <si>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</si>
  <si>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</si>
  <si>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</si>
  <si>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</si>
  <si>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</si>
  <si>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</si>
  <si>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</si>
  <si>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</si>
  <si>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</si>
  <si>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</si>
  <si>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</si>
  <si>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</si>
  <si>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</si>
  <si>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</si>
  <si>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</si>
  <si>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</si>
  <si>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</si>
  <si>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</si>
  <si>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</si>
  <si>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</si>
  <si>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</si>
  <si>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</si>
  <si>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</si>
  <si>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</si>
  <si>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</si>
  <si>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</si>
  <si>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</si>
  <si>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</si>
  <si>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</si>
  <si>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</si>
  <si>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</si>
  <si>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</si>
  <si>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</si>
  <si>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</si>
  <si>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</si>
  <si>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</si>
  <si>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</si>
  <si>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</si>
  <si>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</si>
  <si>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</si>
  <si>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</si>
  <si>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</si>
  <si>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</si>
  <si>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</si>
  <si>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</si>
  <si>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</si>
  <si>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</si>
  <si>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</si>
  <si>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</si>
  <si>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</si>
  <si>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</si>
  <si>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</si>
  <si>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</si>
  <si>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</si>
  <si>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</si>
  <si>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</si>
  <si>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</si>
  <si>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</si>
  <si>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</si>
  <si>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</si>
  <si>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</si>
  <si>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</si>
  <si>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</si>
  <si>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</si>
  <si>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</si>
  <si>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</si>
  <si>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</si>
  <si>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</si>
  <si>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</si>
  <si>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</si>
  <si>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</si>
  <si>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</si>
  <si>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</si>
  <si>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</si>
  <si>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</si>
  <si>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</si>
  <si>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</si>
  <si>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</si>
  <si>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</si>
  <si>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</si>
  <si>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</si>
  <si>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</si>
  <si>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</si>
  <si>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</si>
  <si>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</si>
  <si>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</si>
  <si>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</si>
  <si>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</si>
  <si>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</si>
  <si>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</si>
  <si>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</si>
  <si>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</si>
  <si>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</si>
  <si>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</si>
  <si>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</si>
  <si>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</si>
  <si>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</si>
  <si>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</si>
  <si>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</si>
  <si>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</si>
  <si>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</si>
  <si>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</si>
  <si>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</si>
  <si>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</si>
  <si>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</si>
  <si>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</si>
  <si>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</si>
  <si>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</si>
  <si>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</si>
  <si>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</si>
  <si>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</si>
  <si>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</si>
  <si>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</si>
  <si>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</si>
  <si>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</si>
  <si>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</si>
  <si>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</si>
  <si>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</si>
  <si>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</si>
  <si>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</si>
  <si>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</si>
  <si>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</si>
  <si>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</si>
  <si>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</si>
  <si>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</si>
  <si>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</si>
  <si>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</si>
  <si>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</si>
  <si>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</si>
  <si>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</si>
  <si>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</si>
  <si>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</si>
  <si>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</si>
  <si>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</si>
  <si>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</si>
  <si>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</si>
  <si>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</si>
  <si>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</si>
  <si>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</si>
  <si>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</si>
  <si>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</si>
  <si>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</si>
  <si>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</si>
  <si>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</si>
  <si>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</si>
  <si>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</si>
  <si>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</si>
  <si>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</si>
  <si>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</si>
  <si>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</si>
  <si>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</si>
  <si>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</si>
  <si>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</si>
  <si>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</si>
  <si>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</si>
  <si>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</si>
  <si>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</si>
  <si>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</si>
  <si>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</si>
  <si>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</si>
  <si>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</si>
  <si>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</si>
  <si>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</si>
  <si>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</si>
  <si>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</si>
  <si>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</si>
  <si>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</si>
  <si>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</si>
  <si>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</si>
  <si>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</si>
  <si>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</si>
  <si>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</si>
  <si>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</si>
  <si>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</si>
  <si>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</si>
  <si>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</si>
  <si>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</si>
  <si>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</si>
  <si>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</si>
  <si>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</si>
  <si>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</si>
  <si>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</si>
  <si>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</si>
  <si>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</si>
  <si>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</si>
  <si>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</si>
  <si>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</si>
  <si>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</si>
  <si>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</si>
  <si>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</si>
  <si>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</si>
  <si>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</si>
  <si>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</si>
  <si>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</si>
  <si>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</si>
  <si>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</si>
  <si>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</si>
  <si>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</si>
  <si>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</si>
  <si>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</si>
  <si>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</si>
  <si>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</si>
  <si>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</si>
  <si>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</si>
  <si>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</si>
  <si>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</si>
  <si>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</si>
  <si>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</si>
  <si>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</si>
  <si>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</si>
  <si>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</si>
  <si>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</si>
  <si>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</si>
  <si>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</si>
  <si>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</si>
  <si>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</si>
  <si>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</si>
  <si>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</si>
  <si>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</si>
  <si>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</si>
  <si>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</si>
  <si>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</si>
  <si>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</si>
  <si>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</si>
  <si>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</si>
  <si>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</si>
  <si>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</si>
  <si>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</si>
  <si>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</si>
  <si>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</si>
  <si>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</si>
  <si>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</si>
  <si>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</si>
  <si>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</si>
  <si>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</si>
  <si>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</si>
  <si>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</si>
  <si>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</si>
  <si>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</si>
  <si>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</si>
  <si>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</si>
  <si>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</si>
  <si>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</si>
  <si>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</si>
  <si>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</si>
  <si>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</si>
  <si>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</si>
  <si>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</si>
  <si>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</si>
  <si>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</si>
  <si>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</si>
  <si>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</si>
  <si>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</si>
  <si>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</si>
  <si>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</si>
  <si>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</si>
  <si>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</si>
  <si>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</si>
  <si>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</si>
  <si>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</si>
  <si>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</si>
  <si>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</si>
  <si>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</si>
  <si>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</si>
  <si>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</si>
  <si>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</si>
  <si>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</si>
  <si>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</si>
  <si>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</si>
  <si>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</si>
  <si>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</si>
  <si>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</si>
  <si>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</si>
  <si>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</si>
  <si>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</si>
  <si>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</si>
  <si>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</si>
  <si>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</si>
  <si>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</si>
  <si>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</si>
  <si>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</si>
  <si>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</si>
  <si>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</si>
  <si>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</si>
  <si>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</si>
  <si>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</si>
  <si>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</si>
  <si>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</si>
  <si>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</si>
  <si>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</si>
  <si>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</si>
  <si>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</si>
  <si>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</si>
  <si>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</si>
  <si>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</si>
  <si>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</si>
  <si>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</si>
  <si>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</si>
  <si>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</si>
  <si>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</si>
  <si>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</si>
  <si>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</si>
  <si>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</si>
  <si>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</si>
  <si>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</si>
  <si>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</si>
  <si>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</si>
  <si>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</si>
  <si>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</si>
  <si>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</si>
  <si>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</si>
  <si>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</si>
  <si>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</si>
  <si>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</si>
  <si>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</si>
  <si>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</si>
  <si>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</si>
  <si>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</si>
  <si>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</si>
  <si>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</si>
  <si>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</si>
  <si>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</si>
  <si>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</si>
  <si>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</si>
  <si>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</si>
  <si>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</si>
  <si>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</si>
  <si>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</si>
  <si>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</si>
  <si>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</si>
  <si>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</si>
  <si>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</si>
  <si>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</si>
  <si>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</si>
  <si>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</si>
  <si>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</si>
  <si>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</si>
  <si>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</si>
  <si>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</si>
  <si>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</si>
  <si>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</si>
  <si>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</si>
  <si>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</si>
  <si>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</si>
  <si>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</si>
  <si>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</si>
  <si>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</si>
  <si>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</si>
  <si>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</si>
  <si>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</si>
  <si>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</si>
  <si>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</si>
  <si>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</si>
  <si>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</si>
  <si>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</si>
  <si>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</si>
  <si>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</si>
  <si>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</si>
  <si>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</si>
  <si>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</si>
  <si>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</si>
  <si>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</si>
  <si>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</si>
  <si>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</si>
  <si>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</si>
  <si>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</si>
  <si>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</si>
  <si>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</si>
  <si>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</si>
  <si>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</si>
  <si>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</si>
  <si>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</si>
  <si>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</si>
  <si>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</si>
  <si>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</si>
  <si>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</si>
  <si>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</si>
  <si>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</si>
  <si>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</si>
  <si>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</si>
  <si>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</si>
  <si>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</si>
  <si>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</si>
  <si>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</si>
  <si>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</si>
  <si>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</si>
  <si>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</si>
  <si>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</si>
  <si>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</si>
  <si>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</si>
  <si>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</si>
  <si>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</si>
  <si>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</si>
  <si>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</si>
  <si>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</si>
  <si>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</si>
  <si>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</si>
  <si>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</si>
  <si>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</si>
  <si>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</si>
  <si>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</si>
  <si>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</si>
  <si>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</si>
  <si>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</si>
  <si>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</si>
  <si>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</si>
  <si>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</si>
  <si>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</si>
  <si>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</si>
  <si>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</si>
  <si>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</si>
  <si>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</si>
  <si>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</si>
  <si>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</si>
  <si>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</si>
  <si>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</si>
  <si>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</si>
  <si>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</si>
  <si>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</si>
  <si>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</si>
  <si>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</si>
  <si>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</si>
  <si>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</si>
  <si>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</si>
  <si>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</si>
  <si>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</si>
  <si>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</si>
  <si>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</si>
  <si>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</si>
  <si>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</si>
  <si>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</si>
  <si>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</si>
  <si>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</si>
  <si>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</si>
  <si>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</si>
  <si>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</si>
  <si>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</si>
  <si>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</si>
  <si>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</si>
  <si>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</si>
  <si>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</si>
  <si>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</si>
  <si>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</si>
  <si>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</si>
  <si>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</si>
  <si>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</si>
  <si>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</si>
  <si>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</si>
  <si>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</si>
  <si>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</si>
  <si>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</si>
  <si>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</si>
  <si>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</si>
  <si>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</si>
  <si>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</si>
  <si>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</si>
  <si>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</si>
  <si>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</si>
  <si>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</si>
  <si>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</si>
  <si>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</si>
  <si>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</si>
  <si>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</si>
  <si>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</si>
  <si>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</si>
  <si>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</si>
  <si>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</si>
  <si>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</si>
  <si>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</si>
  <si>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</si>
  <si>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</si>
  <si>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</si>
  <si>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</si>
  <si>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</si>
  <si>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</si>
  <si>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</si>
  <si>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</si>
  <si>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</si>
  <si>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</si>
  <si>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</si>
  <si>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</si>
  <si>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</si>
  <si>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</si>
  <si>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</si>
  <si>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</si>
  <si>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</si>
  <si>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</si>
  <si>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</si>
  <si>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</si>
  <si>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</si>
  <si>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</si>
  <si>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</si>
  <si>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</si>
  <si>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</si>
  <si>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</si>
  <si>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</si>
  <si>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</si>
  <si>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</si>
  <si>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</si>
  <si>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</si>
  <si>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</si>
  <si>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</si>
  <si>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</si>
  <si>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</si>
  <si>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</si>
  <si>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</si>
  <si>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</si>
  <si>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</si>
  <si>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</si>
  <si>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</si>
  <si>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</si>
  <si>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</si>
  <si>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</si>
  <si>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</si>
  <si>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</si>
  <si>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</si>
  <si>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</si>
  <si>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</si>
  <si>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</si>
  <si>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</si>
  <si>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</si>
  <si>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</si>
  <si>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</si>
  <si>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</si>
  <si>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</si>
  <si>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</si>
  <si>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</si>
  <si>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</si>
  <si>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</si>
  <si>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</si>
  <si>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</si>
  <si>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</si>
  <si>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</si>
  <si>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</si>
  <si>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</si>
  <si>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</si>
  <si>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</si>
  <si>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</si>
  <si>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</si>
  <si>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</si>
  <si>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</si>
  <si>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</si>
  <si>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</si>
  <si>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</si>
  <si>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</si>
  <si>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</si>
  <si>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</si>
  <si>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</si>
  <si>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</si>
  <si>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</si>
  <si>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</si>
  <si>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</si>
  <si>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</si>
  <si>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</si>
  <si>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</si>
  <si>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</si>
  <si>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</si>
  <si>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</si>
  <si>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</si>
  <si>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</si>
  <si>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</si>
  <si>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</si>
  <si>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</si>
  <si>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</si>
  <si>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</si>
  <si>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</si>
  <si>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</si>
  <si>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</si>
  <si>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</si>
  <si>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</si>
  <si>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</si>
  <si>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</si>
  <si>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</si>
  <si>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</si>
  <si>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</si>
  <si>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</si>
  <si>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</si>
  <si>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</si>
  <si>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</si>
  <si>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</si>
  <si>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</si>
  <si>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</si>
  <si>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</si>
  <si>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</si>
  <si>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</si>
  <si>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</si>
  <si>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</si>
  <si>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</si>
  <si>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</si>
  <si>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</si>
  <si>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</si>
  <si>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</si>
  <si>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</si>
  <si>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</si>
  <si>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</si>
  <si>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</si>
  <si>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</si>
  <si>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</si>
  <si>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</si>
  <si>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</si>
  <si>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</si>
  <si>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</si>
  <si>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</si>
  <si>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</si>
  <si>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</si>
  <si>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</si>
  <si>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</si>
  <si>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</si>
  <si>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</si>
  <si>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</si>
  <si>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</si>
  <si>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</si>
  <si>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</si>
  <si>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</si>
  <si>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</si>
  <si>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</si>
  <si>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</si>
  <si>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</si>
  <si>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</si>
  <si>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</si>
  <si>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</si>
  <si>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</si>
  <si>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</si>
  <si>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</si>
  <si>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</si>
  <si>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</si>
  <si>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</si>
  <si>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</si>
  <si>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</si>
  <si>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</si>
  <si>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</si>
  <si>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</si>
  <si>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</si>
  <si>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</si>
  <si>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</si>
  <si>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</si>
  <si>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</si>
  <si>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</si>
  <si>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</si>
  <si>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</si>
  <si>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</si>
  <si>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</si>
  <si>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</si>
  <si>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</si>
  <si>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</si>
  <si>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</si>
  <si>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</si>
  <si>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</si>
  <si>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</si>
  <si>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</si>
  <si>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</si>
  <si>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</si>
  <si>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</si>
  <si>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</si>
  <si>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</si>
  <si>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</si>
  <si>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</si>
  <si>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</si>
  <si>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</si>
  <si>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</si>
  <si>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</si>
  <si>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</si>
  <si>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</si>
  <si>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</si>
  <si>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</si>
  <si>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</si>
  <si>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</si>
  <si>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</si>
  <si>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</si>
  <si>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</si>
  <si>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</si>
  <si>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</si>
  <si>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</si>
  <si>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</si>
  <si>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</si>
  <si>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</si>
  <si>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</si>
  <si>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</si>
  <si>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</si>
  <si>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</si>
  <si>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</si>
  <si>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</si>
  <si>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</si>
  <si>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</si>
  <si>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</si>
  <si>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</si>
  <si>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</si>
  <si>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</si>
  <si>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</si>
  <si>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</si>
  <si>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</si>
  <si>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</si>
  <si>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</si>
  <si>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</si>
  <si>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</si>
  <si>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</si>
  <si>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</si>
  <si>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</si>
  <si>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</si>
  <si>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</si>
  <si>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</si>
  <si>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</si>
  <si>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</si>
  <si>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</si>
  <si>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</si>
  <si>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</si>
  <si>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</si>
  <si>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</si>
  <si>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</si>
  <si>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</si>
  <si>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</si>
  <si>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</si>
  <si>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</si>
  <si>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</si>
  <si>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</si>
  <si>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</si>
  <si>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</si>
  <si>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</si>
  <si>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</si>
  <si>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</si>
  <si>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</si>
  <si>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</si>
  <si>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</si>
  <si>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</si>
  <si>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</si>
  <si>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</si>
  <si>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</si>
  <si>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</si>
  <si>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</si>
  <si>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</si>
  <si>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</si>
  <si>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</si>
  <si>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</si>
  <si>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</si>
  <si>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</si>
  <si>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</si>
  <si>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</si>
  <si>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</si>
  <si>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</si>
  <si>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</si>
  <si>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</si>
  <si>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</si>
  <si>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</si>
  <si>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</si>
  <si>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</si>
  <si>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</si>
  <si>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</si>
  <si>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</si>
  <si>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</si>
  <si>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</si>
  <si>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</si>
  <si>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</si>
  <si>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</si>
  <si>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</si>
  <si>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</si>
  <si>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</si>
  <si>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</si>
  <si>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</si>
  <si>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</si>
  <si>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</si>
  <si>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</si>
  <si>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</si>
  <si>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</si>
  <si>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</si>
  <si>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</si>
  <si>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</si>
  <si>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</si>
  <si>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</si>
  <si>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</si>
  <si>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</si>
  <si>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</si>
  <si>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</si>
  <si>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</si>
  <si>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</si>
  <si>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</si>
  <si>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</si>
  <si>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</si>
  <si>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</si>
  <si>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</si>
  <si>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</si>
  <si>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</si>
  <si>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</si>
  <si>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</si>
  <si>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</si>
  <si>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</si>
  <si>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</si>
  <si>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</si>
  <si>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</si>
  <si>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</si>
  <si>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</si>
  <si>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</si>
  <si>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</si>
  <si>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</si>
  <si>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</si>
  <si>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</si>
  <si>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</si>
  <si>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</si>
  <si>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</si>
  <si>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</si>
  <si>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</si>
  <si>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</si>
  <si>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</si>
  <si>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</si>
  <si>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</si>
  <si>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</si>
  <si>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</si>
  <si>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</si>
  <si>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</si>
  <si>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</si>
  <si>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</si>
  <si>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</si>
  <si>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</si>
  <si>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</si>
  <si>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</si>
  <si>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</si>
  <si>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</si>
  <si>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</si>
  <si>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</si>
  <si>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</si>
  <si>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</si>
  <si>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</si>
  <si>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</si>
  <si>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</si>
  <si>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</si>
  <si>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</si>
  <si>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</si>
  <si>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</si>
  <si>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</si>
  <si>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</si>
  <si>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</si>
  <si>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</si>
  <si>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</si>
  <si>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</si>
  <si>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</si>
  <si>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</si>
  <si>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</si>
  <si>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</si>
  <si>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</si>
  <si>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</si>
  <si>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</si>
  <si>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</si>
  <si>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</si>
  <si>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</si>
  <si>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</si>
  <si>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</si>
  <si>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</si>
  <si>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</si>
  <si>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</si>
  <si>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</si>
  <si>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</si>
  <si>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</si>
  <si>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</si>
  <si>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</si>
  <si>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</si>
  <si>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</si>
  <si>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</si>
  <si>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</si>
  <si>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</si>
  <si>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</si>
  <si>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</si>
  <si>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</si>
  <si>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</si>
  <si>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</si>
  <si>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</si>
  <si>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</si>
  <si>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</si>
  <si>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</si>
  <si>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</si>
  <si>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</si>
  <si>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</si>
  <si>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</si>
  <si>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</si>
  <si>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</si>
  <si>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</si>
  <si>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</si>
  <si>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</si>
  <si>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</si>
  <si>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</si>
  <si>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</si>
  <si>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</si>
  <si>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</si>
  <si>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</si>
  <si>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</si>
  <si>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</si>
  <si>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</si>
  <si>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</si>
  <si>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</si>
  <si>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</si>
  <si>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</si>
  <si>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</si>
  <si>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</si>
  <si>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</si>
  <si>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</si>
  <si>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</si>
  <si>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</si>
  <si>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</si>
  <si>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</si>
  <si>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</si>
  <si>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</si>
  <si>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</si>
  <si>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</si>
  <si>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</si>
  <si>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</si>
  <si>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</si>
  <si>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</si>
  <si>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</si>
  <si>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</si>
  <si>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</si>
  <si>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</si>
  <si>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</si>
  <si>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</si>
  <si>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</si>
  <si>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</si>
  <si>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</si>
  <si>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</si>
  <si>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</si>
  <si>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</si>
  <si>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</si>
  <si>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</si>
  <si>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</si>
  <si>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</si>
  <si>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</si>
  <si>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</si>
  <si>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</si>
  <si>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</si>
  <si>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</si>
  <si>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</si>
  <si>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</si>
  <si>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</si>
  <si>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</si>
  <si>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</si>
  <si>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</si>
  <si>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</si>
  <si>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</si>
  <si>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</si>
  <si>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</si>
  <si>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</si>
  <si>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</si>
  <si>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</si>
  <si>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</si>
  <si>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</si>
  <si>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</si>
  <si>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</si>
  <si>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</si>
  <si>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</si>
  <si>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</si>
  <si>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</si>
  <si>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</si>
  <si>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</si>
  <si>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</si>
  <si>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</si>
  <si>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</si>
  <si>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</si>
  <si>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</si>
  <si>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</si>
  <si>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</si>
  <si>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</si>
  <si>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</si>
  <si>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</si>
  <si>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</si>
  <si>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</si>
  <si>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</si>
  <si>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</si>
  <si>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</si>
  <si>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</si>
  <si>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</si>
  <si>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</si>
  <si>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</si>
  <si>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</si>
  <si>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</si>
  <si>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</si>
  <si>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</si>
  <si>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</si>
  <si>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</si>
  <si>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</si>
  <si>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</si>
  <si>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</si>
  <si>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</si>
  <si>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</si>
  <si>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</si>
  <si>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</si>
  <si>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</si>
  <si>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</si>
  <si>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</si>
  <si>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</si>
  <si>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</si>
  <si>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</si>
  <si>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</si>
  <si>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</si>
  <si>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</si>
  <si>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</si>
  <si>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</si>
  <si>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</si>
  <si>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</si>
  <si>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</si>
  <si>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</si>
  <si>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</si>
  <si>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</si>
  <si>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</si>
  <si>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</si>
  <si>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</si>
  <si>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</si>
  <si>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</si>
  <si>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</si>
  <si>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</si>
  <si>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</si>
  <si>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</si>
  <si>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</si>
  <si>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</si>
  <si>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</si>
  <si>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</si>
  <si>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</si>
  <si>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</si>
  <si>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</si>
  <si>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</si>
  <si>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</si>
  <si>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</si>
  <si>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</si>
  <si>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</si>
  <si>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</si>
  <si>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</si>
  <si>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</si>
  <si>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</si>
  <si>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</si>
  <si>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</si>
  <si>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</si>
  <si>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</si>
  <si>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</si>
  <si>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</si>
  <si>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</si>
  <si>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</si>
  <si>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</si>
  <si>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</si>
  <si>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</si>
  <si>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</si>
  <si>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</si>
  <si>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</si>
  <si>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</si>
  <si>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</si>
  <si>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</si>
  <si>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</si>
  <si>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</si>
  <si>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</si>
  <si>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</si>
  <si>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</si>
  <si>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</si>
  <si>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</si>
  <si>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</si>
  <si>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</si>
  <si>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</si>
  <si>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</si>
  <si>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</si>
  <si>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</si>
  <si>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</si>
  <si>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</si>
  <si>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</si>
  <si>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</si>
  <si>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</si>
  <si>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</si>
  <si>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</si>
  <si>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</si>
  <si>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</si>
  <si>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</si>
  <si>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</si>
  <si>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</si>
  <si>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</si>
  <si>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</si>
  <si>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</si>
  <si>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</si>
  <si>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</si>
  <si>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</si>
  <si>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</si>
  <si>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</si>
  <si>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</si>
  <si>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</si>
  <si>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</si>
  <si>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</si>
  <si>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</si>
  <si>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</si>
  <si>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</si>
  <si>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</si>
  <si>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</si>
  <si>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</si>
  <si>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</si>
  <si>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</si>
  <si>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</si>
  <si>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</si>
  <si>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</si>
  <si>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</si>
  <si>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</si>
  <si>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</si>
  <si>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</si>
  <si>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</si>
  <si>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</si>
  <si>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</si>
  <si>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</si>
  <si>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</si>
  <si>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</si>
  <si>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</si>
  <si>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</si>
  <si>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</si>
  <si>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</si>
  <si>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</si>
  <si>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</si>
  <si>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</si>
  <si>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</si>
  <si>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</si>
  <si>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</si>
  <si>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</si>
  <si>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</si>
  <si>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</si>
  <si>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</si>
  <si>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</si>
  <si>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</si>
  <si>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</si>
  <si>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</si>
  <si>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</si>
  <si>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</si>
  <si>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</si>
  <si>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</si>
  <si>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</si>
  <si>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</si>
  <si>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</si>
  <si>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</si>
  <si>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</si>
  <si>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</si>
  <si>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</si>
  <si>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</si>
  <si>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</si>
  <si>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</si>
  <si>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</si>
  <si>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</si>
  <si>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</si>
  <si>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</si>
  <si>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</si>
  <si>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</si>
  <si>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</si>
  <si>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</si>
  <si>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</si>
  <si>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</si>
  <si>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</si>
  <si>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</si>
  <si>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</si>
  <si>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</si>
  <si>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</si>
  <si>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</si>
  <si>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</si>
  <si>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</si>
  <si>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</si>
  <si>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</si>
  <si>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</si>
  <si>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</si>
  <si>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</si>
  <si>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</si>
  <si>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</si>
  <si>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</si>
  <si>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</si>
  <si>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</si>
  <si>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</si>
  <si>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</si>
  <si>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</si>
  <si>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</si>
  <si>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</si>
  <si>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</si>
  <si>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</si>
  <si>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</si>
  <si>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</si>
  <si>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</si>
  <si>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</si>
  <si>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</si>
  <si>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</si>
  <si>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</si>
  <si>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</si>
  <si>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</si>
  <si>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</si>
  <si>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</si>
  <si>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</si>
  <si>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</si>
  <si>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</si>
  <si>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</si>
  <si>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</si>
  <si>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</si>
  <si>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</si>
  <si>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</si>
  <si>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</si>
  <si>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</si>
  <si>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</si>
  <si>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</si>
  <si>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</si>
  <si>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</si>
  <si>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</si>
  <si>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</si>
  <si>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</si>
  <si>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</si>
  <si>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</si>
  <si>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</si>
  <si>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</si>
  <si>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</si>
  <si>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</si>
  <si>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</si>
  <si>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</si>
  <si>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</si>
  <si>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</si>
  <si>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</si>
  <si>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</si>
  <si>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</si>
  <si>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</si>
  <si>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</si>
  <si>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</si>
  <si>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</si>
  <si>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</si>
  <si>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</si>
  <si>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</si>
  <si>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</si>
  <si>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</si>
  <si>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</si>
  <si>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</si>
  <si>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</si>
  <si>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</si>
  <si>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</si>
  <si>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</si>
  <si>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</si>
  <si>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</si>
  <si>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</si>
  <si>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</si>
  <si>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</si>
  <si>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</si>
  <si>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</si>
  <si>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</si>
  <si>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</si>
  <si>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</si>
  <si>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</si>
  <si>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</si>
  <si>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</si>
  <si>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</si>
  <si>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</si>
  <si>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</si>
  <si>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</si>
  <si>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</si>
  <si>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</si>
  <si>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</si>
  <si>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</si>
  <si>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</si>
  <si>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</si>
  <si>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</si>
  <si>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</si>
  <si>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</si>
  <si>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</si>
  <si>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</si>
  <si>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</si>
  <si>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</si>
  <si>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</si>
  <si>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</si>
  <si>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</si>
  <si>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</si>
  <si>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</si>
  <si>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</si>
  <si>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</si>
  <si>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</si>
  <si>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</si>
  <si>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</si>
  <si>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</si>
  <si>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</si>
  <si>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</si>
  <si>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</si>
  <si>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</si>
  <si>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</si>
  <si>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</si>
  <si>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</si>
  <si>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</si>
  <si>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</si>
  <si>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</si>
  <si>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</si>
  <si>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</si>
  <si>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</si>
  <si>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</si>
  <si>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</si>
  <si>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</si>
  <si>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</si>
  <si>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</si>
  <si>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</si>
  <si>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</si>
  <si>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</si>
  <si>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</si>
  <si>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</si>
  <si>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</si>
  <si>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</si>
  <si>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</si>
  <si>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</si>
  <si>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</si>
  <si>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</si>
  <si>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</si>
  <si>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</si>
  <si>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</si>
  <si>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</si>
  <si>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</si>
  <si>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</si>
  <si>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</si>
  <si>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</si>
  <si>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</si>
  <si>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</si>
  <si>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</si>
  <si>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</si>
  <si>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</si>
  <si>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</si>
  <si>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</si>
  <si>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</si>
  <si>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</si>
  <si>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</si>
  <si>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</si>
  <si>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</si>
  <si>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</si>
  <si>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</si>
  <si>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</si>
  <si>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</si>
  <si>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</si>
  <si>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</si>
  <si>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</si>
  <si>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</si>
  <si>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</si>
  <si>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</si>
  <si>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</si>
  <si>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</si>
  <si>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</si>
  <si>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</si>
  <si>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</si>
  <si>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</si>
  <si>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</si>
  <si>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</si>
  <si>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</si>
  <si>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</si>
  <si>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</si>
  <si>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</si>
  <si>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</si>
  <si>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</si>
  <si>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</si>
  <si>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</si>
  <si>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</si>
  <si>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</si>
  <si>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</si>
  <si>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</si>
  <si>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</si>
  <si>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</si>
  <si>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</si>
  <si>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</si>
  <si>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</si>
  <si>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</si>
  <si>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</si>
  <si>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</si>
  <si>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</si>
  <si>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</si>
  <si>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</si>
  <si>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</si>
  <si>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</si>
  <si>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</si>
  <si>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</si>
  <si>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</si>
  <si>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</si>
  <si>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</si>
  <si>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</si>
  <si>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</si>
  <si>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</si>
  <si>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</si>
  <si>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</si>
  <si>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</si>
  <si>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</si>
  <si>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</si>
  <si>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</si>
  <si>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</si>
  <si>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</si>
  <si>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</si>
  <si>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</si>
  <si>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</si>
  <si>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</si>
  <si>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</si>
  <si>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</si>
  <si>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</si>
  <si>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</si>
  <si>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</si>
  <si>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</si>
  <si>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</si>
  <si>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</si>
  <si>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</si>
  <si>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</si>
  <si>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</si>
  <si>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</si>
  <si>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</si>
  <si>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</si>
  <si>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</si>
  <si>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</si>
  <si>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</si>
  <si>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</si>
  <si>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</si>
  <si>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</si>
  <si>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</si>
  <si>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</si>
  <si>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</si>
  <si>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</si>
  <si>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</si>
  <si>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</si>
  <si>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</si>
  <si>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</si>
  <si>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</si>
  <si>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</si>
  <si>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</si>
  <si>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</si>
  <si>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</si>
  <si>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</si>
  <si>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</si>
  <si>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</si>
  <si>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</si>
  <si>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</si>
  <si>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</si>
  <si>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</si>
  <si>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</si>
  <si>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</si>
  <si>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</si>
  <si>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</si>
  <si>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</si>
  <si>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</si>
  <si>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</si>
  <si>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</si>
  <si>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</si>
  <si>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</si>
  <si>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</si>
  <si>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</si>
  <si>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</si>
  <si>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</si>
  <si>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</si>
  <si>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</si>
  <si>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</si>
  <si>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</si>
  <si>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</si>
  <si>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</si>
  <si>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</si>
  <si>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</si>
  <si>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</si>
  <si>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</si>
  <si>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</si>
  <si>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</si>
  <si>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</si>
  <si>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</si>
  <si>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</si>
  <si>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</si>
  <si>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</si>
  <si>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</si>
  <si>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</si>
  <si>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</si>
  <si>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</si>
  <si>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</si>
  <si>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</si>
  <si>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</si>
  <si>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</si>
  <si>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</si>
  <si>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</si>
  <si>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</si>
  <si>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</si>
  <si>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</si>
  <si>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</si>
  <si>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</si>
  <si>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</si>
  <si>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</si>
  <si>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</si>
  <si>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</si>
  <si>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</si>
  <si>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</si>
  <si>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</si>
  <si>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</si>
  <si>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</si>
  <si>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</si>
  <si>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</si>
  <si>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</si>
  <si>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</si>
  <si>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</si>
  <si>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</si>
  <si>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</si>
  <si>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</si>
  <si>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</si>
  <si>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</si>
  <si>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</si>
  <si>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</si>
  <si>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</si>
  <si>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</si>
  <si>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</si>
  <si>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</si>
  <si>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</si>
  <si>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</si>
  <si>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</si>
  <si>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</si>
  <si>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</si>
  <si>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</si>
  <si>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</si>
  <si>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</si>
  <si>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</si>
  <si>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</si>
  <si>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</si>
  <si>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</si>
  <si>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</si>
  <si>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</si>
  <si>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</si>
  <si>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</si>
  <si>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</si>
  <si>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</si>
  <si>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</si>
  <si>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</si>
  <si>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</si>
  <si>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</si>
  <si>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</si>
  <si>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</si>
  <si>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</si>
  <si>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</si>
  <si>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</si>
  <si>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</si>
  <si>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</si>
  <si>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</si>
  <si>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</si>
  <si>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</si>
  <si>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</si>
  <si>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</si>
  <si>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</si>
  <si>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</si>
  <si>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</si>
  <si>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</si>
  <si>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</si>
  <si>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</si>
  <si>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</si>
  <si>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</si>
  <si>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</si>
  <si>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</si>
  <si>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</si>
  <si>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</si>
  <si>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</si>
  <si>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</si>
  <si>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</si>
  <si>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</si>
  <si>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</si>
  <si>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</si>
  <si>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</si>
  <si>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</si>
  <si>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</si>
  <si>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</si>
  <si>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</si>
  <si>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</si>
  <si>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</si>
  <si>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</si>
  <si>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</si>
  <si>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</si>
  <si>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</si>
  <si>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</si>
  <si>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</si>
  <si>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</si>
  <si>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</si>
  <si>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</si>
  <si>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</si>
  <si>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</si>
  <si>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</si>
  <si>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</si>
  <si>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</si>
  <si>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</si>
  <si>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</si>
  <si>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</si>
  <si>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</si>
  <si>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</si>
  <si>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</si>
  <si>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</si>
  <si>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</si>
  <si>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</si>
  <si>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</si>
  <si>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</si>
  <si>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</si>
  <si>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</si>
  <si>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</si>
  <si>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</si>
  <si>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</si>
  <si>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</si>
  <si>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</si>
  <si>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</si>
  <si>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</si>
  <si>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</si>
  <si>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</si>
  <si>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</si>
  <si>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</si>
  <si>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</si>
  <si>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</si>
  <si>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</si>
  <si>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</si>
  <si>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</si>
  <si>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</si>
  <si>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</si>
  <si>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</si>
  <si>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</si>
  <si>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</si>
  <si>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</si>
  <si>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</si>
  <si>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</si>
  <si>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</si>
  <si>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</si>
  <si>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</si>
  <si>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</si>
  <si>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</si>
  <si>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</si>
  <si>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</si>
  <si>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</si>
  <si>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</si>
  <si>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</si>
  <si>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</si>
  <si>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</si>
  <si>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</si>
  <si>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</si>
  <si>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</si>
  <si>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</si>
  <si>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</si>
  <si>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</si>
  <si>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</si>
  <si>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</si>
  <si>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</si>
  <si>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</si>
  <si>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</si>
  <si>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</si>
  <si>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</si>
  <si>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</si>
  <si>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</si>
  <si>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</si>
  <si>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</si>
  <si>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</si>
  <si>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</si>
  <si>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</si>
  <si>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</si>
  <si>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</si>
  <si>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</si>
  <si>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</si>
  <si>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</si>
  <si>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</si>
  <si>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</si>
  <si>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</si>
  <si>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</si>
  <si>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</si>
  <si>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</si>
  <si>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</si>
  <si>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</si>
  <si>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</si>
  <si>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</si>
  <si>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</si>
  <si>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</si>
  <si>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</si>
  <si>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</si>
  <si>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</si>
  <si>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</si>
  <si>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</si>
  <si>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</si>
  <si>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</si>
  <si>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</si>
  <si>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</si>
  <si>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</si>
  <si>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</si>
  <si>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</si>
  <si>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</si>
  <si>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</si>
  <si>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</si>
  <si>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</si>
  <si>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</si>
  <si>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</si>
  <si>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</si>
  <si>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</si>
  <si>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</si>
  <si>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</si>
  <si>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</si>
  <si>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</si>
  <si>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</si>
  <si>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</si>
  <si>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</si>
  <si>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</si>
  <si>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</si>
  <si>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</si>
  <si>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</si>
  <si>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</si>
  <si>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</si>
  <si>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</si>
  <si>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</si>
  <si>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</si>
  <si>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</si>
  <si>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</si>
  <si>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</si>
  <si>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</si>
  <si>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</si>
  <si>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</si>
  <si>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</si>
  <si>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</si>
  <si>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</si>
  <si>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</si>
  <si>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</si>
  <si>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</si>
  <si>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</si>
  <si>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</si>
  <si>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</si>
  <si>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</si>
  <si>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</si>
  <si>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</si>
  <si>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</si>
  <si>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</si>
  <si>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</si>
  <si>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</si>
  <si>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</si>
  <si>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</si>
  <si>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</si>
  <si>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</si>
  <si>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</si>
  <si>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</si>
  <si>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</si>
  <si>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</si>
  <si>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</si>
  <si>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</si>
  <si>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</si>
  <si>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</si>
  <si>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</si>
  <si>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</si>
  <si>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</si>
  <si>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</si>
  <si>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</si>
  <si>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</si>
  <si>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</si>
  <si>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</si>
  <si>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</si>
  <si>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</si>
  <si>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</si>
  <si>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</si>
  <si>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</si>
  <si>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</si>
  <si>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</si>
  <si>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</si>
  <si>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</si>
  <si>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</si>
  <si>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</si>
  <si>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</si>
  <si>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</si>
  <si>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</si>
  <si>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</si>
  <si>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</si>
  <si>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</si>
  <si>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</si>
  <si>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</si>
  <si>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</si>
  <si>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</si>
  <si>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</si>
  <si>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</si>
  <si>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</si>
  <si>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</si>
  <si>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</si>
  <si>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</si>
  <si>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</si>
  <si>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</si>
  <si>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</si>
  <si>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</si>
  <si>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</si>
  <si>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</si>
  <si>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</si>
  <si>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</si>
  <si>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</si>
  <si>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</si>
  <si>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</si>
  <si>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</si>
  <si>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</si>
  <si>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</si>
  <si>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</si>
  <si>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</si>
  <si>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</si>
  <si>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</si>
  <si>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</si>
  <si>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</si>
  <si>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</si>
  <si>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</si>
  <si>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</si>
  <si>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</si>
  <si>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</si>
  <si>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</si>
  <si>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</si>
  <si>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</si>
  <si>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</si>
  <si>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</si>
  <si>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</si>
  <si>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</si>
  <si>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</si>
  <si>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</si>
  <si>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</si>
  <si>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</si>
  <si>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</si>
  <si>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</si>
  <si>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</si>
  <si>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</si>
  <si>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</si>
  <si>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</si>
  <si>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</si>
  <si>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</si>
  <si>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</si>
  <si>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</si>
  <si>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</si>
  <si>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</si>
  <si>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</si>
  <si>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</si>
  <si>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</si>
  <si>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</si>
  <si>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</si>
  <si>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</si>
  <si>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</si>
  <si>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</si>
  <si>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</si>
  <si>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</si>
  <si>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</si>
  <si>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</si>
  <si>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</si>
  <si>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</si>
  <si>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</si>
  <si>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</si>
  <si>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</si>
  <si>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</si>
  <si>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</si>
  <si>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</si>
  <si>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</si>
  <si>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</si>
  <si>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</si>
  <si>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</si>
  <si>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</si>
  <si>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</si>
  <si>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</si>
  <si>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</si>
  <si>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</si>
  <si>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</si>
  <si>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</si>
  <si>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</si>
  <si>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</si>
  <si>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</si>
  <si>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</si>
  <si>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</si>
  <si>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</si>
  <si>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</si>
  <si>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</si>
  <si>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</si>
  <si>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</si>
  <si>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</si>
  <si>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</si>
  <si>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</si>
  <si>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</si>
  <si>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</si>
  <si>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</si>
  <si>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</si>
  <si>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</si>
  <si>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</si>
  <si>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</si>
  <si>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</si>
  <si>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</si>
  <si>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</si>
  <si>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</si>
  <si>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</si>
  <si>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</si>
  <si>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</si>
  <si>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</si>
  <si>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</si>
  <si>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</si>
  <si>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</si>
  <si>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</si>
  <si>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</si>
  <si>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</si>
  <si>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</si>
  <si>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</si>
  <si>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</si>
  <si>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</si>
  <si>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</si>
  <si>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</si>
  <si>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</si>
  <si>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</si>
  <si>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</si>
  <si>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</si>
  <si>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</si>
  <si>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</si>
  <si>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</si>
  <si>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</si>
  <si>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</si>
  <si>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</si>
  <si>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</si>
  <si>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</si>
  <si>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</si>
  <si>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</si>
  <si>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</si>
  <si>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</si>
  <si>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</si>
  <si>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</si>
  <si>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</si>
  <si>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</si>
  <si>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</si>
  <si>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</si>
  <si>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</si>
  <si>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</si>
  <si>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</si>
  <si>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</si>
  <si>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</si>
  <si>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</si>
  <si>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</si>
  <si>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</si>
  <si>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</si>
  <si>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</si>
  <si>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</si>
  <si>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</si>
  <si>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</si>
  <si>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</si>
  <si>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</si>
  <si>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</si>
  <si>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</si>
  <si>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</si>
  <si>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</si>
  <si>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</si>
  <si>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</si>
  <si>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</si>
  <si>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</si>
  <si>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</si>
  <si>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</si>
  <si>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</si>
  <si>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</si>
  <si>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</si>
  <si>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</si>
  <si>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</si>
  <si>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</si>
  <si>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</si>
  <si>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</si>
  <si>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</si>
  <si>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</si>
  <si>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</si>
  <si>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</si>
  <si>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</si>
  <si>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</si>
  <si>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</si>
  <si>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</si>
  <si>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</si>
  <si>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</si>
  <si>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</si>
  <si>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</si>
  <si>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</si>
  <si>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</si>
  <si>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</si>
  <si>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</si>
  <si>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</si>
  <si>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</si>
  <si>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</si>
  <si>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</si>
  <si>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</si>
  <si>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</si>
  <si>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</si>
  <si>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</si>
  <si>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</si>
  <si>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</si>
  <si>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</si>
  <si>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</si>
  <si>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</si>
  <si>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</si>
  <si>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</si>
  <si>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</si>
  <si>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</si>
  <si>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</si>
  <si>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</si>
  <si>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</si>
  <si>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</si>
  <si>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</si>
  <si>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</si>
  <si>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</si>
  <si>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</si>
  <si>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</si>
  <si>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</si>
  <si>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</si>
  <si>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</si>
  <si>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</si>
  <si>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</si>
  <si>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</si>
  <si>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</si>
  <si>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</si>
  <si>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</si>
  <si>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</si>
  <si>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</si>
  <si>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</si>
  <si>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</si>
  <si>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</si>
  <si>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</si>
  <si>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</si>
  <si>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</si>
  <si>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</si>
  <si>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</si>
  <si>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</si>
  <si>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</si>
  <si>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</si>
  <si>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</si>
  <si>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</si>
  <si>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</si>
  <si>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</si>
  <si>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</si>
  <si>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</si>
  <si>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</si>
  <si>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</si>
  <si>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</si>
  <si>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</si>
  <si>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</si>
  <si>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</si>
  <si>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</si>
  <si>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</si>
  <si>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</si>
  <si>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</si>
  <si>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</si>
  <si>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</si>
  <si>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</si>
  <si>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</si>
  <si>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</si>
  <si>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</si>
  <si>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</si>
  <si>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</si>
  <si>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</si>
  <si>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</si>
  <si>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</si>
  <si>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</si>
  <si>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</si>
  <si>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</si>
  <si>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</si>
  <si>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</si>
  <si>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</si>
  <si>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</si>
  <si>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</si>
  <si>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</si>
  <si>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</si>
  <si>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</si>
  <si>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</si>
  <si>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</si>
  <si>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</si>
  <si>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</si>
  <si>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</si>
  <si>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</si>
  <si>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</si>
  <si>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</si>
  <si>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</si>
  <si>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</si>
  <si>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</si>
  <si>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</si>
  <si>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</si>
  <si>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</si>
  <si>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</si>
  <si>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</si>
  <si>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</si>
  <si>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</si>
  <si>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</si>
  <si>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</si>
  <si>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</si>
  <si>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</si>
  <si>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</si>
  <si>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</si>
  <si>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</si>
  <si>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</si>
  <si>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</si>
  <si>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</si>
  <si>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</si>
  <si>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</si>
  <si>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</si>
  <si>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</si>
  <si>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</si>
  <si>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</si>
  <si>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</si>
  <si>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</si>
  <si>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</si>
  <si>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</si>
  <si>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</si>
  <si>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</si>
  <si>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</si>
  <si>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</si>
  <si>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</si>
  <si>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</si>
  <si>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</si>
  <si>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</si>
  <si>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</si>
  <si>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</si>
  <si>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</si>
  <si>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</si>
  <si>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</si>
  <si>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</si>
  <si>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</si>
  <si>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</si>
  <si>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</si>
  <si>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</si>
  <si>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</si>
  <si>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</si>
  <si>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</si>
  <si>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</si>
  <si>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</si>
  <si>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</si>
  <si>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</si>
  <si>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</si>
  <si>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</si>
  <si>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</si>
  <si>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</si>
  <si>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</si>
  <si>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</si>
  <si>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</si>
  <si>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</si>
  <si>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</si>
  <si>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</si>
  <si>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</si>
  <si>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</si>
  <si>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</si>
  <si>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</si>
  <si>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</si>
  <si>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</si>
  <si>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</si>
  <si>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</si>
  <si>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</si>
  <si>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</si>
  <si>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</si>
  <si>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</si>
  <si>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</si>
  <si>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</si>
  <si>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</si>
  <si>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</si>
  <si>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</si>
  <si>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</si>
  <si>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</si>
  <si>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</si>
  <si>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</si>
  <si>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</si>
  <si>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</si>
  <si>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</si>
  <si>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</si>
  <si>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</si>
  <si>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</si>
  <si>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</si>
  <si>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</si>
  <si>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</si>
  <si>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</si>
  <si>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</si>
  <si>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</si>
  <si>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</si>
  <si>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</si>
  <si>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</si>
  <si>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</si>
  <si>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</si>
  <si>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</si>
  <si>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</si>
  <si>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</si>
  <si>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</si>
  <si>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</si>
  <si>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</si>
  <si>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</si>
  <si>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</si>
  <si>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</si>
  <si>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</si>
  <si>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</si>
  <si>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</si>
  <si>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</si>
  <si>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</si>
  <si>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</si>
  <si>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</si>
  <si>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</si>
  <si>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</si>
  <si>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</si>
  <si>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</si>
  <si>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</si>
  <si>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</si>
  <si>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</si>
  <si>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</si>
  <si>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</si>
  <si>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</si>
  <si>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</si>
  <si>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</si>
  <si>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</si>
  <si>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</si>
  <si>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</si>
  <si>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</si>
  <si>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</si>
  <si>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</si>
  <si>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</si>
  <si>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</si>
  <si>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</si>
  <si>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</si>
  <si>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</si>
  <si>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</si>
  <si>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</si>
  <si>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</si>
  <si>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</si>
  <si>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</si>
  <si>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</si>
  <si>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</si>
  <si>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</si>
  <si>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</si>
  <si>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</si>
  <si>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</si>
  <si>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</si>
  <si>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</si>
  <si>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</si>
  <si>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</si>
  <si>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</si>
  <si>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</si>
  <si>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</si>
  <si>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</si>
  <si>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</si>
  <si>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</si>
  <si>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</si>
  <si>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</si>
  <si>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</si>
  <si>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</si>
  <si>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</si>
  <si>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</si>
  <si>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</si>
  <si>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</si>
  <si>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</si>
  <si>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</si>
  <si>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</si>
  <si>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</si>
  <si>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</si>
  <si>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</si>
  <si>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</si>
  <si>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</si>
  <si>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</si>
  <si>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</si>
  <si>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</si>
  <si>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</si>
  <si>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</si>
  <si>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</si>
  <si>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</si>
  <si>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</si>
  <si>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</si>
  <si>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</si>
  <si>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</si>
  <si>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</si>
  <si>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</si>
  <si>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</si>
  <si>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</si>
  <si>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</si>
  <si>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</si>
  <si>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</si>
  <si>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</si>
  <si>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</si>
  <si>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</si>
  <si>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</si>
  <si>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</si>
  <si>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</si>
  <si>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</si>
  <si>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</si>
  <si>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</si>
  <si>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</si>
  <si>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</si>
  <si>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</si>
  <si>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</si>
  <si>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</si>
  <si>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</si>
  <si>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</si>
  <si>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</si>
  <si>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</si>
  <si>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</si>
  <si>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</si>
  <si>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</si>
  <si>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</si>
  <si>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</si>
  <si>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</si>
  <si>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</si>
  <si>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</si>
  <si>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</si>
  <si>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</si>
  <si>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</si>
  <si>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</si>
  <si>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</si>
  <si>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</si>
  <si>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</si>
  <si>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</si>
  <si>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</si>
  <si>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</si>
  <si>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</si>
  <si>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</si>
  <si>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</si>
  <si>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</si>
  <si>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</si>
  <si>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</si>
  <si>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</si>
  <si>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</si>
  <si>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</si>
  <si>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</si>
  <si>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</si>
  <si>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</si>
  <si>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</si>
  <si>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</si>
  <si>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</si>
  <si>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</si>
  <si>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</si>
  <si>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</si>
  <si>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</si>
  <si>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</si>
  <si>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</si>
  <si>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</si>
  <si>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</si>
  <si>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</si>
  <si>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</si>
  <si>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</si>
  <si>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</si>
  <si>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</si>
  <si>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</si>
  <si>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</si>
  <si>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</si>
  <si>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</si>
  <si>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</si>
  <si>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</si>
  <si>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</si>
  <si>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</si>
  <si>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</si>
  <si>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</si>
  <si>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</si>
  <si>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</si>
  <si>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</si>
  <si>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</si>
  <si>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</si>
  <si>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</si>
  <si>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</si>
  <si>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</si>
  <si>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</si>
  <si>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</si>
  <si>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</si>
  <si>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</si>
  <si>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</si>
  <si>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</si>
  <si>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</si>
  <si>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</si>
  <si>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</si>
  <si>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</si>
  <si>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</si>
  <si>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</si>
  <si>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</si>
  <si>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</si>
  <si>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</si>
  <si>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</si>
  <si>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</si>
  <si>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</si>
  <si>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</si>
  <si>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</si>
  <si>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</si>
  <si>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</si>
  <si>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</si>
  <si>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</si>
  <si>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</si>
  <si>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</si>
  <si>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</si>
  <si>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</si>
  <si>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</si>
  <si>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</si>
  <si>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</si>
  <si>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</si>
  <si>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</si>
  <si>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</si>
  <si>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</si>
  <si>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</si>
  <si>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</si>
  <si>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</si>
  <si>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</si>
  <si>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</si>
  <si>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</si>
  <si>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</si>
  <si>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</si>
  <si>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</si>
  <si>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</si>
  <si>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</si>
  <si>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</si>
  <si>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</si>
  <si>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</si>
  <si>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</si>
  <si>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</si>
  <si>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</si>
  <si>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</si>
  <si>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</si>
  <si>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</si>
  <si>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</si>
  <si>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</si>
  <si>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</si>
  <si>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</si>
  <si>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</si>
  <si>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</si>
  <si>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</si>
  <si>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</si>
  <si>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</si>
  <si>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</si>
  <si>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</si>
  <si>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</si>
  <si>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</si>
  <si>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</si>
  <si>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</si>
  <si>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</si>
  <si>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</si>
  <si>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</si>
  <si>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</si>
  <si>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</si>
  <si>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</si>
  <si>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</si>
  <si>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</si>
  <si>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</si>
  <si>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</si>
  <si>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</si>
  <si>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</si>
  <si>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</si>
  <si>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</si>
  <si>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</si>
  <si>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</si>
  <si>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</si>
  <si>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</si>
  <si>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</si>
  <si>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</si>
  <si>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</si>
  <si>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</si>
  <si>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</si>
  <si>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</si>
  <si>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</si>
  <si>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</si>
  <si>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</si>
  <si>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</si>
  <si>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</si>
  <si>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</si>
  <si>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</si>
  <si>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</si>
  <si>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</si>
  <si>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</si>
  <si>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</si>
  <si>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</si>
  <si>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</si>
  <si>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</si>
  <si>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</si>
  <si>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</si>
  <si>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</si>
  <si>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</si>
  <si>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</si>
  <si>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</si>
  <si>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</si>
  <si>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</si>
  <si>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</si>
  <si>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</si>
  <si>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</si>
  <si>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</si>
  <si>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</si>
  <si>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</si>
  <si>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</si>
  <si>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</si>
  <si>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</si>
  <si>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</si>
  <si>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</si>
  <si>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</si>
  <si>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</si>
  <si>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</si>
  <si>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</si>
  <si>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</si>
  <si>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</si>
  <si>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</si>
  <si>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</si>
  <si>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</si>
  <si>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</si>
  <si>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</si>
  <si>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</si>
  <si>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</si>
  <si>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</si>
  <si>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</si>
  <si>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</si>
  <si>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</si>
  <si>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</si>
  <si>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</si>
  <si>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</si>
  <si>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</si>
  <si>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</si>
  <si>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</si>
  <si>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</si>
  <si>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</si>
  <si>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</si>
  <si>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</si>
  <si>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</si>
  <si>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</si>
  <si>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</si>
  <si>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</si>
  <si>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</si>
  <si>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</si>
  <si>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</si>
  <si>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</si>
  <si>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</si>
  <si>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</si>
  <si>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</si>
  <si>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</si>
  <si>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</si>
  <si>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</si>
  <si>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</si>
  <si>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</si>
  <si>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</si>
  <si>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</si>
  <si>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</si>
  <si>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</si>
  <si>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</si>
  <si>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</si>
  <si>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</si>
  <si>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</si>
  <si>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</si>
  <si>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</si>
  <si>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</si>
  <si>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</si>
  <si>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</si>
  <si>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</si>
  <si>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</si>
  <si>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</si>
  <si>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</si>
  <si>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</si>
  <si>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</si>
  <si>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</si>
  <si>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</si>
  <si>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</si>
  <si>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</si>
  <si>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</si>
  <si>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</si>
  <si>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</si>
  <si>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</si>
  <si>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</si>
  <si>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</si>
  <si>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</si>
  <si>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</si>
  <si>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</si>
  <si>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</si>
  <si>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</si>
  <si>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</si>
  <si>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</si>
  <si>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</si>
  <si>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</si>
  <si>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</si>
  <si>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</si>
  <si>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</si>
  <si>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</si>
  <si>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</si>
  <si>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</si>
  <si>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</si>
  <si>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</si>
  <si>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</si>
  <si>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</si>
  <si>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</si>
  <si>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</si>
  <si>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</si>
  <si>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</si>
  <si>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</si>
  <si>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</si>
  <si>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</si>
  <si>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</si>
  <si>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</si>
  <si>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</si>
  <si>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</si>
  <si>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</si>
  <si>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</si>
  <si>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</si>
  <si>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</si>
  <si>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</si>
  <si>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</si>
  <si>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</si>
  <si>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</si>
  <si>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</si>
  <si>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</si>
  <si>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</si>
  <si>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</si>
  <si>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</si>
  <si>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</si>
  <si>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</si>
  <si>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</si>
  <si>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</si>
  <si>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</si>
  <si>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</si>
  <si>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</si>
  <si>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</si>
  <si>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</si>
  <si>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</si>
  <si>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</si>
  <si>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</si>
  <si>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</si>
  <si>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</si>
  <si>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</si>
  <si>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</si>
  <si>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</si>
  <si>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</si>
  <si>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</si>
  <si>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</si>
  <si>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</si>
  <si>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</si>
  <si>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</si>
  <si>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</si>
  <si>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</si>
  <si>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</si>
  <si>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</si>
  <si>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</si>
  <si>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</si>
  <si>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</si>
  <si>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</si>
  <si>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</si>
  <si>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</si>
  <si>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</si>
  <si>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</si>
  <si>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</si>
  <si>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</si>
  <si>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</si>
  <si>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</si>
  <si>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</si>
  <si>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</si>
  <si>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</si>
  <si>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</si>
  <si>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</si>
  <si>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</si>
  <si>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</si>
  <si>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</si>
  <si>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</si>
  <si>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</si>
  <si>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</si>
  <si>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</si>
  <si>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</si>
  <si>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</si>
  <si>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</si>
  <si>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</si>
  <si>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</si>
  <si>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</si>
  <si>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</si>
  <si>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</si>
  <si>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</si>
  <si>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</si>
  <si>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</si>
  <si>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</si>
  <si>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</si>
  <si>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</si>
  <si>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</si>
  <si>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</si>
  <si>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</si>
  <si>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</si>
  <si>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</si>
  <si>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</si>
  <si>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</si>
  <si>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</si>
  <si>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</si>
  <si>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</si>
  <si>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</si>
  <si>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</si>
  <si>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</si>
  <si>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</si>
  <si>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</si>
  <si>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</si>
  <si>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</si>
  <si>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</si>
  <si>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</si>
  <si>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</si>
  <si>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</si>
  <si>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</si>
  <si>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</si>
  <si>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</si>
  <si>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</si>
  <si>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</si>
  <si>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</si>
  <si>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</si>
  <si>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</si>
  <si>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</si>
  <si>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</si>
  <si>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</si>
  <si>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</si>
  <si>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</si>
  <si>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</si>
  <si>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</si>
  <si>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</si>
  <si>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</si>
  <si>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</si>
  <si>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</si>
  <si>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</si>
  <si>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</si>
  <si>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</si>
  <si>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</si>
  <si>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</si>
  <si>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</si>
  <si>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</si>
  <si>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</si>
  <si>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</si>
  <si>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</si>
  <si>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</si>
  <si>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</si>
  <si>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</si>
  <si>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</si>
  <si>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</si>
  <si>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</si>
  <si>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</si>
  <si>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</si>
  <si>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</si>
  <si>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</si>
  <si>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</si>
  <si>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</si>
  <si>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</si>
  <si>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</si>
  <si>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</si>
  <si>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</si>
  <si>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</si>
  <si>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</si>
  <si>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</si>
  <si>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</si>
  <si>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</si>
  <si>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</si>
  <si>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</si>
  <si>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</si>
  <si>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</si>
  <si>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</si>
  <si>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</si>
  <si>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</si>
  <si>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</si>
  <si>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</si>
  <si>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</si>
  <si>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</si>
  <si>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</si>
  <si>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</si>
  <si>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</si>
  <si>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</si>
  <si>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</si>
  <si>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</si>
  <si>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</si>
  <si>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</si>
  <si>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</si>
  <si>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</si>
  <si>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</si>
  <si>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</si>
  <si>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</si>
  <si>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</si>
  <si>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</si>
  <si>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</si>
  <si>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</si>
  <si>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</si>
  <si>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</si>
  <si>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</si>
  <si>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</si>
  <si>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</si>
  <si>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</si>
  <si>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</si>
  <si>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</si>
  <si>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</si>
  <si>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</si>
  <si>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</si>
  <si>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</si>
  <si>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</si>
  <si>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</si>
  <si>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</si>
  <si>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</si>
  <si>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</si>
  <si>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</si>
  <si>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</si>
  <si>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</si>
  <si>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</si>
  <si>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</si>
  <si>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</si>
  <si>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</si>
  <si>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</si>
  <si>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</si>
  <si>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</si>
  <si>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</si>
  <si>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</si>
  <si>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</si>
  <si>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</si>
  <si>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</si>
  <si>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</si>
  <si>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</si>
  <si>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</si>
  <si>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</si>
  <si>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</si>
  <si>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</si>
  <si>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</si>
  <si>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</si>
  <si>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</si>
  <si>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</si>
  <si>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</si>
  <si>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</si>
  <si>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</si>
  <si>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</si>
  <si>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</si>
  <si>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</si>
  <si>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</si>
  <si>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</si>
  <si>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</si>
  <si>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</si>
  <si>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</si>
  <si>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</si>
  <si>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</si>
  <si>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</si>
  <si>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</si>
  <si>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</si>
  <si>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</si>
  <si>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</si>
  <si>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</si>
  <si>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</si>
  <si>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</si>
  <si>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</si>
  <si>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</si>
  <si>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</si>
  <si>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</si>
  <si>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</si>
  <si>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</si>
  <si>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</si>
  <si>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</si>
  <si>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</si>
  <si>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</si>
  <si>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</si>
  <si>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</si>
  <si>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</si>
  <si>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</si>
  <si>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</si>
  <si>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</si>
  <si>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</si>
  <si>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</si>
  <si>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</si>
  <si>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</si>
  <si>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</si>
  <si>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</si>
  <si>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</si>
  <si>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</si>
  <si>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</si>
  <si>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</si>
  <si>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</si>
  <si>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</si>
  <si>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</si>
  <si>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</si>
  <si>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</si>
  <si>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</si>
  <si>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</si>
  <si>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</si>
  <si>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</si>
  <si>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</si>
  <si>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</si>
  <si>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</si>
  <si>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</si>
  <si>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</si>
  <si>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</si>
  <si>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</si>
  <si>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</si>
  <si>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</si>
  <si>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</si>
  <si>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</si>
  <si>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</si>
  <si>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Pièces recond. MCPA</t>
  </si>
  <si>
    <t>#28</t>
  </si>
  <si>
    <t>Mitsubishi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</si>
  <si>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</si>
  <si>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</si>
  <si>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</si>
  <si>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</si>
  <si>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</si>
  <si>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</si>
  <si>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</si>
  <si>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</si>
  <si>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</si>
  <si>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Peinture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</si>
  <si>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</si>
  <si>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</si>
  <si>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</si>
  <si>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</si>
  <si>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</si>
  <si>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</si>
  <si>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</si>
  <si>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</si>
  <si>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</si>
  <si>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</si>
  <si>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</si>
  <si>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</si>
  <si>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</si>
  <si>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</si>
  <si>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</si>
  <si>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</si>
  <si>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</si>
  <si>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</si>
  <si>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</si>
  <si>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</si>
  <si>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</si>
  <si>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</si>
  <si>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</si>
  <si>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</si>
  <si>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</si>
  <si>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</si>
  <si>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</si>
  <si>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</si>
  <si>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</si>
  <si>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</si>
  <si>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</si>
  <si>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PRET BANQUE TD GOODWILL 5K</t>
  </si>
  <si>
    <t>335A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</si>
  <si>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</si>
  <si>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</si>
  <si>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</si>
  <si>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</si>
  <si>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</si>
  <si>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</si>
  <si>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</si>
  <si>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</si>
  <si>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I4 M60 XDRIVE GRAN COUPE</t>
  </si>
  <si>
    <t>414C</t>
  </si>
  <si>
    <t>X3 30 XDRIVE</t>
  </si>
  <si>
    <t>424A</t>
  </si>
  <si>
    <t>624A</t>
  </si>
  <si>
    <t>614C</t>
  </si>
  <si>
    <t>601G</t>
  </si>
  <si>
    <t>C/V - ALPINA XB7</t>
  </si>
  <si>
    <t>680B</t>
  </si>
  <si>
    <t>401G@</t>
  </si>
  <si>
    <t>414C@</t>
  </si>
  <si>
    <t>424A@</t>
  </si>
  <si>
    <t># OF VTES -ALPINA XB7</t>
  </si>
  <si>
    <t>480B@</t>
  </si>
  <si>
    <t>lgm</t>
  </si>
  <si>
    <t>Francis Pellerin - renouvellement Volks</t>
  </si>
  <si>
    <t>Réel 2026</t>
  </si>
  <si>
    <t>Réel AAD 2026</t>
  </si>
  <si>
    <t>TRAVAUX EN COURS LAVEURS</t>
  </si>
  <si>
    <t>248A</t>
  </si>
  <si>
    <t>VTES -M/O ESTHETIQUE INTERNE CAMION</t>
  </si>
  <si>
    <t>462R</t>
  </si>
  <si>
    <t>VTES -M/O ESTHETIQUE INTERNE AUTO</t>
  </si>
  <si>
    <t>462Q</t>
  </si>
  <si>
    <t>VTES -M/O ESTHETIQUE INTERNE I</t>
  </si>
  <si>
    <t>462S</t>
  </si>
  <si>
    <t>C/V - M/O ESTHETIEQUE INTERNE I</t>
  </si>
  <si>
    <t>662S</t>
  </si>
  <si>
    <t>C/V - M/O ESTHETIQUE INTERNE AUTO</t>
  </si>
  <si>
    <t>662Q</t>
  </si>
  <si>
    <t>C/V - M/O ESTHETIQUE INTERNE CAMION</t>
  </si>
  <si>
    <t>662R</t>
  </si>
  <si>
    <t># DE VTES -M/O ESTHETIQUE INTERNE AUTO</t>
  </si>
  <si>
    <t>462Q@</t>
  </si>
  <si>
    <t># DE VTES -M/O ESTHETIQUE INTERNE CAMION</t>
  </si>
  <si>
    <t>462R@</t>
  </si>
  <si>
    <t># DE VTES -M/O ESTHETIQUE INTERNE I</t>
  </si>
  <si>
    <t>462S@</t>
  </si>
  <si>
    <t>I4 XDRIVE40 GRAN COUPE</t>
  </si>
  <si>
    <t>404K</t>
  </si>
  <si>
    <t>404K@</t>
  </si>
  <si>
    <t>604K</t>
  </si>
  <si>
    <t>Pas de claims à l'interne, ni réceptionniste temps partiel</t>
  </si>
  <si>
    <t>-9 unités fleet Maxim</t>
  </si>
  <si>
    <t>Q2</t>
  </si>
  <si>
    <t>Réalisé  Q2 2026</t>
  </si>
  <si>
    <t>Réel Q2 2026</t>
  </si>
  <si>
    <t>2025 Q2</t>
  </si>
  <si>
    <t>_</t>
  </si>
  <si>
    <t>171</t>
  </si>
  <si>
    <t>GOODWILLL</t>
  </si>
  <si>
    <t>AVANCE 9512-1703 QC INC</t>
  </si>
  <si>
    <t>297C</t>
  </si>
  <si>
    <t>AMORTISSEMENT GOODWILL</t>
  </si>
  <si>
    <t>298</t>
  </si>
  <si>
    <t>PROTECTION LGM A/P</t>
  </si>
  <si>
    <t>PRET BANQUE TD GOODWILL 5.7K</t>
  </si>
  <si>
    <t>AVANCES DE STE-MARIE AUTOMOBILES</t>
  </si>
  <si>
    <t>336</t>
  </si>
  <si>
    <t>A PAYER GROUPE PARK AVENUE</t>
  </si>
  <si>
    <t>ACTIONS A5</t>
  </si>
  <si>
    <t>350A</t>
  </si>
  <si>
    <t>350</t>
  </si>
  <si>
    <t>ACTIONS B</t>
  </si>
  <si>
    <t>350B</t>
  </si>
  <si>
    <t>401</t>
  </si>
  <si>
    <t>402</t>
  </si>
  <si>
    <t>404</t>
  </si>
  <si>
    <t>424</t>
  </si>
  <si>
    <t>VTES -VTE - TRAITEMENT PROTECTION NEUF BMW AU</t>
  </si>
  <si>
    <t>M440I XDRIVE GRAN COUPE</t>
  </si>
  <si>
    <t>443B</t>
  </si>
  <si>
    <t>443</t>
  </si>
  <si>
    <t>VTES -VTES -TRAITEMENT PROTECTION USAGE BMW C</t>
  </si>
  <si>
    <t>VTES -VTE - TRAITEMENT PROTECTION USAGE AUTRE</t>
  </si>
  <si>
    <t>VTES -VTES -TRAITEMENT PROTECTION USAGE BMW N</t>
  </si>
  <si>
    <t>601</t>
  </si>
  <si>
    <t>602</t>
  </si>
  <si>
    <t>604</t>
  </si>
  <si>
    <t>624</t>
  </si>
  <si>
    <t>404E</t>
  </si>
  <si>
    <t>C/V - TRAITEMENT PROTECTION NEUF BMW AUTO</t>
  </si>
  <si>
    <t>643B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</si>
  <si>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</si>
  <si>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</si>
  <si>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</si>
  <si>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</si>
  <si>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</si>
  <si>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443B@</t>
  </si>
  <si>
    <t>Transport de véhicules</t>
  </si>
  <si>
    <t>Abonnement Openlane Hawkesburry avril à juillet</t>
  </si>
  <si>
    <t>9.7k André + 3.3k Peachy + 900$ classement</t>
  </si>
  <si>
    <t>Livre des ventes + réserve</t>
  </si>
  <si>
    <t>2k café, crédit billets avions ?</t>
  </si>
  <si>
    <t xml:space="preserve">Location bouteille oxigene </t>
  </si>
  <si>
    <t>9.7k André + 3.3k Peachy + 900$ classement + 2k ménage supplémentaire</t>
  </si>
  <si>
    <t>Frais retour sur pièces</t>
  </si>
  <si>
    <t>Ajust paiement Q2 2026</t>
  </si>
  <si>
    <t>Freins + link kit</t>
  </si>
  <si>
    <t>Cafe client</t>
  </si>
  <si>
    <t>Ménage pour ménage BMW Canada</t>
  </si>
  <si>
    <t>Ajust claims</t>
  </si>
  <si>
    <t>Dépréciaton pneus courtoisies</t>
  </si>
  <si>
    <t>Factures service laser</t>
  </si>
  <si>
    <t>Frais retour de pièces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</si>
</sst>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7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16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4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165" fontId="165" fillId="0" borderId="0" applyFont="0" applyFill="0" applyBorder="0" applyAlignment="0" applyProtection="0"/>
    <xf numFmtId="0" fontId="2" fillId="0" borderId="1"/>
    <xf numFmtId="0" fontId="1" fillId="0" borderId="1"/>
  </cellStyleXfs>
  <cellXfs count="1468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8" fontId="77" fillId="0" borderId="0" xfId="0" applyNumberFormat="1" applyFont="1"/>
    <xf numFmtId="0" fontId="77" fillId="0" borderId="6" xfId="0" applyFont="1" applyBorder="1"/>
    <xf numFmtId="169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70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2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1" fontId="88" fillId="3" borderId="10" xfId="0" applyNumberFormat="1" applyFont="1" applyFill="1" applyBorder="1"/>
    <xf numFmtId="171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1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1" fontId="88" fillId="4" borderId="8" xfId="0" applyNumberFormat="1" applyFont="1" applyFill="1" applyBorder="1"/>
    <xf numFmtId="37" fontId="88" fillId="4" borderId="22" xfId="0" applyNumberFormat="1" applyFont="1" applyFill="1" applyBorder="1"/>
    <xf numFmtId="171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2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1" fontId="88" fillId="3" borderId="8" xfId="0" applyNumberFormat="1" applyFont="1" applyFill="1" applyBorder="1"/>
    <xf numFmtId="171" fontId="88" fillId="3" borderId="14" xfId="0" applyNumberFormat="1" applyFont="1" applyFill="1" applyBorder="1"/>
    <xf numFmtId="171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2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1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1" fontId="96" fillId="3" borderId="17" xfId="0" applyNumberFormat="1" applyFont="1" applyFill="1" applyBorder="1"/>
    <xf numFmtId="37" fontId="96" fillId="3" borderId="21" xfId="0" applyNumberFormat="1" applyFont="1" applyFill="1" applyBorder="1"/>
    <xf numFmtId="171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165" fontId="85" fillId="0" borderId="0" xfId="0" applyNumberFormat="1" applyFont="1"/>
    <xf numFmtId="165" fontId="95" fillId="0" borderId="0" xfId="0" applyNumberFormat="1" applyFont="1"/>
    <xf numFmtId="171" fontId="90" fillId="0" borderId="35" xfId="0" applyNumberFormat="1" applyFont="1" applyBorder="1"/>
    <xf numFmtId="172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9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1" fontId="90" fillId="3" borderId="20" xfId="0" applyNumberFormat="1" applyFont="1" applyFill="1" applyBorder="1"/>
    <xf numFmtId="171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1" fontId="90" fillId="4" borderId="1" xfId="0" applyNumberFormat="1" applyFont="1" applyFill="1" applyBorder="1"/>
    <xf numFmtId="171" fontId="90" fillId="4" borderId="38" xfId="0" applyNumberFormat="1" applyFont="1" applyFill="1" applyBorder="1"/>
    <xf numFmtId="171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70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1" fontId="95" fillId="4" borderId="1" xfId="0" applyNumberFormat="1" applyFont="1" applyFill="1" applyBorder="1"/>
    <xf numFmtId="9" fontId="95" fillId="4" borderId="1" xfId="0" applyNumberFormat="1" applyFont="1" applyFill="1" applyBorder="1"/>
    <xf numFmtId="171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70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2" fontId="87" fillId="0" borderId="55" xfId="0" applyNumberFormat="1" applyFont="1" applyBorder="1"/>
    <xf numFmtId="171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1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1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1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1" fontId="90" fillId="0" borderId="58" xfId="0" applyNumberFormat="1" applyFont="1" applyBorder="1"/>
    <xf numFmtId="171" fontId="90" fillId="0" borderId="57" xfId="0" applyNumberFormat="1" applyFont="1" applyBorder="1"/>
    <xf numFmtId="171" fontId="90" fillId="0" borderId="65" xfId="0" applyNumberFormat="1" applyFont="1" applyBorder="1"/>
    <xf numFmtId="171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2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2" fontId="87" fillId="0" borderId="1" xfId="0" applyNumberFormat="1" applyFont="1" applyBorder="1"/>
    <xf numFmtId="171" fontId="87" fillId="0" borderId="15" xfId="0" applyNumberFormat="1" applyFont="1" applyBorder="1"/>
    <xf numFmtId="37" fontId="88" fillId="0" borderId="12" xfId="0" applyNumberFormat="1" applyFont="1" applyBorder="1"/>
    <xf numFmtId="172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1" fontId="88" fillId="0" borderId="15" xfId="0" applyNumberFormat="1" applyFont="1" applyBorder="1"/>
    <xf numFmtId="171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1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1" fontId="96" fillId="0" borderId="38" xfId="0" applyNumberFormat="1" applyFont="1" applyBorder="1"/>
    <xf numFmtId="37" fontId="96" fillId="0" borderId="24" xfId="0" applyNumberFormat="1" applyFont="1" applyBorder="1"/>
    <xf numFmtId="171" fontId="96" fillId="0" borderId="1" xfId="0" applyNumberFormat="1" applyFont="1" applyBorder="1"/>
    <xf numFmtId="37" fontId="96" fillId="0" borderId="39" xfId="0" applyNumberFormat="1" applyFont="1" applyBorder="1"/>
    <xf numFmtId="171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1" fontId="88" fillId="3" borderId="76" xfId="0" applyNumberFormat="1" applyFont="1" applyFill="1" applyBorder="1"/>
    <xf numFmtId="0" fontId="88" fillId="0" borderId="72" xfId="0" applyFont="1" applyBorder="1"/>
    <xf numFmtId="171" fontId="87" fillId="0" borderId="15" xfId="1" applyNumberFormat="1" applyFont="1" applyFill="1" applyBorder="1"/>
    <xf numFmtId="171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1" fontId="87" fillId="0" borderId="12" xfId="0" applyNumberFormat="1" applyFont="1" applyBorder="1"/>
    <xf numFmtId="0" fontId="87" fillId="0" borderId="77" xfId="0" applyFont="1" applyBorder="1"/>
    <xf numFmtId="171" fontId="88" fillId="0" borderId="24" xfId="0" applyNumberFormat="1" applyFont="1" applyBorder="1"/>
    <xf numFmtId="171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1" fontId="88" fillId="0" borderId="19" xfId="0" applyNumberFormat="1" applyFont="1" applyBorder="1"/>
    <xf numFmtId="171" fontId="88" fillId="0" borderId="60" xfId="0" applyNumberFormat="1" applyFont="1" applyBorder="1"/>
    <xf numFmtId="171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1" fontId="87" fillId="0" borderId="23" xfId="0" applyNumberFormat="1" applyFont="1" applyBorder="1"/>
    <xf numFmtId="37" fontId="87" fillId="0" borderId="24" xfId="0" applyNumberFormat="1" applyFont="1" applyBorder="1"/>
    <xf numFmtId="172" fontId="87" fillId="0" borderId="22" xfId="0" applyNumberFormat="1" applyFont="1" applyBorder="1"/>
    <xf numFmtId="171" fontId="87" fillId="0" borderId="19" xfId="0" applyNumberFormat="1" applyFont="1" applyBorder="1"/>
    <xf numFmtId="2" fontId="87" fillId="0" borderId="22" xfId="0" applyNumberFormat="1" applyFont="1" applyBorder="1"/>
    <xf numFmtId="171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1" fontId="88" fillId="0" borderId="13" xfId="0" applyNumberFormat="1" applyFont="1" applyBorder="1"/>
    <xf numFmtId="173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2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1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1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1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1" fontId="90" fillId="0" borderId="22" xfId="0" applyNumberFormat="1" applyFont="1" applyBorder="1"/>
    <xf numFmtId="37" fontId="90" fillId="0" borderId="34" xfId="0" applyNumberFormat="1" applyFont="1" applyBorder="1"/>
    <xf numFmtId="171" fontId="90" fillId="0" borderId="60" xfId="0" applyNumberFormat="1" applyFont="1" applyBorder="1"/>
    <xf numFmtId="0" fontId="96" fillId="3" borderId="77" xfId="0" applyFont="1" applyFill="1" applyBorder="1"/>
    <xf numFmtId="171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1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2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2" fontId="90" fillId="0" borderId="22" xfId="0" applyNumberFormat="1" applyFont="1" applyBorder="1"/>
    <xf numFmtId="0" fontId="90" fillId="0" borderId="33" xfId="0" applyFont="1" applyBorder="1"/>
    <xf numFmtId="171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2" fontId="90" fillId="0" borderId="24" xfId="0" applyNumberFormat="1" applyFont="1" applyBorder="1"/>
    <xf numFmtId="37" fontId="90" fillId="0" borderId="24" xfId="0" applyNumberFormat="1" applyFont="1" applyBorder="1"/>
    <xf numFmtId="171" fontId="90" fillId="0" borderId="24" xfId="0" applyNumberFormat="1" applyFont="1" applyBorder="1"/>
    <xf numFmtId="37" fontId="90" fillId="0" borderId="42" xfId="0" applyNumberFormat="1" applyFont="1" applyBorder="1"/>
    <xf numFmtId="171" fontId="90" fillId="0" borderId="37" xfId="0" applyNumberFormat="1" applyFont="1" applyBorder="1"/>
    <xf numFmtId="0" fontId="90" fillId="0" borderId="41" xfId="0" applyFont="1" applyBorder="1"/>
    <xf numFmtId="171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1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1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1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1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1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1" fontId="96" fillId="3" borderId="83" xfId="0" applyNumberFormat="1" applyFont="1" applyFill="1" applyBorder="1"/>
    <xf numFmtId="171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1" fontId="87" fillId="0" borderId="0" xfId="0" applyNumberFormat="1" applyFont="1"/>
    <xf numFmtId="171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8" fontId="81" fillId="0" borderId="1" xfId="0" applyNumberFormat="1" applyFont="1" applyBorder="1"/>
    <xf numFmtId="168" fontId="83" fillId="0" borderId="1" xfId="0" applyNumberFormat="1" applyFont="1" applyBorder="1"/>
    <xf numFmtId="168" fontId="82" fillId="0" borderId="1" xfId="0" applyNumberFormat="1" applyFont="1" applyBorder="1"/>
    <xf numFmtId="0" fontId="82" fillId="0" borderId="1" xfId="0" applyFont="1" applyBorder="1"/>
    <xf numFmtId="171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8" fontId="122" fillId="0" borderId="52" xfId="0" applyNumberFormat="1" applyFont="1" applyBorder="1"/>
    <xf numFmtId="166" fontId="81" fillId="0" borderId="7" xfId="0" applyNumberFormat="1" applyFont="1" applyBorder="1"/>
    <xf numFmtId="166" fontId="82" fillId="3" borderId="9" xfId="0" applyNumberFormat="1" applyFont="1" applyFill="1" applyBorder="1"/>
    <xf numFmtId="166" fontId="82" fillId="3" borderId="11" xfId="0" applyNumberFormat="1" applyFont="1" applyFill="1" applyBorder="1"/>
    <xf numFmtId="166" fontId="83" fillId="0" borderId="5" xfId="0" applyNumberFormat="1" applyFont="1" applyBorder="1"/>
    <xf numFmtId="166" fontId="77" fillId="0" borderId="7" xfId="0" applyNumberFormat="1" applyFont="1" applyBorder="1"/>
    <xf numFmtId="166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7" fontId="105" fillId="0" borderId="0" xfId="0" applyNumberFormat="1" applyFont="1" applyAlignment="1">
      <alignment horizontal="center" vertical="top"/>
    </xf>
    <xf numFmtId="167" fontId="77" fillId="0" borderId="0" xfId="0" applyNumberFormat="1" applyFont="1" applyAlignment="1">
      <alignment horizontal="center" vertical="top"/>
    </xf>
    <xf numFmtId="167" fontId="121" fillId="0" borderId="0" xfId="0" applyNumberFormat="1" applyFont="1" applyAlignment="1">
      <alignment horizontal="center" vertical="top"/>
    </xf>
    <xf numFmtId="167" fontId="77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7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70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1" fontId="129" fillId="15" borderId="1" xfId="2" applyNumberFormat="1" applyFont="1" applyFill="1"/>
    <xf numFmtId="37" fontId="129" fillId="15" borderId="1" xfId="2" applyNumberFormat="1" applyFont="1" applyFill="1"/>
    <xf numFmtId="171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1" fontId="87" fillId="0" borderId="1" xfId="1" applyNumberFormat="1" applyFont="1" applyFill="1" applyBorder="1"/>
    <xf numFmtId="171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1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7" fontId="141" fillId="0" borderId="157" xfId="3" applyNumberFormat="1" applyFont="1" applyBorder="1" applyAlignment="1">
      <alignment horizontal="center"/>
    </xf>
    <xf numFmtId="167" fontId="141" fillId="0" borderId="158" xfId="3" applyNumberFormat="1" applyFont="1" applyBorder="1" applyAlignment="1">
      <alignment horizontal="center"/>
    </xf>
    <xf numFmtId="167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2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1" fontId="90" fillId="0" borderId="56" xfId="0" applyNumberFormat="1" applyFont="1" applyBorder="1"/>
    <xf numFmtId="37" fontId="90" fillId="0" borderId="172" xfId="0" applyNumberFormat="1" applyFont="1" applyBorder="1"/>
    <xf numFmtId="171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4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70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4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4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4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7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7" fontId="68" fillId="0" borderId="157" xfId="3" applyNumberFormat="1" applyFont="1" applyBorder="1" applyAlignment="1">
      <alignment horizontal="center"/>
    </xf>
    <xf numFmtId="167" fontId="68" fillId="0" borderId="158" xfId="3" applyNumberFormat="1" applyFont="1" applyBorder="1" applyAlignment="1">
      <alignment horizontal="center"/>
    </xf>
    <xf numFmtId="167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7" fontId="68" fillId="0" borderId="167" xfId="3" applyNumberFormat="1" applyFont="1" applyBorder="1" applyAlignment="1">
      <alignment horizontal="center"/>
    </xf>
    <xf numFmtId="167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7" fontId="68" fillId="0" borderId="163" xfId="3" applyNumberFormat="1" applyFont="1" applyBorder="1" applyAlignment="1">
      <alignment horizontal="center"/>
    </xf>
    <xf numFmtId="167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7" fontId="68" fillId="0" borderId="157" xfId="4" applyNumberFormat="1" applyFont="1" applyFill="1" applyBorder="1" applyAlignment="1">
      <alignment horizontal="center"/>
    </xf>
    <xf numFmtId="167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7" fontId="68" fillId="0" borderId="157" xfId="1" applyNumberFormat="1" applyFont="1" applyBorder="1" applyAlignment="1">
      <alignment horizontal="center"/>
    </xf>
    <xf numFmtId="167" fontId="74" fillId="0" borderId="161" xfId="3" applyNumberFormat="1" applyBorder="1" applyAlignment="1">
      <alignment horizontal="center"/>
    </xf>
    <xf numFmtId="167" fontId="74" fillId="0" borderId="176" xfId="3" applyNumberFormat="1" applyBorder="1" applyAlignment="1">
      <alignment horizontal="center"/>
    </xf>
    <xf numFmtId="167" fontId="74" fillId="0" borderId="158" xfId="3" applyNumberFormat="1" applyBorder="1" applyAlignment="1">
      <alignment horizontal="center"/>
    </xf>
    <xf numFmtId="167" fontId="74" fillId="0" borderId="150" xfId="3" applyNumberFormat="1" applyBorder="1" applyAlignment="1">
      <alignment horizontal="center"/>
    </xf>
    <xf numFmtId="171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1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1" fontId="68" fillId="0" borderId="158" xfId="4" applyNumberFormat="1" applyFont="1" applyBorder="1" applyAlignment="1">
      <alignment horizontal="center"/>
    </xf>
    <xf numFmtId="171" fontId="68" fillId="0" borderId="159" xfId="4" applyNumberFormat="1" applyFont="1" applyBorder="1" applyAlignment="1">
      <alignment horizontal="center"/>
    </xf>
    <xf numFmtId="171" fontId="68" fillId="0" borderId="163" xfId="4" applyNumberFormat="1" applyFont="1" applyBorder="1" applyAlignment="1">
      <alignment horizontal="center"/>
    </xf>
    <xf numFmtId="171" fontId="68" fillId="0" borderId="164" xfId="4" applyNumberFormat="1" applyFont="1" applyBorder="1" applyAlignment="1">
      <alignment horizontal="center"/>
    </xf>
    <xf numFmtId="175" fontId="68" fillId="0" borderId="158" xfId="3" applyNumberFormat="1" applyFont="1" applyBorder="1" applyAlignment="1">
      <alignment horizontal="center"/>
    </xf>
    <xf numFmtId="175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5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7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1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6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6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7" fontId="142" fillId="11" borderId="182" xfId="22" applyNumberFormat="1" applyFont="1" applyFill="1" applyBorder="1" applyAlignment="1">
      <alignment horizontal="center" vertical="center"/>
    </xf>
    <xf numFmtId="167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7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95" fillId="0" borderId="0" xfId="0" applyNumberFormat="1" applyFont="1" applyAlignment="1">
      <alignment horizontal="center"/>
    </xf>
    <xf numFmtId="177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7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1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1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1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1" fontId="0" fillId="0" borderId="192" xfId="57" applyNumberFormat="1" applyFont="1" applyBorder="1" applyAlignment="1">
      <alignment horizontal="center"/>
    </xf>
    <xf numFmtId="171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1" fontId="0" fillId="0" borderId="193" xfId="57" applyNumberFormat="1" applyFont="1" applyBorder="1" applyAlignment="1">
      <alignment horizontal="center"/>
    </xf>
    <xf numFmtId="171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1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8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1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09" xfId="0" applyNumberFormat="1" applyFont="1" applyFill="1" applyBorder="1"/>
    <xf numFmtId="171" fontId="96" fillId="3" borderId="210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9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9" fontId="112" fillId="0" borderId="180" xfId="10" applyNumberFormat="1" applyBorder="1" applyAlignment="1">
      <alignment horizontal="right"/>
    </xf>
    <xf numFmtId="179" fontId="112" fillId="0" borderId="178" xfId="10" applyNumberFormat="1" applyBorder="1" applyAlignment="1">
      <alignment horizontal="right"/>
    </xf>
    <xf numFmtId="179" fontId="112" fillId="0" borderId="186" xfId="10" applyNumberFormat="1" applyBorder="1" applyAlignment="1">
      <alignment horizontal="right"/>
    </xf>
    <xf numFmtId="179" fontId="112" fillId="0" borderId="1" xfId="10" applyNumberFormat="1" applyAlignment="1">
      <alignment horizontal="right"/>
    </xf>
    <xf numFmtId="0" fontId="140" fillId="0" borderId="211" xfId="10" applyFont="1" applyBorder="1"/>
    <xf numFmtId="179" fontId="140" fillId="0" borderId="211" xfId="10" applyNumberFormat="1" applyFont="1" applyBorder="1" applyAlignment="1">
      <alignment horizontal="right"/>
    </xf>
    <xf numFmtId="179" fontId="140" fillId="0" borderId="212" xfId="10" applyNumberFormat="1" applyFont="1" applyBorder="1" applyAlignment="1">
      <alignment horizontal="right"/>
    </xf>
    <xf numFmtId="0" fontId="112" fillId="0" borderId="216" xfId="10" applyBorder="1"/>
    <xf numFmtId="179" fontId="112" fillId="0" borderId="216" xfId="10" applyNumberFormat="1" applyBorder="1" applyAlignment="1">
      <alignment horizontal="right"/>
    </xf>
    <xf numFmtId="179" fontId="112" fillId="0" borderId="217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3" xfId="10" applyFont="1" applyFill="1" applyBorder="1" applyAlignment="1">
      <alignment horizontal="center" vertical="center" wrapText="1"/>
    </xf>
    <xf numFmtId="37" fontId="112" fillId="30" borderId="213" xfId="10" applyNumberFormat="1" applyFill="1" applyBorder="1" applyAlignment="1">
      <alignment horizontal="center" vertical="center" wrapText="1"/>
    </xf>
    <xf numFmtId="37" fontId="112" fillId="30" borderId="219" xfId="10" applyNumberFormat="1" applyFill="1" applyBorder="1" applyAlignment="1">
      <alignment horizontal="center" vertical="center" wrapText="1"/>
    </xf>
    <xf numFmtId="179" fontId="112" fillId="30" borderId="214" xfId="10" applyNumberFormat="1" applyFill="1" applyBorder="1" applyAlignment="1">
      <alignment horizontal="right"/>
    </xf>
    <xf numFmtId="179" fontId="112" fillId="30" borderId="218" xfId="10" applyNumberFormat="1" applyFill="1" applyBorder="1" applyAlignment="1">
      <alignment horizontal="right"/>
    </xf>
    <xf numFmtId="179" fontId="112" fillId="30" borderId="213" xfId="10" applyNumberFormat="1" applyFill="1" applyBorder="1" applyAlignment="1">
      <alignment horizontal="right"/>
    </xf>
    <xf numFmtId="179" fontId="140" fillId="30" borderId="215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1" fontId="96" fillId="3" borderId="207" xfId="0" applyNumberFormat="1" applyFont="1" applyFill="1" applyBorder="1"/>
    <xf numFmtId="171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1" fontId="87" fillId="0" borderId="12" xfId="16" applyNumberFormat="1" applyFont="1" applyFill="1" applyBorder="1"/>
    <xf numFmtId="171" fontId="87" fillId="0" borderId="1" xfId="16" applyNumberFormat="1" applyFont="1" applyFill="1" applyBorder="1"/>
    <xf numFmtId="171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2" fontId="87" fillId="0" borderId="0" xfId="0" applyNumberFormat="1" applyFont="1"/>
    <xf numFmtId="2" fontId="87" fillId="0" borderId="0" xfId="0" applyNumberFormat="1" applyFont="1"/>
    <xf numFmtId="173" fontId="87" fillId="0" borderId="0" xfId="0" applyNumberFormat="1" applyFont="1"/>
    <xf numFmtId="172" fontId="88" fillId="0" borderId="0" xfId="0" applyNumberFormat="1" applyFont="1"/>
    <xf numFmtId="37" fontId="87" fillId="11" borderId="0" xfId="0" applyNumberFormat="1" applyFont="1" applyFill="1"/>
    <xf numFmtId="171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1" fontId="90" fillId="0" borderId="0" xfId="0" applyNumberFormat="1" applyFont="1"/>
    <xf numFmtId="0" fontId="90" fillId="0" borderId="0" xfId="0" applyFont="1" applyAlignment="1">
      <alignment horizontal="right"/>
    </xf>
    <xf numFmtId="172" fontId="90" fillId="0" borderId="0" xfId="0" applyNumberFormat="1" applyFont="1"/>
    <xf numFmtId="171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1" fontId="90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70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1" fontId="95" fillId="4" borderId="0" xfId="0" applyNumberFormat="1" applyFont="1" applyFill="1"/>
    <xf numFmtId="9" fontId="95" fillId="4" borderId="0" xfId="0" applyNumberFormat="1" applyFont="1" applyFill="1"/>
    <xf numFmtId="171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70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6" fontId="81" fillId="0" borderId="3" xfId="0" applyNumberFormat="1" applyFont="1" applyBorder="1"/>
    <xf numFmtId="166" fontId="81" fillId="0" borderId="53" xfId="0" applyNumberFormat="1" applyFont="1" applyBorder="1"/>
    <xf numFmtId="166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9" fontId="112" fillId="0" borderId="187" xfId="10" applyNumberFormat="1" applyBorder="1" applyAlignment="1">
      <alignment horizontal="right"/>
    </xf>
    <xf numFmtId="179" fontId="112" fillId="0" borderId="220" xfId="10" applyNumberFormat="1" applyBorder="1" applyAlignment="1">
      <alignment horizontal="right"/>
    </xf>
    <xf numFmtId="179" fontId="140" fillId="0" borderId="221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7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2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2" xfId="0" applyFont="1" applyFill="1" applyBorder="1"/>
    <xf numFmtId="3" fontId="114" fillId="0" borderId="222" xfId="0" applyNumberFormat="1" applyFont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2" xfId="0" applyNumberFormat="1" applyFont="1" applyBorder="1"/>
    <xf numFmtId="3" fontId="113" fillId="0" borderId="223" xfId="0" applyNumberFormat="1" applyFont="1" applyBorder="1"/>
    <xf numFmtId="3" fontId="113" fillId="0" borderId="224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2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2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5" xfId="0" applyFont="1" applyFill="1" applyBorder="1"/>
    <xf numFmtId="0" fontId="114" fillId="20" borderId="225" xfId="0" applyFont="1" applyFill="1" applyBorder="1" applyAlignment="1">
      <alignment horizontal="center"/>
    </xf>
    <xf numFmtId="171" fontId="114" fillId="20" borderId="226" xfId="0" applyNumberFormat="1" applyFont="1" applyFill="1" applyBorder="1"/>
    <xf numFmtId="37" fontId="114" fillId="20" borderId="227" xfId="0" applyNumberFormat="1" applyFont="1" applyFill="1" applyBorder="1"/>
    <xf numFmtId="0" fontId="114" fillId="0" borderId="225" xfId="0" applyFont="1" applyBorder="1" applyAlignment="1">
      <alignment horizontal="center"/>
    </xf>
    <xf numFmtId="171" fontId="114" fillId="0" borderId="226" xfId="0" applyNumberFormat="1" applyFont="1" applyBorder="1"/>
    <xf numFmtId="37" fontId="114" fillId="0" borderId="227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2" xfId="0" applyFont="1" applyBorder="1"/>
    <xf numFmtId="0" fontId="113" fillId="0" borderId="223" xfId="0" applyFont="1" applyBorder="1"/>
    <xf numFmtId="37" fontId="113" fillId="0" borderId="224" xfId="0" applyNumberFormat="1" applyFont="1" applyBorder="1"/>
    <xf numFmtId="37" fontId="113" fillId="0" borderId="224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8" xfId="0" applyFont="1" applyFill="1" applyBorder="1"/>
    <xf numFmtId="37" fontId="114" fillId="20" borderId="229" xfId="0" applyNumberFormat="1" applyFont="1" applyFill="1" applyBorder="1"/>
    <xf numFmtId="37" fontId="114" fillId="0" borderId="229" xfId="0" applyNumberFormat="1" applyFont="1" applyBorder="1"/>
    <xf numFmtId="0" fontId="114" fillId="26" borderId="230" xfId="0" applyFont="1" applyFill="1" applyBorder="1"/>
    <xf numFmtId="0" fontId="114" fillId="20" borderId="122" xfId="0" applyFont="1" applyFill="1" applyBorder="1" applyAlignment="1">
      <alignment horizontal="center"/>
    </xf>
    <xf numFmtId="171" fontId="114" fillId="20" borderId="231" xfId="0" applyNumberFormat="1" applyFont="1" applyFill="1" applyBorder="1"/>
    <xf numFmtId="37" fontId="114" fillId="20" borderId="232" xfId="0" applyNumberFormat="1" applyFont="1" applyFill="1" applyBorder="1"/>
    <xf numFmtId="0" fontId="114" fillId="0" borderId="122" xfId="0" applyFont="1" applyBorder="1" applyAlignment="1">
      <alignment horizontal="center"/>
    </xf>
    <xf numFmtId="171" fontId="114" fillId="0" borderId="231" xfId="0" applyNumberFormat="1" applyFont="1" applyBorder="1"/>
    <xf numFmtId="37" fontId="114" fillId="0" borderId="232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3" xfId="0" applyFont="1" applyFill="1" applyBorder="1"/>
    <xf numFmtId="0" fontId="113" fillId="20" borderId="233" xfId="0" applyFont="1" applyFill="1" applyBorder="1"/>
    <xf numFmtId="0" fontId="113" fillId="20" borderId="234" xfId="0" applyFont="1" applyFill="1" applyBorder="1"/>
    <xf numFmtId="37" fontId="114" fillId="20" borderId="235" xfId="0" applyNumberFormat="1" applyFont="1" applyFill="1" applyBorder="1"/>
    <xf numFmtId="0" fontId="113" fillId="0" borderId="233" xfId="0" applyFont="1" applyBorder="1"/>
    <xf numFmtId="0" fontId="113" fillId="0" borderId="234" xfId="0" applyFont="1" applyBorder="1"/>
    <xf numFmtId="37" fontId="114" fillId="0" borderId="235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70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6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1" fontId="113" fillId="0" borderId="0" xfId="0" applyNumberFormat="1" applyFont="1"/>
    <xf numFmtId="0" fontId="114" fillId="20" borderId="228" xfId="0" applyFont="1" applyFill="1" applyBorder="1" applyAlignment="1">
      <alignment horizontal="center"/>
    </xf>
    <xf numFmtId="171" fontId="114" fillId="20" borderId="237" xfId="0" applyNumberFormat="1" applyFont="1" applyFill="1" applyBorder="1"/>
    <xf numFmtId="0" fontId="114" fillId="0" borderId="228" xfId="0" applyFont="1" applyBorder="1" applyAlignment="1">
      <alignment horizontal="center"/>
    </xf>
    <xf numFmtId="171" fontId="114" fillId="0" borderId="237" xfId="0" applyNumberFormat="1" applyFont="1" applyBorder="1"/>
    <xf numFmtId="0" fontId="114" fillId="20" borderId="233" xfId="0" applyFont="1" applyFill="1" applyBorder="1"/>
    <xf numFmtId="0" fontId="114" fillId="20" borderId="234" xfId="0" applyFont="1" applyFill="1" applyBorder="1"/>
    <xf numFmtId="0" fontId="114" fillId="0" borderId="233" xfId="0" applyFont="1" applyBorder="1"/>
    <xf numFmtId="0" fontId="114" fillId="0" borderId="234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1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1" fontId="113" fillId="0" borderId="112" xfId="0" applyNumberFormat="1" applyFont="1" applyBorder="1"/>
    <xf numFmtId="37" fontId="113" fillId="0" borderId="222" xfId="0" applyNumberFormat="1" applyFont="1" applyBorder="1"/>
    <xf numFmtId="37" fontId="113" fillId="0" borderId="223" xfId="0" applyNumberFormat="1" applyFont="1" applyBorder="1"/>
    <xf numFmtId="37" fontId="113" fillId="0" borderId="222" xfId="0" applyNumberFormat="1" applyFont="1" applyBorder="1" applyProtection="1">
      <protection locked="0"/>
    </xf>
    <xf numFmtId="37" fontId="113" fillId="0" borderId="223" xfId="0" applyNumberFormat="1" applyFont="1" applyBorder="1" applyProtection="1">
      <protection locked="0"/>
    </xf>
    <xf numFmtId="172" fontId="113" fillId="0" borderId="0" xfId="0" applyNumberFormat="1" applyFont="1"/>
    <xf numFmtId="173" fontId="113" fillId="0" borderId="0" xfId="0" applyNumberFormat="1" applyFont="1"/>
    <xf numFmtId="37" fontId="114" fillId="0" borderId="109" xfId="0" applyNumberFormat="1" applyFont="1" applyBorder="1"/>
    <xf numFmtId="172" fontId="114" fillId="0" borderId="0" xfId="0" applyNumberFormat="1" applyFont="1"/>
    <xf numFmtId="37" fontId="114" fillId="0" borderId="111" xfId="0" applyNumberFormat="1" applyFont="1" applyBorder="1"/>
    <xf numFmtId="173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1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2" xfId="0" applyFont="1" applyFill="1" applyBorder="1"/>
    <xf numFmtId="37" fontId="113" fillId="0" borderId="238" xfId="0" applyNumberFormat="1" applyFont="1" applyBorder="1"/>
    <xf numFmtId="0" fontId="113" fillId="27" borderId="109" xfId="0" applyFont="1" applyFill="1" applyBorder="1"/>
    <xf numFmtId="172" fontId="113" fillId="0" borderId="0" xfId="0" applyNumberFormat="1" applyFont="1" applyProtection="1">
      <protection locked="0"/>
    </xf>
    <xf numFmtId="0" fontId="113" fillId="27" borderId="239" xfId="0" applyFont="1" applyFill="1" applyBorder="1"/>
    <xf numFmtId="172" fontId="113" fillId="0" borderId="223" xfId="0" applyNumberFormat="1" applyFont="1" applyBorder="1"/>
    <xf numFmtId="172" fontId="113" fillId="0" borderId="223" xfId="0" applyNumberFormat="1" applyFont="1" applyBorder="1" applyProtection="1">
      <protection locked="0"/>
    </xf>
    <xf numFmtId="172" fontId="113" fillId="0" borderId="105" xfId="0" applyNumberFormat="1" applyFont="1" applyBorder="1"/>
    <xf numFmtId="37" fontId="114" fillId="15" borderId="222" xfId="0" applyNumberFormat="1" applyFont="1" applyFill="1" applyBorder="1"/>
    <xf numFmtId="172" fontId="114" fillId="15" borderId="223" xfId="0" applyNumberFormat="1" applyFont="1" applyFill="1" applyBorder="1"/>
    <xf numFmtId="37" fontId="114" fillId="15" borderId="224" xfId="0" applyNumberFormat="1" applyFont="1" applyFill="1" applyBorder="1"/>
    <xf numFmtId="37" fontId="114" fillId="0" borderId="222" xfId="0" applyNumberFormat="1" applyFont="1" applyBorder="1"/>
    <xf numFmtId="172" fontId="114" fillId="0" borderId="223" xfId="0" applyNumberFormat="1" applyFont="1" applyBorder="1"/>
    <xf numFmtId="37" fontId="114" fillId="0" borderId="224" xfId="0" applyNumberFormat="1" applyFont="1" applyBorder="1"/>
    <xf numFmtId="37" fontId="114" fillId="20" borderId="116" xfId="0" applyNumberFormat="1" applyFont="1" applyFill="1" applyBorder="1"/>
    <xf numFmtId="171" fontId="114" fillId="20" borderId="120" xfId="0" applyNumberFormat="1" applyFont="1" applyFill="1" applyBorder="1"/>
    <xf numFmtId="171" fontId="114" fillId="0" borderId="120" xfId="0" applyNumberFormat="1" applyFont="1" applyBorder="1"/>
    <xf numFmtId="171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2" xfId="0" applyFont="1" applyFill="1" applyBorder="1"/>
    <xf numFmtId="0" fontId="117" fillId="25" borderId="240" xfId="0" applyFont="1" applyFill="1" applyBorder="1"/>
    <xf numFmtId="0" fontId="114" fillId="26" borderId="124" xfId="0" applyFont="1" applyFill="1" applyBorder="1"/>
    <xf numFmtId="171" fontId="114" fillId="0" borderId="223" xfId="0" applyNumberFormat="1" applyFont="1" applyBorder="1"/>
    <xf numFmtId="0" fontId="113" fillId="0" borderId="112" xfId="0" applyFont="1" applyBorder="1"/>
    <xf numFmtId="171" fontId="113" fillId="0" borderId="0" xfId="1" applyNumberFormat="1" applyFont="1" applyFill="1"/>
    <xf numFmtId="37" fontId="113" fillId="0" borderId="113" xfId="0" applyNumberFormat="1" applyFont="1" applyBorder="1"/>
    <xf numFmtId="171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1" fontId="114" fillId="20" borderId="116" xfId="0" applyNumberFormat="1" applyFont="1" applyFill="1" applyBorder="1"/>
    <xf numFmtId="171" fontId="114" fillId="0" borderId="116" xfId="0" applyNumberFormat="1" applyFont="1" applyBorder="1"/>
    <xf numFmtId="0" fontId="114" fillId="26" borderId="241" xfId="0" applyFont="1" applyFill="1" applyBorder="1"/>
    <xf numFmtId="37" fontId="114" fillId="20" borderId="241" xfId="0" applyNumberFormat="1" applyFont="1" applyFill="1" applyBorder="1"/>
    <xf numFmtId="172" fontId="114" fillId="20" borderId="242" xfId="0" applyNumberFormat="1" applyFont="1" applyFill="1" applyBorder="1"/>
    <xf numFmtId="37" fontId="114" fillId="20" borderId="243" xfId="0" applyNumberFormat="1" applyFont="1" applyFill="1" applyBorder="1"/>
    <xf numFmtId="37" fontId="114" fillId="0" borderId="241" xfId="0" applyNumberFormat="1" applyFont="1" applyBorder="1"/>
    <xf numFmtId="172" fontId="114" fillId="0" borderId="242" xfId="0" applyNumberFormat="1" applyFont="1" applyBorder="1"/>
    <xf numFmtId="37" fontId="114" fillId="0" borderId="243" xfId="0" applyNumberFormat="1" applyFont="1" applyBorder="1"/>
    <xf numFmtId="37" fontId="114" fillId="15" borderId="109" xfId="0" applyNumberFormat="1" applyFont="1" applyFill="1" applyBorder="1"/>
    <xf numFmtId="172" fontId="114" fillId="15" borderId="0" xfId="0" applyNumberFormat="1" applyFont="1" applyFill="1"/>
    <xf numFmtId="0" fontId="129" fillId="0" borderId="0" xfId="0" applyFont="1"/>
    <xf numFmtId="0" fontId="117" fillId="25" borderId="239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4" xfId="0" applyFont="1" applyBorder="1"/>
    <xf numFmtId="0" fontId="114" fillId="0" borderId="245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2" fontId="117" fillId="0" borderId="0" xfId="0" applyNumberFormat="1" applyFont="1"/>
    <xf numFmtId="10" fontId="117" fillId="0" borderId="129" xfId="0" applyNumberFormat="1" applyFont="1" applyBorder="1"/>
    <xf numFmtId="172" fontId="117" fillId="0" borderId="105" xfId="0" applyNumberFormat="1" applyFont="1" applyBorder="1"/>
    <xf numFmtId="0" fontId="130" fillId="26" borderId="246" xfId="0" applyFont="1" applyFill="1" applyBorder="1"/>
    <xf numFmtId="171" fontId="130" fillId="20" borderId="246" xfId="0" applyNumberFormat="1" applyFont="1" applyFill="1" applyBorder="1"/>
    <xf numFmtId="0" fontId="130" fillId="20" borderId="226" xfId="0" applyFont="1" applyFill="1" applyBorder="1"/>
    <xf numFmtId="37" fontId="130" fillId="20" borderId="247" xfId="0" applyNumberFormat="1" applyFont="1" applyFill="1" applyBorder="1"/>
    <xf numFmtId="171" fontId="130" fillId="0" borderId="246" xfId="0" applyNumberFormat="1" applyFont="1" applyBorder="1"/>
    <xf numFmtId="0" fontId="130" fillId="0" borderId="226" xfId="0" applyFont="1" applyBorder="1"/>
    <xf numFmtId="37" fontId="130" fillId="0" borderId="247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9" fontId="117" fillId="0" borderId="129" xfId="91" applyNumberFormat="1" applyFont="1" applyFill="1" applyBorder="1"/>
    <xf numFmtId="169" fontId="117" fillId="0" borderId="72" xfId="91" applyNumberFormat="1" applyFont="1" applyFill="1" applyBorder="1"/>
    <xf numFmtId="171" fontId="117" fillId="0" borderId="105" xfId="1" applyNumberFormat="1" applyFont="1" applyFill="1" applyBorder="1"/>
    <xf numFmtId="171" fontId="117" fillId="0" borderId="0" xfId="1" applyNumberFormat="1" applyFont="1" applyFill="1"/>
    <xf numFmtId="0" fontId="117" fillId="27" borderId="72" xfId="0" applyFont="1" applyFill="1" applyBorder="1"/>
    <xf numFmtId="172" fontId="130" fillId="20" borderId="226" xfId="0" applyNumberFormat="1" applyFont="1" applyFill="1" applyBorder="1"/>
    <xf numFmtId="172" fontId="130" fillId="0" borderId="226" xfId="0" applyNumberFormat="1" applyFont="1" applyBorder="1"/>
    <xf numFmtId="0" fontId="117" fillId="25" borderId="248" xfId="0" applyFont="1" applyFill="1" applyBorder="1"/>
    <xf numFmtId="0" fontId="117" fillId="0" borderId="248" xfId="0" applyFont="1" applyBorder="1"/>
    <xf numFmtId="172" fontId="117" fillId="0" borderId="223" xfId="0" applyNumberFormat="1" applyFont="1" applyBorder="1"/>
    <xf numFmtId="37" fontId="117" fillId="0" borderId="249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2" fontId="117" fillId="0" borderId="55" xfId="0" applyNumberFormat="1" applyFont="1" applyBorder="1"/>
    <xf numFmtId="0" fontId="117" fillId="25" borderId="250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1" fontId="130" fillId="0" borderId="248" xfId="0" applyNumberFormat="1" applyFont="1" applyBorder="1"/>
    <xf numFmtId="0" fontId="130" fillId="0" borderId="223" xfId="0" applyFont="1" applyBorder="1"/>
    <xf numFmtId="37" fontId="117" fillId="15" borderId="249" xfId="0" applyNumberFormat="1" applyFont="1" applyFill="1" applyBorder="1"/>
    <xf numFmtId="171" fontId="130" fillId="0" borderId="72" xfId="0" applyNumberFormat="1" applyFont="1" applyBorder="1"/>
    <xf numFmtId="0" fontId="130" fillId="0" borderId="0" xfId="0" applyFont="1"/>
    <xf numFmtId="171" fontId="130" fillId="0" borderId="129" xfId="0" applyNumberFormat="1" applyFont="1" applyBorder="1"/>
    <xf numFmtId="0" fontId="117" fillId="20" borderId="226" xfId="0" applyFont="1" applyFill="1" applyBorder="1"/>
    <xf numFmtId="0" fontId="117" fillId="0" borderId="226" xfId="0" applyFont="1" applyBorder="1"/>
    <xf numFmtId="0" fontId="151" fillId="27" borderId="248" xfId="0" applyFont="1" applyFill="1" applyBorder="1"/>
    <xf numFmtId="0" fontId="130" fillId="15" borderId="248" xfId="0" applyFont="1" applyFill="1" applyBorder="1"/>
    <xf numFmtId="0" fontId="117" fillId="15" borderId="223" xfId="0" applyFont="1" applyFill="1" applyBorder="1"/>
    <xf numFmtId="0" fontId="151" fillId="0" borderId="248" xfId="0" applyFont="1" applyBorder="1"/>
    <xf numFmtId="0" fontId="150" fillId="0" borderId="223" xfId="0" applyFont="1" applyBorder="1"/>
    <xf numFmtId="37" fontId="150" fillId="0" borderId="249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1" fontId="130" fillId="20" borderId="251" xfId="0" applyNumberFormat="1" applyFont="1" applyFill="1" applyBorder="1"/>
    <xf numFmtId="37" fontId="130" fillId="20" borderId="252" xfId="0" applyNumberFormat="1" applyFont="1" applyFill="1" applyBorder="1"/>
    <xf numFmtId="0" fontId="130" fillId="0" borderId="132" xfId="0" applyFont="1" applyBorder="1" applyAlignment="1">
      <alignment horizontal="center"/>
    </xf>
    <xf numFmtId="171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1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1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1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1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1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2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5" xfId="0" applyFont="1" applyFill="1" applyBorder="1"/>
    <xf numFmtId="0" fontId="114" fillId="20" borderId="228" xfId="0" applyFont="1" applyFill="1" applyBorder="1"/>
    <xf numFmtId="0" fontId="114" fillId="20" borderId="230" xfId="0" applyFont="1" applyFill="1" applyBorder="1"/>
    <xf numFmtId="0" fontId="114" fillId="0" borderId="236" xfId="0" applyFont="1" applyBorder="1"/>
    <xf numFmtId="0" fontId="114" fillId="15" borderId="222" xfId="0" applyFont="1" applyFill="1" applyBorder="1"/>
    <xf numFmtId="37" fontId="113" fillId="30" borderId="109" xfId="0" applyNumberFormat="1" applyFont="1" applyFill="1" applyBorder="1" applyProtection="1">
      <protection locked="0"/>
    </xf>
    <xf numFmtId="172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39" xfId="0" applyFont="1" applyFill="1" applyBorder="1"/>
    <xf numFmtId="37" fontId="113" fillId="30" borderId="222" xfId="0" applyNumberFormat="1" applyFont="1" applyFill="1" applyBorder="1" applyProtection="1">
      <protection locked="0"/>
    </xf>
    <xf numFmtId="172" fontId="113" fillId="30" borderId="223" xfId="0" applyNumberFormat="1" applyFont="1" applyFill="1" applyBorder="1" applyProtection="1">
      <protection locked="0"/>
    </xf>
    <xf numFmtId="37" fontId="113" fillId="30" borderId="224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2" xfId="0" applyFont="1" applyBorder="1"/>
    <xf numFmtId="0" fontId="114" fillId="20" borderId="241" xfId="0" applyFont="1" applyFill="1" applyBorder="1"/>
    <xf numFmtId="0" fontId="117" fillId="0" borderId="239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3" xfId="0" applyFont="1" applyBorder="1" applyAlignment="1">
      <alignment horizontal="center"/>
    </xf>
    <xf numFmtId="0" fontId="130" fillId="20" borderId="246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1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1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4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169" fillId="0" borderId="0" xfId="0" applyFont="1"/>
    <xf numFmtId="0" fontId="169" fillId="0" borderId="0" xfId="0" applyFont="1" applyAlignment="1">
      <alignment horizontal="center"/>
    </xf>
    <xf numFmtId="37" fontId="90" fillId="12" borderId="170" xfId="0" applyNumberFormat="1" applyFont="1" applyFill="1" applyBorder="1"/>
    <xf numFmtId="1" fontId="87" fillId="0" borderId="0" xfId="0" applyNumberFormat="1" applyFont="1"/>
    <xf numFmtId="0" fontId="170" fillId="0" borderId="0" xfId="0" applyFont="1"/>
    <xf numFmtId="0" fontId="170" fillId="0" borderId="0" xfId="0" applyFont="1" applyAlignment="1">
      <alignment horizontal="center"/>
    </xf>
    <xf numFmtId="4" fontId="70" fillId="12" borderId="1" xfId="8" applyNumberFormat="1" applyFill="1"/>
    <xf numFmtId="3" fontId="86" fillId="0" borderId="0" xfId="0" applyNumberFormat="1" applyFont="1"/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71" xfId="0" applyFont="1" applyBorder="1" applyAlignment="1">
      <alignment horizontal="center"/>
    </xf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4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3"/>
      <tableStyleElement type="firstRowStripe" dxfId="342"/>
      <tableStyleElement type="secondRowStripe" dxfId="341"/>
    </tableStyle>
    <tableStyle name="Data_Validation ex-style" pivot="0" count="3" xr9:uid="{00000000-0011-0000-FFFF-FFFF01000000}">
      <tableStyleElement type="headerRow" dxfId="340"/>
      <tableStyleElement type="firstRowStripe" dxfId="339"/>
      <tableStyleElement type="secondRowStripe" dxfId="338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08">
  <autoFilter ref="A1:G1108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7"/>
    <tableColumn id="7" xr3:uid="{00000000-0010-0000-0000-000007000000}" name="Comptes de ventes" dataDxfId="336"/>
    <tableColumn id="6" xr3:uid="{00000000-0010-0000-0000-000006000000}" name="Type de compte" dataDxfId="335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640625" defaultRowHeight="15" customHeight="1"/>
  <cols>
    <col min="1" max="1" width="13" customWidth="1"/>
    <col min="2" max="2" width="23.6640625" customWidth="1"/>
    <col min="3" max="9" width="9.3320312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299</v>
      </c>
      <c r="C3" s="155">
        <f>+VLOOKUP(B3,$K$3:$L$14,2,0)</f>
        <v>7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>X</v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55" workbookViewId="0">
      <selection activeCell="A14" sqref="A14"/>
    </sheetView>
  </sheetViews>
  <sheetFormatPr baseColWidth="10" defaultColWidth="12.6640625" defaultRowHeight="15" customHeight="1"/>
  <cols>
    <col min="1" max="1" width="59.6640625" customWidth="1"/>
    <col min="2" max="3" width="14.6640625" customWidth="1"/>
    <col min="4" max="4" width="67" customWidth="1"/>
    <col min="5" max="5" width="14.83203125" customWidth="1"/>
    <col min="6" max="6" width="10" customWidth="1"/>
    <col min="7" max="7" width="39.1640625" customWidth="1"/>
    <col min="8" max="25" width="10" customWidth="1"/>
  </cols>
  <sheetData>
    <row r="1" spans="1:25" ht="20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">
      <c r="A3" s="7" t="str">
        <f>CONCATENATE("",,Parametres!B3," ",Parametres!B4)</f>
        <v>Juillet 2026</v>
      </c>
      <c r="B3" s="2"/>
      <c r="C3" s="2"/>
      <c r="D3" s="2"/>
      <c r="E3" s="103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" thickTop="1">
      <c r="A5" s="8" t="s">
        <v>8</v>
      </c>
      <c r="B5" s="1031">
        <f>SUMIFS(BV_Data_An_Cour!$P:$P,BV_Data_An_Cour!$U:$U,$A$1,BV_Data_An_Cour!$V:$V,$A5)</f>
        <v>1872073.97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1872073.97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835352.95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175455.22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174771.52</v>
      </c>
      <c r="C10" s="459"/>
      <c r="D10" s="10" t="s">
        <v>16</v>
      </c>
      <c r="E10" s="486">
        <f>-SUMIFS(BV_Data_An_Cour!$P:$P,BV_Data_An_Cour!$U:$U,$A$1,BV_Data_An_Cour!$V:$V,$D10)</f>
        <v>130352.87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113585.72</v>
      </c>
      <c r="C11" s="459"/>
      <c r="D11" s="10" t="s">
        <v>18</v>
      </c>
      <c r="E11" s="486">
        <f>-SUMIFS(BV_Data_An_Cour!$P:$P,BV_Data_An_Cour!$U:$U,$A$1,BV_Data_An_Cour!$V:$V,$D11)</f>
        <v>12978.589999999993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39666.47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146342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-7187143.21</v>
      </c>
      <c r="C14" s="459"/>
      <c r="D14" s="10" t="s">
        <v>24</v>
      </c>
      <c r="E14" s="486">
        <f>-SUMIFS(BV_Data_An_Cour!$P:$P,BV_Data_An_Cour!$U:$U,$A$1,BV_Data_An_Cour!$V:$V,$D14)</f>
        <v>-8298.58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81914.899999999994</v>
      </c>
      <c r="C15" s="459"/>
      <c r="D15" s="10" t="s">
        <v>26</v>
      </c>
      <c r="E15" s="486">
        <f>-SUMIFS(BV_Data_An_Cour!$P:$P,BV_Data_An_Cour!$U:$U,$A$1,BV_Data_An_Cour!$V:$V,$D15)</f>
        <v>1178.4199999999837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-5766396.4299999997</v>
      </c>
      <c r="C16" s="460"/>
      <c r="D16" s="9" t="s">
        <v>28</v>
      </c>
      <c r="E16" s="491">
        <f>+SUM(E10:E15)</f>
        <v>282553.29999999993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7951295.3200000003</v>
      </c>
      <c r="C18" s="459"/>
      <c r="D18" s="10" t="s">
        <v>30</v>
      </c>
      <c r="E18" s="486">
        <f>-SUMIFS(BV_Data_An_Cour!$P:$P,BV_Data_An_Cour!$U:$U,$A$1,BV_Data_An_Cour!$V:$V,$D18)</f>
        <v>9128398.2699999996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2473736.5499999998</v>
      </c>
      <c r="C19" s="459"/>
      <c r="D19" s="10" t="s">
        <v>32</v>
      </c>
      <c r="E19" s="486">
        <f>-SUMIFS(BV_Data_An_Cour!$P:$P,BV_Data_An_Cour!$U:$U,$A$1,BV_Data_An_Cour!$V:$V,$D19)</f>
        <v>1710931.03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455698.92</v>
      </c>
      <c r="C20" s="459"/>
      <c r="D20" s="9" t="s">
        <v>34</v>
      </c>
      <c r="E20" s="491">
        <f>+SUM(E18:E19)</f>
        <v>10839329.299999999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10880730.790000001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212284.62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1035.6900000000003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8788.9399999999987</v>
      </c>
      <c r="C24" s="459"/>
      <c r="D24" s="10" t="s">
        <v>40</v>
      </c>
      <c r="E24" s="486">
        <f>-SUMIFS(BV_Data_An_Cour!$P:$P,BV_Data_An_Cour!$U:$U,$A$1,BV_Data_An_Cour!$V:$V,$D24)</f>
        <v>231538.33000000002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-2389.25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393716.76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444858.64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400116.45</v>
      </c>
      <c r="C30" s="460"/>
      <c r="D30" s="12" t="s">
        <v>46</v>
      </c>
      <c r="E30" s="487">
        <f>+E5+E7+E16+E20+E28</f>
        <v>11566741.24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7386524.7800000012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2">
        <f>-SUMIFS(BV_Data_An_Cour!$P:$P,BV_Data_An_Cour!$U:$U,$A$1,BV_Data_An_Cour!$V:$V,$D33)</f>
        <v>-30582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454880.86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5210709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141047.97999999998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188236.51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27902.23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5635007.8600000003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9244.02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368271.74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17201749.100000001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989165.43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9460959</v>
      </c>
      <c r="C48" s="460"/>
      <c r="D48" s="10" t="s">
        <v>67</v>
      </c>
      <c r="E48" s="486">
        <f>-SUMIFS(BV_Data_An_Cour!$P:$P,BV_Data_An_Cour!$U:$U,$A$1,BV_Data_An_Cour!$V:$V,$D48)</f>
        <v>120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1003051.8499999982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10818396.17</v>
      </c>
      <c r="C53" s="461"/>
      <c r="D53" s="12" t="s">
        <v>72</v>
      </c>
      <c r="E53" s="487">
        <f>SUM(E48:E51)</f>
        <v>1003171.8499999982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18204920.950000003</v>
      </c>
      <c r="C56" s="461"/>
      <c r="D56" s="12" t="s">
        <v>74</v>
      </c>
      <c r="E56" s="487">
        <f>+E53+E45</f>
        <v>18204920.949999999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"/>
  <cols>
    <col min="1" max="3" width="11" style="737"/>
    <col min="4" max="4" width="15.6640625" style="737" bestFit="1" customWidth="1"/>
    <col min="5" max="5" width="11.1640625" style="738" customWidth="1"/>
    <col min="6" max="6" width="12.1640625" style="738" bestFit="1" customWidth="1"/>
    <col min="7" max="7" width="20" style="737" bestFit="1" customWidth="1"/>
    <col min="8" max="8" width="11.6640625" style="737" customWidth="1"/>
    <col min="9" max="11" width="11" style="731"/>
    <col min="12" max="12" width="12.33203125" style="731" bestFit="1" customWidth="1"/>
    <col min="13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2157</v>
      </c>
      <c r="E1" s="729" t="s">
        <v>2158</v>
      </c>
      <c r="F1" s="729" t="s">
        <v>2159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>
      <c r="A2" s="733" t="s">
        <v>2554</v>
      </c>
      <c r="B2" s="733" t="s">
        <v>2555</v>
      </c>
      <c r="C2" s="733" t="s">
        <v>2556</v>
      </c>
      <c r="D2" s="733" t="s">
        <v>625</v>
      </c>
      <c r="E2" s="802">
        <v>65121.87</v>
      </c>
      <c r="F2" s="802">
        <v>-60905.25</v>
      </c>
      <c r="G2" s="733" t="s">
        <v>2557</v>
      </c>
      <c r="H2" s="734">
        <v>478</v>
      </c>
      <c r="K2" s="732" t="s">
        <v>2162</v>
      </c>
      <c r="L2" s="735">
        <f>+SUM(E2:E10000)</f>
        <v>3938633.3000000003</v>
      </c>
      <c r="M2" s="736">
        <f>+SUM(F2:F10000)</f>
        <v>-3910068.02</v>
      </c>
    </row>
    <row r="3" spans="1:13">
      <c r="A3" s="733" t="s">
        <v>2558</v>
      </c>
      <c r="B3" s="733" t="s">
        <v>2555</v>
      </c>
      <c r="C3" s="733" t="s">
        <v>2556</v>
      </c>
      <c r="D3" s="733" t="s">
        <v>625</v>
      </c>
      <c r="E3" s="802">
        <v>63963.67</v>
      </c>
      <c r="F3" s="802"/>
      <c r="G3" s="733" t="s">
        <v>2559</v>
      </c>
      <c r="H3" s="734">
        <v>465</v>
      </c>
      <c r="L3" s="735">
        <f>+COUNT(E2:E10000)</f>
        <v>45</v>
      </c>
    </row>
    <row r="4" spans="1:13">
      <c r="A4" s="733" t="s">
        <v>2560</v>
      </c>
      <c r="B4" s="733" t="s">
        <v>2555</v>
      </c>
      <c r="C4" s="733" t="s">
        <v>2556</v>
      </c>
      <c r="D4" s="733" t="s">
        <v>2561</v>
      </c>
      <c r="E4" s="802">
        <v>75509.5</v>
      </c>
      <c r="F4" s="802"/>
      <c r="G4" s="733" t="s">
        <v>2562</v>
      </c>
      <c r="H4" s="734">
        <v>411</v>
      </c>
    </row>
    <row r="5" spans="1:13">
      <c r="A5" s="733" t="s">
        <v>2563</v>
      </c>
      <c r="B5" s="733" t="s">
        <v>2555</v>
      </c>
      <c r="C5" s="733" t="s">
        <v>2564</v>
      </c>
      <c r="D5" s="733" t="s">
        <v>2565</v>
      </c>
      <c r="E5" s="802">
        <v>84833.61</v>
      </c>
      <c r="F5" s="802">
        <v>-88452</v>
      </c>
      <c r="G5" s="733" t="s">
        <v>2566</v>
      </c>
      <c r="H5" s="734">
        <v>146</v>
      </c>
    </row>
    <row r="6" spans="1:13">
      <c r="A6" s="733" t="s">
        <v>2567</v>
      </c>
      <c r="B6" s="733" t="s">
        <v>2555</v>
      </c>
      <c r="C6" s="733" t="s">
        <v>2556</v>
      </c>
      <c r="D6" s="733" t="s">
        <v>2568</v>
      </c>
      <c r="E6" s="802">
        <v>66617.36</v>
      </c>
      <c r="F6" s="802">
        <v>-69326.25</v>
      </c>
      <c r="G6" s="733" t="s">
        <v>2569</v>
      </c>
      <c r="H6" s="734">
        <v>151</v>
      </c>
    </row>
    <row r="7" spans="1:13">
      <c r="A7" s="733" t="s">
        <v>2570</v>
      </c>
      <c r="B7" s="733" t="s">
        <v>2555</v>
      </c>
      <c r="C7" s="733" t="s">
        <v>2564</v>
      </c>
      <c r="D7" s="733" t="s">
        <v>2565</v>
      </c>
      <c r="E7" s="802">
        <v>73335.37</v>
      </c>
      <c r="F7" s="802">
        <v>-69809.25</v>
      </c>
      <c r="G7" s="733" t="s">
        <v>2571</v>
      </c>
      <c r="H7" s="734">
        <v>143</v>
      </c>
    </row>
    <row r="8" spans="1:13">
      <c r="A8" s="733" t="s">
        <v>2572</v>
      </c>
      <c r="B8" s="733" t="s">
        <v>2555</v>
      </c>
      <c r="C8" s="733" t="s">
        <v>2564</v>
      </c>
      <c r="D8" s="733" t="s">
        <v>2573</v>
      </c>
      <c r="E8" s="802">
        <v>50471.49</v>
      </c>
      <c r="F8" s="802">
        <v>-50473.5</v>
      </c>
      <c r="G8" s="733" t="s">
        <v>2574</v>
      </c>
      <c r="H8" s="734">
        <v>67</v>
      </c>
    </row>
    <row r="9" spans="1:13">
      <c r="A9" s="733" t="s">
        <v>2575</v>
      </c>
      <c r="B9" s="733" t="s">
        <v>2555</v>
      </c>
      <c r="C9" s="733" t="s">
        <v>2564</v>
      </c>
      <c r="D9" s="733" t="s">
        <v>2573</v>
      </c>
      <c r="E9" s="802">
        <v>50262.11</v>
      </c>
      <c r="F9" s="802">
        <v>-52143</v>
      </c>
      <c r="G9" s="733" t="s">
        <v>2576</v>
      </c>
      <c r="H9" s="734">
        <v>58</v>
      </c>
    </row>
    <row r="10" spans="1:13">
      <c r="A10" s="733" t="s">
        <v>2577</v>
      </c>
      <c r="B10" s="733" t="s">
        <v>2578</v>
      </c>
      <c r="C10" s="733" t="s">
        <v>2564</v>
      </c>
      <c r="D10" s="733" t="s">
        <v>2579</v>
      </c>
      <c r="E10" s="802">
        <v>95266.49</v>
      </c>
      <c r="F10" s="802">
        <v>-95303.25</v>
      </c>
      <c r="G10" s="733" t="s">
        <v>2580</v>
      </c>
      <c r="H10" s="734">
        <v>158</v>
      </c>
    </row>
    <row r="11" spans="1:13">
      <c r="A11" s="733" t="s">
        <v>2581</v>
      </c>
      <c r="B11" s="733" t="s">
        <v>2578</v>
      </c>
      <c r="C11" s="733" t="s">
        <v>2564</v>
      </c>
      <c r="D11" s="733" t="s">
        <v>2582</v>
      </c>
      <c r="E11" s="802">
        <v>126612.36</v>
      </c>
      <c r="F11" s="802">
        <v>-131675.25</v>
      </c>
      <c r="G11" s="733" t="s">
        <v>2583</v>
      </c>
      <c r="H11" s="734">
        <v>149</v>
      </c>
    </row>
    <row r="12" spans="1:13">
      <c r="A12" s="733" t="s">
        <v>2584</v>
      </c>
      <c r="B12" s="733" t="s">
        <v>2578</v>
      </c>
      <c r="C12" s="733" t="s">
        <v>2585</v>
      </c>
      <c r="D12" s="733" t="s">
        <v>2586</v>
      </c>
      <c r="E12" s="802">
        <v>97633.14</v>
      </c>
      <c r="F12" s="802">
        <v>-97203.75</v>
      </c>
      <c r="G12" s="733" t="s">
        <v>2587</v>
      </c>
      <c r="H12" s="734">
        <v>152</v>
      </c>
    </row>
    <row r="13" spans="1:13">
      <c r="A13" s="733" t="s">
        <v>2588</v>
      </c>
      <c r="B13" s="733" t="s">
        <v>2578</v>
      </c>
      <c r="C13" s="733" t="s">
        <v>2564</v>
      </c>
      <c r="D13" s="733" t="s">
        <v>2589</v>
      </c>
      <c r="E13" s="802">
        <v>103328.55</v>
      </c>
      <c r="F13" s="802">
        <v>-107651.25</v>
      </c>
      <c r="G13" s="733" t="s">
        <v>2590</v>
      </c>
      <c r="H13" s="734">
        <v>144</v>
      </c>
    </row>
    <row r="14" spans="1:13">
      <c r="A14" s="733" t="s">
        <v>2591</v>
      </c>
      <c r="B14" s="733" t="s">
        <v>2578</v>
      </c>
      <c r="C14" s="733" t="s">
        <v>2556</v>
      </c>
      <c r="D14" s="733" t="s">
        <v>2592</v>
      </c>
      <c r="E14" s="802">
        <v>66533.61</v>
      </c>
      <c r="F14" s="802">
        <v>-69237</v>
      </c>
      <c r="G14" s="733" t="s">
        <v>2593</v>
      </c>
      <c r="H14" s="734">
        <v>144</v>
      </c>
    </row>
    <row r="15" spans="1:13">
      <c r="A15" s="733" t="s">
        <v>2594</v>
      </c>
      <c r="B15" s="733" t="s">
        <v>2578</v>
      </c>
      <c r="C15" s="733" t="s">
        <v>2585</v>
      </c>
      <c r="D15" s="733" t="s">
        <v>2595</v>
      </c>
      <c r="E15" s="802">
        <v>159476.47</v>
      </c>
      <c r="F15" s="802">
        <v>-173664.75</v>
      </c>
      <c r="G15" s="733" t="s">
        <v>2596</v>
      </c>
      <c r="H15" s="734">
        <v>142</v>
      </c>
    </row>
    <row r="16" spans="1:13">
      <c r="A16" s="733" t="s">
        <v>2597</v>
      </c>
      <c r="B16" s="733" t="s">
        <v>2578</v>
      </c>
      <c r="C16" s="733" t="s">
        <v>2556</v>
      </c>
      <c r="D16" s="733" t="s">
        <v>2598</v>
      </c>
      <c r="E16" s="802">
        <v>62907.21</v>
      </c>
      <c r="F16" s="802">
        <v>-60149.52</v>
      </c>
      <c r="G16" s="733" t="s">
        <v>2599</v>
      </c>
      <c r="H16" s="734">
        <v>117</v>
      </c>
    </row>
    <row r="17" spans="1:8">
      <c r="A17" s="733" t="s">
        <v>2600</v>
      </c>
      <c r="B17" s="733" t="s">
        <v>2578</v>
      </c>
      <c r="C17" s="733" t="s">
        <v>2556</v>
      </c>
      <c r="D17" s="733" t="s">
        <v>2598</v>
      </c>
      <c r="E17" s="802">
        <v>68631.759999999995</v>
      </c>
      <c r="F17" s="802">
        <v>-71326.5</v>
      </c>
      <c r="G17" s="733" t="s">
        <v>2601</v>
      </c>
      <c r="H17" s="734">
        <v>117</v>
      </c>
    </row>
    <row r="18" spans="1:8">
      <c r="A18" s="733" t="s">
        <v>2602</v>
      </c>
      <c r="B18" s="733" t="s">
        <v>2578</v>
      </c>
      <c r="C18" s="733" t="s">
        <v>2556</v>
      </c>
      <c r="D18" s="733" t="s">
        <v>2603</v>
      </c>
      <c r="E18" s="802">
        <v>100033.61</v>
      </c>
      <c r="F18" s="802">
        <v>-104328</v>
      </c>
      <c r="G18" s="733" t="s">
        <v>2604</v>
      </c>
      <c r="H18" s="734">
        <v>117</v>
      </c>
    </row>
    <row r="19" spans="1:8">
      <c r="A19" s="733" t="s">
        <v>2605</v>
      </c>
      <c r="B19" s="733" t="s">
        <v>2578</v>
      </c>
      <c r="C19" s="733" t="s">
        <v>2585</v>
      </c>
      <c r="D19" s="733" t="s">
        <v>2606</v>
      </c>
      <c r="E19" s="802">
        <v>102873.63</v>
      </c>
      <c r="F19" s="802">
        <v>-107409.75</v>
      </c>
      <c r="G19" s="733" t="s">
        <v>2607</v>
      </c>
      <c r="H19" s="734">
        <v>117</v>
      </c>
    </row>
    <row r="20" spans="1:8">
      <c r="A20" s="733" t="s">
        <v>2608</v>
      </c>
      <c r="B20" s="733" t="s">
        <v>2578</v>
      </c>
      <c r="C20" s="733" t="s">
        <v>2556</v>
      </c>
      <c r="D20" s="733" t="s">
        <v>2609</v>
      </c>
      <c r="E20" s="802">
        <v>79327.11</v>
      </c>
      <c r="F20" s="802">
        <v>-82661.25</v>
      </c>
      <c r="G20" s="733" t="s">
        <v>2610</v>
      </c>
      <c r="H20" s="734">
        <v>114</v>
      </c>
    </row>
    <row r="21" spans="1:8">
      <c r="A21" s="733" t="s">
        <v>2611</v>
      </c>
      <c r="B21" s="733" t="s">
        <v>2578</v>
      </c>
      <c r="C21" s="733" t="s">
        <v>2564</v>
      </c>
      <c r="D21" s="733" t="s">
        <v>2565</v>
      </c>
      <c r="E21" s="802">
        <v>73721.05</v>
      </c>
      <c r="F21" s="802">
        <v>-72786</v>
      </c>
      <c r="G21" s="733" t="s">
        <v>2612</v>
      </c>
      <c r="H21" s="734">
        <v>101</v>
      </c>
    </row>
    <row r="22" spans="1:8">
      <c r="A22" s="733" t="s">
        <v>2613</v>
      </c>
      <c r="B22" s="733" t="s">
        <v>2578</v>
      </c>
      <c r="C22" s="733" t="s">
        <v>2564</v>
      </c>
      <c r="D22" s="733" t="s">
        <v>2565</v>
      </c>
      <c r="E22" s="802">
        <v>99958.61</v>
      </c>
      <c r="F22" s="802">
        <v>-104333.25</v>
      </c>
      <c r="G22" s="733" t="s">
        <v>2614</v>
      </c>
      <c r="H22" s="734">
        <v>93</v>
      </c>
    </row>
    <row r="23" spans="1:8">
      <c r="A23" s="733" t="s">
        <v>2615</v>
      </c>
      <c r="B23" s="733" t="s">
        <v>2578</v>
      </c>
      <c r="C23" s="733" t="s">
        <v>2564</v>
      </c>
      <c r="D23" s="733" t="s">
        <v>2565</v>
      </c>
      <c r="E23" s="802">
        <v>62153.61</v>
      </c>
      <c r="F23" s="802">
        <v>-61905</v>
      </c>
      <c r="G23" s="733" t="s">
        <v>2616</v>
      </c>
      <c r="H23" s="734">
        <v>102</v>
      </c>
    </row>
    <row r="24" spans="1:8">
      <c r="A24" s="733" t="s">
        <v>2617</v>
      </c>
      <c r="B24" s="733" t="s">
        <v>2578</v>
      </c>
      <c r="C24" s="733" t="s">
        <v>2564</v>
      </c>
      <c r="D24" s="733" t="s">
        <v>2582</v>
      </c>
      <c r="E24" s="802">
        <v>131769.5</v>
      </c>
      <c r="F24" s="802">
        <v>-132239.5</v>
      </c>
      <c r="G24" s="733" t="s">
        <v>2618</v>
      </c>
      <c r="H24" s="734">
        <v>100</v>
      </c>
    </row>
    <row r="25" spans="1:8">
      <c r="A25" s="733" t="s">
        <v>2619</v>
      </c>
      <c r="B25" s="733" t="s">
        <v>2578</v>
      </c>
      <c r="C25" s="733" t="s">
        <v>2556</v>
      </c>
      <c r="D25" s="733" t="s">
        <v>2620</v>
      </c>
      <c r="E25" s="802">
        <v>150512.10999999999</v>
      </c>
      <c r="F25" s="802">
        <v>-157405.5</v>
      </c>
      <c r="G25" s="733" t="s">
        <v>2621</v>
      </c>
      <c r="H25" s="734">
        <v>81</v>
      </c>
    </row>
    <row r="26" spans="1:8">
      <c r="A26" s="733" t="s">
        <v>2622</v>
      </c>
      <c r="B26" s="733" t="s">
        <v>2578</v>
      </c>
      <c r="C26" s="733" t="s">
        <v>2556</v>
      </c>
      <c r="D26" s="733" t="s">
        <v>2568</v>
      </c>
      <c r="E26" s="802">
        <v>59033.61</v>
      </c>
      <c r="F26" s="802">
        <v>-61362</v>
      </c>
      <c r="G26" s="733" t="s">
        <v>2623</v>
      </c>
      <c r="H26" s="734">
        <v>69</v>
      </c>
    </row>
    <row r="27" spans="1:8">
      <c r="A27" s="733" t="s">
        <v>2624</v>
      </c>
      <c r="B27" s="733" t="s">
        <v>2578</v>
      </c>
      <c r="C27" s="733" t="s">
        <v>2556</v>
      </c>
      <c r="D27" s="733" t="s">
        <v>2598</v>
      </c>
      <c r="E27" s="802">
        <v>68350.41</v>
      </c>
      <c r="F27" s="802">
        <v>-68491.5</v>
      </c>
      <c r="G27" s="733" t="s">
        <v>2625</v>
      </c>
      <c r="H27" s="734">
        <v>76</v>
      </c>
    </row>
    <row r="28" spans="1:8">
      <c r="A28" s="733" t="s">
        <v>2626</v>
      </c>
      <c r="B28" s="733" t="s">
        <v>2578</v>
      </c>
      <c r="C28" s="733" t="s">
        <v>2556</v>
      </c>
      <c r="D28" s="733" t="s">
        <v>2598</v>
      </c>
      <c r="E28" s="802">
        <v>64527.11</v>
      </c>
      <c r="F28" s="802">
        <v>-67121.25</v>
      </c>
      <c r="G28" s="733" t="s">
        <v>2627</v>
      </c>
      <c r="H28" s="734">
        <v>54</v>
      </c>
    </row>
    <row r="29" spans="1:8">
      <c r="A29" s="733" t="s">
        <v>2628</v>
      </c>
      <c r="B29" s="733" t="s">
        <v>2578</v>
      </c>
      <c r="C29" s="733" t="s">
        <v>2564</v>
      </c>
      <c r="D29" s="733" t="s">
        <v>2582</v>
      </c>
      <c r="E29" s="802">
        <v>124302.9</v>
      </c>
      <c r="F29" s="802">
        <v>-129884.5</v>
      </c>
      <c r="G29" s="733" t="s">
        <v>2629</v>
      </c>
      <c r="H29" s="734">
        <v>75</v>
      </c>
    </row>
    <row r="30" spans="1:8">
      <c r="A30" s="733" t="s">
        <v>2630</v>
      </c>
      <c r="B30" s="733" t="s">
        <v>2578</v>
      </c>
      <c r="C30" s="733" t="s">
        <v>2556</v>
      </c>
      <c r="D30" s="733" t="s">
        <v>2592</v>
      </c>
      <c r="E30" s="802">
        <v>88302.11</v>
      </c>
      <c r="F30" s="802">
        <v>-92085</v>
      </c>
      <c r="G30" s="733" t="s">
        <v>2631</v>
      </c>
      <c r="H30" s="734">
        <v>62</v>
      </c>
    </row>
    <row r="31" spans="1:8">
      <c r="A31" s="733" t="s">
        <v>2632</v>
      </c>
      <c r="B31" s="733" t="s">
        <v>2578</v>
      </c>
      <c r="C31" s="733" t="s">
        <v>2564</v>
      </c>
      <c r="D31" s="733" t="s">
        <v>2565</v>
      </c>
      <c r="E31" s="802">
        <v>66086.89</v>
      </c>
      <c r="F31" s="802">
        <v>-65273.25</v>
      </c>
      <c r="G31" s="733" t="s">
        <v>2633</v>
      </c>
      <c r="H31" s="734">
        <v>44</v>
      </c>
    </row>
    <row r="32" spans="1:8">
      <c r="A32" s="733" t="s">
        <v>2634</v>
      </c>
      <c r="B32" s="733" t="s">
        <v>2578</v>
      </c>
      <c r="C32" s="733" t="s">
        <v>2556</v>
      </c>
      <c r="D32" s="733" t="s">
        <v>2620</v>
      </c>
      <c r="E32" s="802">
        <v>152133.60999999999</v>
      </c>
      <c r="F32" s="802">
        <v>-159117</v>
      </c>
      <c r="G32" s="733" t="s">
        <v>2635</v>
      </c>
      <c r="H32" s="734">
        <v>47</v>
      </c>
    </row>
    <row r="33" spans="1:8">
      <c r="A33" s="733" t="s">
        <v>2636</v>
      </c>
      <c r="B33" s="733" t="s">
        <v>2578</v>
      </c>
      <c r="C33" s="733" t="s">
        <v>2564</v>
      </c>
      <c r="D33" s="733" t="s">
        <v>2589</v>
      </c>
      <c r="E33" s="802">
        <v>102062.11</v>
      </c>
      <c r="F33" s="802">
        <v>-106533</v>
      </c>
      <c r="G33" s="733" t="s">
        <v>2637</v>
      </c>
      <c r="H33" s="734">
        <v>41</v>
      </c>
    </row>
    <row r="34" spans="1:8">
      <c r="A34" s="733" t="s">
        <v>2638</v>
      </c>
      <c r="B34" s="733" t="s">
        <v>2578</v>
      </c>
      <c r="C34" s="733" t="s">
        <v>2564</v>
      </c>
      <c r="D34" s="733" t="s">
        <v>2517</v>
      </c>
      <c r="E34" s="802">
        <v>256374.68</v>
      </c>
      <c r="F34" s="802">
        <v>-260331.75</v>
      </c>
      <c r="G34" s="733" t="s">
        <v>2639</v>
      </c>
      <c r="H34" s="734">
        <v>53</v>
      </c>
    </row>
    <row r="35" spans="1:8">
      <c r="A35" s="733" t="s">
        <v>2640</v>
      </c>
      <c r="B35" s="733" t="s">
        <v>2578</v>
      </c>
      <c r="C35" s="733" t="s">
        <v>2556</v>
      </c>
      <c r="D35" s="733" t="s">
        <v>2598</v>
      </c>
      <c r="E35" s="802">
        <v>62523.61</v>
      </c>
      <c r="F35" s="802">
        <v>-65026.5</v>
      </c>
      <c r="G35" s="733" t="s">
        <v>2641</v>
      </c>
      <c r="H35" s="734">
        <v>39</v>
      </c>
    </row>
    <row r="36" spans="1:8">
      <c r="A36" s="733" t="s">
        <v>2642</v>
      </c>
      <c r="B36" s="733" t="s">
        <v>2578</v>
      </c>
      <c r="C36" s="733" t="s">
        <v>2556</v>
      </c>
      <c r="D36" s="733" t="s">
        <v>2643</v>
      </c>
      <c r="E36" s="802">
        <v>65907.61</v>
      </c>
      <c r="F36" s="802">
        <v>-64921.5</v>
      </c>
      <c r="G36" s="733" t="s">
        <v>2644</v>
      </c>
      <c r="H36" s="734">
        <v>32</v>
      </c>
    </row>
    <row r="37" spans="1:8">
      <c r="A37" s="733" t="s">
        <v>2645</v>
      </c>
      <c r="B37" s="733" t="s">
        <v>2578</v>
      </c>
      <c r="C37" s="733" t="s">
        <v>2585</v>
      </c>
      <c r="D37" s="733" t="s">
        <v>2646</v>
      </c>
      <c r="E37" s="802">
        <v>105460</v>
      </c>
      <c r="F37" s="802">
        <v>-110733</v>
      </c>
      <c r="G37" s="733" t="s">
        <v>2647</v>
      </c>
      <c r="H37" s="734">
        <v>27</v>
      </c>
    </row>
    <row r="38" spans="1:8">
      <c r="A38" s="733" t="s">
        <v>2648</v>
      </c>
      <c r="B38" s="733" t="s">
        <v>2578</v>
      </c>
      <c r="C38" s="733" t="s">
        <v>2564</v>
      </c>
      <c r="D38" s="733" t="s">
        <v>2573</v>
      </c>
      <c r="E38" s="802">
        <v>50652.37</v>
      </c>
      <c r="F38" s="802">
        <v>-51161.25</v>
      </c>
      <c r="G38" s="733" t="s">
        <v>2649</v>
      </c>
      <c r="H38" s="734">
        <v>23</v>
      </c>
    </row>
    <row r="39" spans="1:8">
      <c r="A39" s="733" t="s">
        <v>2650</v>
      </c>
      <c r="B39" s="733" t="s">
        <v>2578</v>
      </c>
      <c r="C39" s="733" t="s">
        <v>2564</v>
      </c>
      <c r="D39" s="733" t="s">
        <v>2573</v>
      </c>
      <c r="E39" s="802">
        <v>52861.87</v>
      </c>
      <c r="F39" s="802">
        <v>-54873</v>
      </c>
      <c r="G39" s="733" t="s">
        <v>2651</v>
      </c>
      <c r="H39" s="734">
        <v>23</v>
      </c>
    </row>
    <row r="40" spans="1:8">
      <c r="A40" s="733" t="s">
        <v>2652</v>
      </c>
      <c r="B40" s="733" t="s">
        <v>2578</v>
      </c>
      <c r="C40" s="733" t="s">
        <v>2564</v>
      </c>
      <c r="D40" s="733" t="s">
        <v>2565</v>
      </c>
      <c r="E40" s="802">
        <v>62766.87</v>
      </c>
      <c r="F40" s="802">
        <v>-65273.25</v>
      </c>
      <c r="G40" s="733" t="s">
        <v>2653</v>
      </c>
      <c r="H40" s="734">
        <v>20</v>
      </c>
    </row>
    <row r="41" spans="1:8">
      <c r="A41" s="733" t="s">
        <v>2654</v>
      </c>
      <c r="B41" s="733" t="s">
        <v>2578</v>
      </c>
      <c r="C41" s="733" t="s">
        <v>2564</v>
      </c>
      <c r="D41" s="733" t="s">
        <v>2565</v>
      </c>
      <c r="E41" s="802">
        <v>84801.87</v>
      </c>
      <c r="F41" s="802">
        <v>-88410</v>
      </c>
      <c r="G41" s="733" t="s">
        <v>2655</v>
      </c>
      <c r="H41" s="734">
        <v>20</v>
      </c>
    </row>
    <row r="42" spans="1:8">
      <c r="A42" s="733" t="s">
        <v>2656</v>
      </c>
      <c r="B42" s="733" t="s">
        <v>2578</v>
      </c>
      <c r="C42" s="733" t="s">
        <v>2564</v>
      </c>
      <c r="D42" s="733" t="s">
        <v>2573</v>
      </c>
      <c r="E42" s="802">
        <v>56811.87</v>
      </c>
      <c r="F42" s="802">
        <v>-59020.5</v>
      </c>
      <c r="G42" s="733" t="s">
        <v>2657</v>
      </c>
      <c r="H42" s="734">
        <v>20</v>
      </c>
    </row>
    <row r="43" spans="1:8">
      <c r="A43" s="733" t="s">
        <v>2658</v>
      </c>
      <c r="B43" s="733" t="s">
        <v>2578</v>
      </c>
      <c r="C43" s="733" t="s">
        <v>2564</v>
      </c>
      <c r="D43" s="733" t="s">
        <v>2565</v>
      </c>
      <c r="E43" s="802">
        <v>75685</v>
      </c>
      <c r="F43" s="802">
        <v>-79469.25</v>
      </c>
      <c r="G43" s="733" t="s">
        <v>2659</v>
      </c>
      <c r="H43" s="734">
        <v>20</v>
      </c>
    </row>
    <row r="44" spans="1:8">
      <c r="A44" s="733" t="s">
        <v>2660</v>
      </c>
      <c r="B44" s="733" t="s">
        <v>2578</v>
      </c>
      <c r="C44" s="733" t="s">
        <v>2564</v>
      </c>
      <c r="D44" s="733" t="s">
        <v>2579</v>
      </c>
      <c r="E44" s="802">
        <v>101600</v>
      </c>
      <c r="F44" s="802">
        <v>-106680</v>
      </c>
      <c r="G44" s="733" t="s">
        <v>2661</v>
      </c>
      <c r="H44" s="734">
        <v>9</v>
      </c>
    </row>
    <row r="45" spans="1:8">
      <c r="A45" s="733" t="s">
        <v>2662</v>
      </c>
      <c r="B45" s="733" t="s">
        <v>2578</v>
      </c>
      <c r="C45" s="733" t="s">
        <v>2564</v>
      </c>
      <c r="D45" s="733" t="s">
        <v>2565</v>
      </c>
      <c r="E45" s="802">
        <v>62165</v>
      </c>
      <c r="F45" s="802">
        <v>-65273.25</v>
      </c>
      <c r="G45" s="733" t="s">
        <v>2663</v>
      </c>
      <c r="H45" s="734">
        <v>9</v>
      </c>
    </row>
    <row r="46" spans="1:8">
      <c r="A46" s="733" t="s">
        <v>2664</v>
      </c>
      <c r="B46" s="733" t="s">
        <v>2578</v>
      </c>
      <c r="C46" s="733" t="s">
        <v>2564</v>
      </c>
      <c r="D46" s="733" t="s">
        <v>2565</v>
      </c>
      <c r="E46" s="802">
        <v>65370</v>
      </c>
      <c r="F46" s="802">
        <v>-68638.5</v>
      </c>
      <c r="G46" s="733" t="s">
        <v>2665</v>
      </c>
      <c r="H46" s="734">
        <v>9</v>
      </c>
    </row>
    <row r="47" spans="1:8">
      <c r="A47" s="733"/>
      <c r="B47" s="733"/>
      <c r="C47" s="733"/>
      <c r="D47" s="733"/>
      <c r="E47" s="802"/>
      <c r="F47" s="802"/>
      <c r="G47" s="733"/>
      <c r="H47" s="734"/>
    </row>
    <row r="48" spans="1:8">
      <c r="A48" s="733"/>
      <c r="B48" s="733"/>
      <c r="C48" s="733"/>
      <c r="D48" s="733"/>
      <c r="E48" s="802"/>
      <c r="F48" s="802"/>
      <c r="G48" s="733"/>
      <c r="H48" s="734"/>
    </row>
    <row r="49" spans="1:8">
      <c r="A49" s="733"/>
      <c r="B49" s="733"/>
      <c r="C49" s="733"/>
      <c r="D49" s="733"/>
      <c r="E49" s="802"/>
      <c r="F49" s="802"/>
      <c r="G49" s="733"/>
      <c r="H49" s="734"/>
    </row>
    <row r="50" spans="1:8">
      <c r="A50" s="733"/>
      <c r="B50" s="733"/>
      <c r="C50" s="733"/>
      <c r="D50" s="733"/>
      <c r="E50" s="802"/>
      <c r="F50" s="802"/>
      <c r="G50" s="733"/>
      <c r="H50" s="734"/>
    </row>
    <row r="51" spans="1:8">
      <c r="A51" s="733"/>
      <c r="B51" s="733"/>
      <c r="C51" s="733"/>
      <c r="D51" s="733"/>
      <c r="E51" s="802"/>
      <c r="F51" s="802"/>
      <c r="G51" s="733"/>
      <c r="H51" s="734"/>
    </row>
    <row r="52" spans="1:8">
      <c r="A52" s="733"/>
      <c r="B52" s="733"/>
      <c r="C52" s="733"/>
      <c r="D52" s="733"/>
      <c r="E52" s="802"/>
      <c r="F52" s="802"/>
      <c r="G52" s="733"/>
      <c r="H52" s="734"/>
    </row>
    <row r="53" spans="1:8">
      <c r="A53" s="733"/>
      <c r="B53" s="733"/>
      <c r="C53" s="733"/>
      <c r="D53" s="733"/>
      <c r="E53" s="802"/>
      <c r="F53" s="802"/>
      <c r="G53" s="733"/>
      <c r="H53" s="734"/>
    </row>
    <row r="54" spans="1:8">
      <c r="A54" s="733"/>
      <c r="B54" s="733"/>
      <c r="C54" s="733"/>
      <c r="D54" s="733"/>
      <c r="E54" s="802"/>
      <c r="F54" s="802"/>
      <c r="G54" s="733"/>
      <c r="H54" s="734"/>
    </row>
    <row r="55" spans="1:8">
      <c r="A55" s="733"/>
      <c r="B55" s="733"/>
      <c r="C55" s="733"/>
      <c r="D55" s="733"/>
      <c r="E55" s="802"/>
      <c r="F55" s="802"/>
      <c r="G55" s="733"/>
      <c r="H55" s="734"/>
    </row>
    <row r="56" spans="1:8">
      <c r="A56" s="733"/>
      <c r="B56" s="733"/>
      <c r="C56" s="733"/>
      <c r="D56" s="733"/>
      <c r="E56" s="802"/>
      <c r="F56" s="802"/>
      <c r="G56" s="733"/>
      <c r="H56" s="734"/>
    </row>
    <row r="57" spans="1:8">
      <c r="A57" s="733"/>
      <c r="B57" s="733"/>
      <c r="C57" s="733"/>
      <c r="D57" s="733"/>
      <c r="E57" s="802"/>
      <c r="F57" s="802"/>
      <c r="G57" s="733"/>
      <c r="H57" s="734"/>
    </row>
    <row r="58" spans="1:8">
      <c r="A58" s="733"/>
      <c r="B58" s="733"/>
      <c r="C58" s="733"/>
      <c r="D58" s="733"/>
      <c r="E58" s="802"/>
      <c r="F58" s="802"/>
      <c r="G58" s="733"/>
      <c r="H58" s="734"/>
    </row>
    <row r="59" spans="1:8">
      <c r="A59" s="733"/>
      <c r="B59" s="733"/>
      <c r="C59" s="733"/>
      <c r="D59" s="733"/>
      <c r="E59" s="802"/>
      <c r="F59" s="802"/>
      <c r="G59" s="733"/>
      <c r="H59" s="734"/>
    </row>
    <row r="60" spans="1:8">
      <c r="A60" s="733"/>
      <c r="B60" s="733"/>
      <c r="C60" s="733"/>
      <c r="D60" s="733"/>
      <c r="E60" s="802"/>
      <c r="F60" s="802"/>
      <c r="G60" s="733"/>
      <c r="H60" s="734"/>
    </row>
    <row r="61" spans="1:8">
      <c r="A61" s="733"/>
      <c r="B61" s="733"/>
      <c r="C61" s="733"/>
      <c r="D61" s="733"/>
      <c r="E61" s="802"/>
      <c r="F61" s="802"/>
      <c r="G61" s="733"/>
      <c r="H61" s="734"/>
    </row>
    <row r="62" spans="1:8">
      <c r="A62" s="733"/>
      <c r="B62" s="733"/>
      <c r="C62" s="733"/>
      <c r="D62" s="733"/>
      <c r="E62" s="802"/>
      <c r="F62" s="802"/>
      <c r="G62" s="733"/>
      <c r="H62" s="734"/>
    </row>
    <row r="63" spans="1:8">
      <c r="A63" s="733"/>
      <c r="B63" s="733"/>
      <c r="C63" s="733"/>
      <c r="D63" s="733"/>
      <c r="E63" s="802"/>
      <c r="F63" s="802"/>
      <c r="G63" s="733"/>
      <c r="H63" s="734"/>
    </row>
    <row r="64" spans="1:8">
      <c r="A64" s="733"/>
      <c r="B64" s="733"/>
      <c r="C64" s="733"/>
      <c r="D64" s="733"/>
      <c r="E64" s="802"/>
      <c r="F64" s="802"/>
      <c r="G64" s="733"/>
      <c r="H64" s="734"/>
    </row>
    <row r="65" spans="1:8">
      <c r="A65" s="733"/>
      <c r="B65" s="733"/>
      <c r="C65" s="733"/>
      <c r="D65" s="733"/>
      <c r="E65" s="802"/>
      <c r="F65" s="802"/>
      <c r="G65" s="733"/>
      <c r="H65" s="734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"/>
  <cols>
    <col min="1" max="3" width="11" style="737"/>
    <col min="4" max="4" width="23.5" style="737" bestFit="1" customWidth="1"/>
    <col min="5" max="5" width="11.1640625" style="738" bestFit="1" customWidth="1"/>
    <col min="6" max="6" width="8.83203125" style="738" customWidth="1"/>
    <col min="7" max="7" width="22.1640625" style="737" bestFit="1" customWidth="1"/>
    <col min="8" max="8" width="11" style="737"/>
    <col min="9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254</v>
      </c>
      <c r="E1" s="729" t="s">
        <v>2163</v>
      </c>
      <c r="F1" s="729" t="s">
        <v>2164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>
      <c r="A2" s="733" t="s">
        <v>2666</v>
      </c>
      <c r="B2" s="737">
        <v>2004</v>
      </c>
      <c r="C2" s="733" t="s">
        <v>2667</v>
      </c>
      <c r="D2" s="733" t="s">
        <v>2668</v>
      </c>
      <c r="E2" s="802">
        <v>3856.45</v>
      </c>
      <c r="F2" s="802"/>
      <c r="G2" s="733" t="s">
        <v>2669</v>
      </c>
      <c r="H2" s="734">
        <v>1482</v>
      </c>
      <c r="K2" s="732" t="s">
        <v>2162</v>
      </c>
      <c r="L2" s="735">
        <f>+SUM(E2:E9999)</f>
        <v>1972155.4199999997</v>
      </c>
      <c r="M2" s="736">
        <f>+SUM(F2:F9999)</f>
        <v>-1357394.5799999996</v>
      </c>
    </row>
    <row r="3" spans="1:13">
      <c r="A3" s="733" t="s">
        <v>2670</v>
      </c>
      <c r="B3" s="737">
        <v>2022</v>
      </c>
      <c r="C3" s="733" t="s">
        <v>2556</v>
      </c>
      <c r="D3" s="733" t="s">
        <v>2671</v>
      </c>
      <c r="E3" s="802">
        <v>75917.210000000006</v>
      </c>
      <c r="F3" s="802">
        <v>-50220</v>
      </c>
      <c r="G3" s="733" t="s">
        <v>2672</v>
      </c>
      <c r="H3" s="734">
        <v>490</v>
      </c>
      <c r="L3" s="735">
        <f>+COUNT(E2:E10000)</f>
        <v>50</v>
      </c>
    </row>
    <row r="4" spans="1:13">
      <c r="A4" s="737" t="s">
        <v>2673</v>
      </c>
      <c r="B4" s="737">
        <v>2021</v>
      </c>
      <c r="C4" s="737" t="s">
        <v>2564</v>
      </c>
      <c r="D4" s="737" t="s">
        <v>2579</v>
      </c>
      <c r="E4" s="738">
        <v>75668.81</v>
      </c>
      <c r="F4" s="738">
        <v>-55025</v>
      </c>
      <c r="G4" s="737" t="s">
        <v>2674</v>
      </c>
      <c r="H4" s="737">
        <v>306</v>
      </c>
    </row>
    <row r="5" spans="1:13">
      <c r="A5" s="733" t="s">
        <v>2675</v>
      </c>
      <c r="B5" s="737">
        <v>2019</v>
      </c>
      <c r="C5" s="733" t="s">
        <v>2556</v>
      </c>
      <c r="D5" s="733" t="s">
        <v>2676</v>
      </c>
      <c r="E5" s="802">
        <v>61477.55</v>
      </c>
      <c r="F5" s="802">
        <v>-55037.5</v>
      </c>
      <c r="G5" s="733" t="s">
        <v>2677</v>
      </c>
      <c r="H5" s="734">
        <v>235</v>
      </c>
    </row>
    <row r="6" spans="1:13">
      <c r="A6" s="733" t="s">
        <v>2678</v>
      </c>
      <c r="B6" s="737">
        <v>2021</v>
      </c>
      <c r="C6" s="733" t="s">
        <v>2679</v>
      </c>
      <c r="D6" s="733" t="s">
        <v>2680</v>
      </c>
      <c r="E6" s="802">
        <v>57247.58</v>
      </c>
      <c r="F6" s="802">
        <v>-48210.15</v>
      </c>
      <c r="G6" s="733" t="s">
        <v>2681</v>
      </c>
      <c r="H6" s="734">
        <v>144</v>
      </c>
    </row>
    <row r="7" spans="1:13">
      <c r="A7" s="737" t="s">
        <v>2682</v>
      </c>
      <c r="B7" s="737">
        <v>2023</v>
      </c>
      <c r="C7" s="737" t="s">
        <v>2564</v>
      </c>
      <c r="D7" s="737" t="s">
        <v>2573</v>
      </c>
      <c r="E7" s="738">
        <v>51697.81</v>
      </c>
      <c r="F7" s="738">
        <v>-49599.39</v>
      </c>
      <c r="G7" s="737" t="s">
        <v>2683</v>
      </c>
      <c r="H7" s="737">
        <v>137</v>
      </c>
    </row>
    <row r="8" spans="1:13">
      <c r="A8" s="733" t="s">
        <v>2684</v>
      </c>
      <c r="B8" s="737">
        <v>2020</v>
      </c>
      <c r="C8" s="733" t="s">
        <v>2685</v>
      </c>
      <c r="D8" s="733" t="s">
        <v>2686</v>
      </c>
      <c r="E8" s="802">
        <v>35295.85</v>
      </c>
      <c r="F8" s="802">
        <v>-20589.759999999998</v>
      </c>
      <c r="G8" s="733" t="s">
        <v>2687</v>
      </c>
      <c r="H8" s="734">
        <v>125</v>
      </c>
    </row>
    <row r="9" spans="1:13">
      <c r="A9" s="733" t="s">
        <v>2688</v>
      </c>
      <c r="B9" s="737">
        <v>2019</v>
      </c>
      <c r="C9" s="733" t="s">
        <v>2556</v>
      </c>
      <c r="D9" s="733" t="s">
        <v>2689</v>
      </c>
      <c r="E9" s="802">
        <v>31287.41</v>
      </c>
      <c r="F9" s="802">
        <v>-23537.41</v>
      </c>
      <c r="G9" s="733" t="s">
        <v>2690</v>
      </c>
      <c r="H9" s="734">
        <v>111</v>
      </c>
    </row>
    <row r="10" spans="1:13">
      <c r="A10" s="737" t="s">
        <v>2691</v>
      </c>
      <c r="B10" s="737">
        <v>2022</v>
      </c>
      <c r="C10" s="737" t="s">
        <v>2692</v>
      </c>
      <c r="D10" s="737" t="s">
        <v>2693</v>
      </c>
      <c r="E10" s="738">
        <v>58424.95</v>
      </c>
      <c r="F10" s="738">
        <v>-80500</v>
      </c>
      <c r="G10" s="737" t="s">
        <v>2694</v>
      </c>
      <c r="H10" s="737">
        <v>108</v>
      </c>
    </row>
    <row r="11" spans="1:13">
      <c r="A11" s="733" t="s">
        <v>2695</v>
      </c>
      <c r="B11" s="737">
        <v>2020</v>
      </c>
      <c r="C11" s="733" t="s">
        <v>2564</v>
      </c>
      <c r="D11" s="733" t="s">
        <v>2565</v>
      </c>
      <c r="E11" s="802">
        <v>30904.85</v>
      </c>
      <c r="F11" s="802">
        <v>-21000</v>
      </c>
      <c r="G11" s="733" t="s">
        <v>2696</v>
      </c>
      <c r="H11" s="734">
        <v>103</v>
      </c>
    </row>
    <row r="12" spans="1:13">
      <c r="A12" s="737" t="s">
        <v>2697</v>
      </c>
      <c r="B12" s="737">
        <v>2023</v>
      </c>
      <c r="C12" s="737" t="s">
        <v>2698</v>
      </c>
      <c r="D12" s="737" t="s">
        <v>2699</v>
      </c>
      <c r="E12" s="738">
        <v>34707.449999999997</v>
      </c>
      <c r="F12" s="738">
        <v>-32060.23</v>
      </c>
      <c r="G12" s="737" t="s">
        <v>2700</v>
      </c>
      <c r="H12" s="737">
        <v>73</v>
      </c>
    </row>
    <row r="13" spans="1:13">
      <c r="A13" s="733" t="s">
        <v>2701</v>
      </c>
      <c r="B13" s="737">
        <v>2023</v>
      </c>
      <c r="C13" s="733" t="s">
        <v>2556</v>
      </c>
      <c r="D13" s="733" t="s">
        <v>2689</v>
      </c>
      <c r="E13" s="802">
        <v>54482.17</v>
      </c>
      <c r="F13" s="802">
        <v>-37837.25</v>
      </c>
      <c r="G13" s="733" t="s">
        <v>2702</v>
      </c>
      <c r="H13" s="734">
        <v>72</v>
      </c>
    </row>
    <row r="14" spans="1:13">
      <c r="A14" s="737" t="s">
        <v>2703</v>
      </c>
      <c r="B14" s="737">
        <v>2023</v>
      </c>
      <c r="C14" s="737" t="s">
        <v>2556</v>
      </c>
      <c r="D14" s="737" t="s">
        <v>2704</v>
      </c>
      <c r="E14" s="738">
        <v>65103.95</v>
      </c>
      <c r="F14" s="738">
        <v>-45150</v>
      </c>
      <c r="G14" s="737" t="s">
        <v>2705</v>
      </c>
      <c r="H14" s="737">
        <v>72</v>
      </c>
    </row>
    <row r="15" spans="1:13">
      <c r="A15" s="733" t="s">
        <v>2706</v>
      </c>
      <c r="B15" s="737">
        <v>2023</v>
      </c>
      <c r="C15" s="733" t="s">
        <v>2707</v>
      </c>
      <c r="D15" s="733" t="s">
        <v>2708</v>
      </c>
      <c r="E15" s="802">
        <v>39059.949999999997</v>
      </c>
      <c r="F15" s="802">
        <v>-35100</v>
      </c>
      <c r="G15" s="733" t="s">
        <v>2709</v>
      </c>
      <c r="H15" s="734">
        <v>67</v>
      </c>
    </row>
    <row r="16" spans="1:13">
      <c r="A16" s="733" t="s">
        <v>2710</v>
      </c>
      <c r="B16" s="737">
        <v>2020</v>
      </c>
      <c r="C16" s="733" t="s">
        <v>2556</v>
      </c>
      <c r="D16" s="733" t="s">
        <v>2711</v>
      </c>
      <c r="E16" s="802">
        <v>31103.95</v>
      </c>
      <c r="F16" s="802">
        <v>-18670.48</v>
      </c>
      <c r="G16" s="733" t="s">
        <v>2712</v>
      </c>
      <c r="H16" s="734">
        <v>62</v>
      </c>
    </row>
    <row r="17" spans="1:8">
      <c r="A17" s="733" t="s">
        <v>2713</v>
      </c>
      <c r="B17" s="737">
        <v>2021</v>
      </c>
      <c r="C17" s="733" t="s">
        <v>2564</v>
      </c>
      <c r="D17" s="733" t="s">
        <v>2565</v>
      </c>
      <c r="E17" s="802">
        <v>48103.95</v>
      </c>
      <c r="F17" s="802">
        <v>-32577.98</v>
      </c>
      <c r="G17" s="733" t="s">
        <v>2714</v>
      </c>
      <c r="H17" s="734">
        <v>62</v>
      </c>
    </row>
    <row r="18" spans="1:8">
      <c r="A18" s="733" t="s">
        <v>2715</v>
      </c>
      <c r="B18" s="737">
        <v>2021</v>
      </c>
      <c r="C18" s="733" t="s">
        <v>2556</v>
      </c>
      <c r="D18" s="733" t="s">
        <v>2716</v>
      </c>
      <c r="E18" s="802">
        <v>37745.550000000003</v>
      </c>
      <c r="F18" s="802">
        <v>-23564.68</v>
      </c>
      <c r="G18" s="733" t="s">
        <v>2717</v>
      </c>
      <c r="H18" s="734">
        <v>61</v>
      </c>
    </row>
    <row r="19" spans="1:8">
      <c r="A19" s="733" t="s">
        <v>2718</v>
      </c>
      <c r="B19" s="737">
        <v>2024</v>
      </c>
      <c r="C19" s="733" t="s">
        <v>2556</v>
      </c>
      <c r="D19" s="733" t="s">
        <v>2719</v>
      </c>
      <c r="E19" s="802">
        <v>70066.3</v>
      </c>
      <c r="F19" s="802">
        <v>-68000</v>
      </c>
      <c r="G19" s="733" t="s">
        <v>2720</v>
      </c>
      <c r="H19" s="734">
        <v>59</v>
      </c>
    </row>
    <row r="20" spans="1:8">
      <c r="A20" s="733" t="s">
        <v>2721</v>
      </c>
      <c r="B20" s="737">
        <v>2019</v>
      </c>
      <c r="C20" s="733" t="s">
        <v>2556</v>
      </c>
      <c r="D20" s="733" t="s">
        <v>2722</v>
      </c>
      <c r="E20" s="802">
        <v>38003.4</v>
      </c>
      <c r="F20" s="802">
        <v>-33300</v>
      </c>
      <c r="G20" s="733" t="s">
        <v>2723</v>
      </c>
      <c r="H20" s="734">
        <v>59</v>
      </c>
    </row>
    <row r="21" spans="1:8">
      <c r="A21" s="733" t="s">
        <v>2724</v>
      </c>
      <c r="B21" s="737">
        <v>2021</v>
      </c>
      <c r="C21" s="733" t="s">
        <v>2556</v>
      </c>
      <c r="D21" s="733" t="s">
        <v>2725</v>
      </c>
      <c r="E21" s="802">
        <v>41692.78</v>
      </c>
      <c r="F21" s="802">
        <v>-36900</v>
      </c>
      <c r="G21" s="733" t="s">
        <v>2726</v>
      </c>
      <c r="H21" s="734">
        <v>59</v>
      </c>
    </row>
    <row r="22" spans="1:8">
      <c r="A22" s="737" t="s">
        <v>2727</v>
      </c>
      <c r="B22" s="737">
        <v>2022</v>
      </c>
      <c r="C22" s="737" t="s">
        <v>2728</v>
      </c>
      <c r="D22" s="737" t="s">
        <v>2729</v>
      </c>
      <c r="E22" s="738">
        <v>31627.25</v>
      </c>
      <c r="F22" s="738">
        <v>-30500</v>
      </c>
      <c r="G22" s="737" t="s">
        <v>2730</v>
      </c>
      <c r="H22" s="737">
        <v>52</v>
      </c>
    </row>
    <row r="23" spans="1:8">
      <c r="A23" s="733" t="s">
        <v>2731</v>
      </c>
      <c r="B23" s="737">
        <v>2023</v>
      </c>
      <c r="C23" s="733" t="s">
        <v>2732</v>
      </c>
      <c r="D23" s="733" t="s">
        <v>2733</v>
      </c>
      <c r="E23" s="802">
        <v>53380.08</v>
      </c>
      <c r="F23" s="802">
        <v>-51800</v>
      </c>
      <c r="G23" s="733" t="s">
        <v>2734</v>
      </c>
      <c r="H23" s="734">
        <v>52</v>
      </c>
    </row>
    <row r="24" spans="1:8">
      <c r="A24" s="737" t="s">
        <v>2735</v>
      </c>
      <c r="B24" s="737">
        <v>2022</v>
      </c>
      <c r="C24" s="737" t="s">
        <v>2564</v>
      </c>
      <c r="D24" s="737" t="s">
        <v>2565</v>
      </c>
      <c r="E24" s="738">
        <v>62091.35</v>
      </c>
      <c r="F24" s="738">
        <v>-43050</v>
      </c>
      <c r="G24" s="737" t="s">
        <v>2736</v>
      </c>
      <c r="H24" s="737">
        <v>46</v>
      </c>
    </row>
    <row r="25" spans="1:8">
      <c r="A25" s="737" t="s">
        <v>2737</v>
      </c>
      <c r="B25" s="737">
        <v>2020</v>
      </c>
      <c r="C25" s="737" t="s">
        <v>2564</v>
      </c>
      <c r="D25" s="737" t="s">
        <v>2565</v>
      </c>
      <c r="E25" s="738">
        <v>36074.949999999997</v>
      </c>
      <c r="F25" s="738">
        <v>-24850</v>
      </c>
      <c r="G25" s="737" t="s">
        <v>2738</v>
      </c>
      <c r="H25" s="737">
        <v>39</v>
      </c>
    </row>
    <row r="26" spans="1:8">
      <c r="A26" s="733" t="s">
        <v>2739</v>
      </c>
      <c r="B26" s="737">
        <v>2020</v>
      </c>
      <c r="C26" s="733" t="s">
        <v>2556</v>
      </c>
      <c r="D26" s="733" t="s">
        <v>2719</v>
      </c>
      <c r="E26" s="802">
        <v>32831.39</v>
      </c>
      <c r="F26" s="802">
        <v>-18652.5</v>
      </c>
      <c r="G26" s="733" t="s">
        <v>2740</v>
      </c>
      <c r="H26" s="734">
        <v>39</v>
      </c>
    </row>
    <row r="27" spans="1:8">
      <c r="A27" s="733" t="s">
        <v>2741</v>
      </c>
      <c r="B27" s="737">
        <v>2018</v>
      </c>
      <c r="C27" s="733" t="s">
        <v>2564</v>
      </c>
      <c r="D27" s="733" t="s">
        <v>2565</v>
      </c>
      <c r="E27" s="802">
        <v>23195</v>
      </c>
      <c r="F27" s="802">
        <v>-19530</v>
      </c>
      <c r="G27" s="733" t="s">
        <v>2742</v>
      </c>
      <c r="H27" s="734">
        <v>38</v>
      </c>
    </row>
    <row r="28" spans="1:8">
      <c r="A28" s="733" t="s">
        <v>2743</v>
      </c>
      <c r="B28" s="737">
        <v>2021</v>
      </c>
      <c r="C28" s="733" t="s">
        <v>2707</v>
      </c>
      <c r="D28" s="733" t="s">
        <v>2744</v>
      </c>
      <c r="E28" s="802">
        <v>39793.949999999997</v>
      </c>
      <c r="F28" s="802">
        <v>-35550</v>
      </c>
      <c r="G28" s="733" t="s">
        <v>2745</v>
      </c>
      <c r="H28" s="734">
        <v>38</v>
      </c>
    </row>
    <row r="29" spans="1:8">
      <c r="A29" s="733" t="s">
        <v>2746</v>
      </c>
      <c r="B29" s="737">
        <v>2015</v>
      </c>
      <c r="C29" s="733" t="s">
        <v>2685</v>
      </c>
      <c r="D29" s="733" t="s">
        <v>2747</v>
      </c>
      <c r="E29" s="802">
        <v>8000</v>
      </c>
      <c r="F29" s="802"/>
      <c r="G29" s="733" t="s">
        <v>2748</v>
      </c>
      <c r="H29" s="734">
        <v>38</v>
      </c>
    </row>
    <row r="30" spans="1:8">
      <c r="A30" s="733" t="s">
        <v>2749</v>
      </c>
      <c r="B30" s="737">
        <v>2021</v>
      </c>
      <c r="C30" s="733" t="s">
        <v>2679</v>
      </c>
      <c r="D30" s="733" t="s">
        <v>2750</v>
      </c>
      <c r="E30" s="802">
        <v>43899.95</v>
      </c>
      <c r="F30" s="802">
        <v>-30450</v>
      </c>
      <c r="G30" s="733" t="s">
        <v>2751</v>
      </c>
      <c r="H30" s="734">
        <v>37</v>
      </c>
    </row>
    <row r="31" spans="1:8">
      <c r="A31" s="737" t="s">
        <v>2752</v>
      </c>
      <c r="B31" s="737">
        <v>2023</v>
      </c>
      <c r="C31" s="737" t="s">
        <v>2753</v>
      </c>
      <c r="D31" s="737" t="s">
        <v>2754</v>
      </c>
      <c r="E31" s="738">
        <v>47899.95</v>
      </c>
      <c r="F31" s="738">
        <v>-34300</v>
      </c>
      <c r="G31" s="737" t="s">
        <v>2755</v>
      </c>
      <c r="H31" s="737">
        <v>31</v>
      </c>
    </row>
    <row r="32" spans="1:8">
      <c r="A32" s="733" t="s">
        <v>2756</v>
      </c>
      <c r="B32" s="737">
        <v>2020</v>
      </c>
      <c r="C32" s="733" t="s">
        <v>2556</v>
      </c>
      <c r="D32" s="733" t="s">
        <v>2711</v>
      </c>
      <c r="E32" s="802">
        <v>29024.85</v>
      </c>
      <c r="F32" s="802">
        <v>-19599.509999999998</v>
      </c>
      <c r="G32" s="733" t="s">
        <v>2757</v>
      </c>
      <c r="H32" s="734">
        <v>26</v>
      </c>
    </row>
    <row r="33" spans="1:8">
      <c r="A33" s="737" t="s">
        <v>2758</v>
      </c>
      <c r="B33" s="737">
        <v>2014</v>
      </c>
      <c r="C33" s="737" t="s">
        <v>2556</v>
      </c>
      <c r="D33" s="737" t="s">
        <v>2759</v>
      </c>
      <c r="E33" s="738">
        <v>11164.86</v>
      </c>
      <c r="G33" s="737" t="s">
        <v>2760</v>
      </c>
      <c r="H33" s="737">
        <v>22</v>
      </c>
    </row>
    <row r="34" spans="1:8">
      <c r="A34" s="733" t="s">
        <v>2761</v>
      </c>
      <c r="B34" s="737">
        <v>2023</v>
      </c>
      <c r="C34" s="733" t="s">
        <v>2556</v>
      </c>
      <c r="D34" s="733" t="s">
        <v>2762</v>
      </c>
      <c r="E34" s="802">
        <v>53250.2</v>
      </c>
      <c r="F34" s="802">
        <v>-52796.25</v>
      </c>
      <c r="G34" s="733" t="s">
        <v>2763</v>
      </c>
      <c r="H34" s="734">
        <v>20</v>
      </c>
    </row>
    <row r="35" spans="1:8">
      <c r="A35" s="733" t="s">
        <v>2764</v>
      </c>
      <c r="B35" s="737">
        <v>2023</v>
      </c>
      <c r="C35" s="733" t="s">
        <v>2556</v>
      </c>
      <c r="D35" s="733" t="s">
        <v>2725</v>
      </c>
      <c r="E35" s="802">
        <v>42103.5</v>
      </c>
      <c r="F35" s="802">
        <v>-41658.65</v>
      </c>
      <c r="G35" s="733" t="s">
        <v>2765</v>
      </c>
      <c r="H35" s="734">
        <v>18</v>
      </c>
    </row>
    <row r="36" spans="1:8">
      <c r="A36" s="733" t="s">
        <v>2766</v>
      </c>
      <c r="B36" s="737">
        <v>2017</v>
      </c>
      <c r="C36" s="733" t="s">
        <v>2564</v>
      </c>
      <c r="D36" s="733" t="s">
        <v>2767</v>
      </c>
      <c r="E36" s="802">
        <v>27407.01</v>
      </c>
      <c r="F36" s="802">
        <v>-24300</v>
      </c>
      <c r="G36" s="733" t="s">
        <v>2768</v>
      </c>
      <c r="H36" s="734">
        <v>17</v>
      </c>
    </row>
    <row r="37" spans="1:8">
      <c r="A37" s="737" t="s">
        <v>2769</v>
      </c>
      <c r="B37" s="737">
        <v>2023</v>
      </c>
      <c r="C37" s="737" t="s">
        <v>2564</v>
      </c>
      <c r="D37" s="737" t="s">
        <v>2767</v>
      </c>
      <c r="E37" s="738">
        <v>58745</v>
      </c>
      <c r="F37" s="738">
        <v>-45726.94</v>
      </c>
      <c r="G37" s="737" t="s">
        <v>2770</v>
      </c>
      <c r="H37" s="737">
        <v>13</v>
      </c>
    </row>
    <row r="38" spans="1:8">
      <c r="A38" s="737" t="s">
        <v>2771</v>
      </c>
      <c r="B38" s="737">
        <v>2019</v>
      </c>
      <c r="C38" s="737" t="s">
        <v>2772</v>
      </c>
      <c r="D38" s="737" t="s">
        <v>2773</v>
      </c>
      <c r="E38" s="738">
        <v>11000</v>
      </c>
      <c r="F38" s="738">
        <v>-9900</v>
      </c>
      <c r="G38" s="737" t="s">
        <v>2774</v>
      </c>
      <c r="H38" s="737">
        <v>10</v>
      </c>
    </row>
    <row r="39" spans="1:8">
      <c r="A39" s="733" t="s">
        <v>2775</v>
      </c>
      <c r="B39" s="737">
        <v>2019</v>
      </c>
      <c r="C39" s="733" t="s">
        <v>2564</v>
      </c>
      <c r="D39" s="733" t="s">
        <v>2776</v>
      </c>
      <c r="E39" s="802">
        <v>26995</v>
      </c>
      <c r="F39" s="802">
        <v>-16020.18</v>
      </c>
      <c r="G39" s="733" t="s">
        <v>2777</v>
      </c>
      <c r="H39" s="734">
        <v>10</v>
      </c>
    </row>
    <row r="40" spans="1:8">
      <c r="A40" s="733" t="s">
        <v>2778</v>
      </c>
      <c r="B40" s="737">
        <v>2021</v>
      </c>
      <c r="C40" s="733" t="s">
        <v>2564</v>
      </c>
      <c r="D40" s="733" t="s">
        <v>2565</v>
      </c>
      <c r="E40" s="802">
        <v>42500</v>
      </c>
      <c r="F40" s="802">
        <v>-30072.18</v>
      </c>
      <c r="G40" s="733" t="s">
        <v>2779</v>
      </c>
      <c r="H40" s="734">
        <v>10</v>
      </c>
    </row>
    <row r="41" spans="1:8">
      <c r="A41" s="733" t="s">
        <v>2780</v>
      </c>
      <c r="B41" s="737">
        <v>2023</v>
      </c>
      <c r="C41" s="733" t="s">
        <v>2556</v>
      </c>
      <c r="D41" s="733" t="s">
        <v>2643</v>
      </c>
      <c r="E41" s="802">
        <v>51776.06</v>
      </c>
      <c r="F41" s="802">
        <v>-29211.39</v>
      </c>
      <c r="G41" s="733" t="s">
        <v>2781</v>
      </c>
      <c r="H41" s="734">
        <v>10</v>
      </c>
    </row>
    <row r="42" spans="1:8">
      <c r="A42" s="733" t="s">
        <v>2782</v>
      </c>
      <c r="B42" s="737">
        <v>2012</v>
      </c>
      <c r="C42" s="733" t="s">
        <v>2556</v>
      </c>
      <c r="D42" s="733" t="s">
        <v>2603</v>
      </c>
      <c r="E42" s="802">
        <v>37500</v>
      </c>
      <c r="F42" s="802"/>
      <c r="G42" s="733" t="s">
        <v>2783</v>
      </c>
      <c r="H42" s="734">
        <v>10</v>
      </c>
    </row>
    <row r="43" spans="1:8">
      <c r="A43" s="733" t="s">
        <v>2784</v>
      </c>
      <c r="B43" s="737">
        <v>2021</v>
      </c>
      <c r="C43" s="733" t="s">
        <v>2785</v>
      </c>
      <c r="D43" s="733" t="s">
        <v>2786</v>
      </c>
      <c r="E43" s="802">
        <v>32547.15</v>
      </c>
      <c r="F43" s="802">
        <v>-32547.15</v>
      </c>
      <c r="G43" s="733" t="s">
        <v>2787</v>
      </c>
      <c r="H43" s="734">
        <v>9</v>
      </c>
    </row>
    <row r="44" spans="1:8">
      <c r="A44" s="733" t="s">
        <v>2788</v>
      </c>
      <c r="B44" s="737">
        <v>2017</v>
      </c>
      <c r="C44" s="733" t="s">
        <v>2789</v>
      </c>
      <c r="D44" s="733" t="s">
        <v>2790</v>
      </c>
      <c r="E44" s="802">
        <v>14000</v>
      </c>
      <c r="F44" s="802"/>
      <c r="G44" s="733" t="s">
        <v>2791</v>
      </c>
      <c r="H44" s="734">
        <v>9</v>
      </c>
    </row>
    <row r="45" spans="1:8">
      <c r="A45" s="737" t="s">
        <v>2792</v>
      </c>
      <c r="B45" s="737">
        <v>2018</v>
      </c>
      <c r="C45" s="737" t="s">
        <v>2793</v>
      </c>
      <c r="D45" s="737" t="s">
        <v>2794</v>
      </c>
      <c r="E45" s="738">
        <v>18500</v>
      </c>
      <c r="G45" s="737" t="s">
        <v>2795</v>
      </c>
      <c r="H45" s="737">
        <v>3</v>
      </c>
    </row>
    <row r="46" spans="1:8">
      <c r="A46" s="737" t="s">
        <v>2796</v>
      </c>
      <c r="B46" s="737">
        <v>2017</v>
      </c>
      <c r="C46" s="737" t="s">
        <v>2556</v>
      </c>
      <c r="D46" s="737" t="s">
        <v>2711</v>
      </c>
      <c r="E46" s="738">
        <v>28000</v>
      </c>
      <c r="G46" s="737" t="s">
        <v>2797</v>
      </c>
      <c r="H46" s="737">
        <v>3</v>
      </c>
    </row>
    <row r="47" spans="1:8">
      <c r="A47" s="733" t="s">
        <v>2798</v>
      </c>
      <c r="B47" s="737">
        <v>2013</v>
      </c>
      <c r="C47" s="733" t="s">
        <v>2753</v>
      </c>
      <c r="D47" s="733" t="s">
        <v>2799</v>
      </c>
      <c r="E47" s="802">
        <v>1500</v>
      </c>
      <c r="F47" s="802"/>
      <c r="G47" s="733" t="s">
        <v>2800</v>
      </c>
      <c r="H47" s="734">
        <v>2</v>
      </c>
    </row>
    <row r="48" spans="1:8">
      <c r="A48" s="733" t="s">
        <v>2801</v>
      </c>
      <c r="B48" s="737">
        <v>2017</v>
      </c>
      <c r="C48" s="733" t="s">
        <v>2556</v>
      </c>
      <c r="D48" s="733" t="s">
        <v>2802</v>
      </c>
      <c r="E48" s="802">
        <v>37000</v>
      </c>
      <c r="F48" s="802"/>
      <c r="G48" s="733" t="s">
        <v>2803</v>
      </c>
      <c r="H48" s="734">
        <v>2</v>
      </c>
    </row>
    <row r="49" spans="1:8">
      <c r="A49" s="737" t="s">
        <v>2804</v>
      </c>
      <c r="B49" s="737">
        <v>2022</v>
      </c>
      <c r="C49" s="737" t="s">
        <v>2556</v>
      </c>
      <c r="D49" s="737" t="s">
        <v>2711</v>
      </c>
      <c r="E49" s="738">
        <v>37500</v>
      </c>
      <c r="G49" s="737" t="s">
        <v>2805</v>
      </c>
      <c r="H49" s="737">
        <v>2</v>
      </c>
    </row>
    <row r="50" spans="1:8">
      <c r="A50" s="737" t="s">
        <v>2806</v>
      </c>
      <c r="B50" s="737">
        <v>2021</v>
      </c>
      <c r="C50" s="737" t="s">
        <v>2564</v>
      </c>
      <c r="D50" s="737" t="s">
        <v>2579</v>
      </c>
      <c r="E50" s="738">
        <v>60000</v>
      </c>
      <c r="G50" s="737" t="s">
        <v>2807</v>
      </c>
      <c r="H50" s="737">
        <v>2</v>
      </c>
    </row>
    <row r="51" spans="1:8">
      <c r="A51" s="733" t="s">
        <v>2808</v>
      </c>
      <c r="B51" s="737">
        <v>2019</v>
      </c>
      <c r="C51" s="733" t="s">
        <v>2564</v>
      </c>
      <c r="D51" s="733" t="s">
        <v>2776</v>
      </c>
      <c r="E51" s="802">
        <v>31000</v>
      </c>
      <c r="F51" s="802"/>
      <c r="G51" s="733" t="s">
        <v>2809</v>
      </c>
      <c r="H51" s="734">
        <v>0</v>
      </c>
    </row>
    <row r="52" spans="1:8">
      <c r="A52" s="733"/>
      <c r="C52" s="733"/>
      <c r="D52" s="733"/>
      <c r="E52" s="802"/>
      <c r="F52" s="802"/>
      <c r="G52" s="733"/>
      <c r="H52" s="734"/>
    </row>
    <row r="54" spans="1:8">
      <c r="A54" s="733"/>
      <c r="C54" s="733"/>
      <c r="D54" s="733"/>
      <c r="E54" s="802"/>
      <c r="F54" s="802"/>
      <c r="G54" s="733"/>
      <c r="H54" s="734"/>
    </row>
    <row r="55" spans="1:8">
      <c r="A55" s="733"/>
      <c r="C55" s="733"/>
      <c r="D55" s="733"/>
      <c r="E55" s="802"/>
      <c r="F55" s="802"/>
      <c r="G55" s="733"/>
      <c r="H55" s="734"/>
    </row>
    <row r="56" spans="1:8">
      <c r="A56" s="733"/>
      <c r="C56" s="733"/>
      <c r="D56" s="733"/>
      <c r="E56" s="802"/>
      <c r="F56" s="802"/>
      <c r="G56" s="733"/>
      <c r="H56" s="734"/>
    </row>
    <row r="57" spans="1:8">
      <c r="A57" s="733"/>
      <c r="C57" s="733"/>
      <c r="D57" s="733"/>
      <c r="E57" s="802"/>
      <c r="F57" s="802"/>
      <c r="G57" s="733"/>
      <c r="H57" s="734"/>
    </row>
    <row r="58" spans="1:8">
      <c r="A58" s="733"/>
      <c r="C58" s="733"/>
      <c r="D58" s="733"/>
      <c r="E58" s="802"/>
      <c r="F58" s="802"/>
      <c r="G58" s="733"/>
      <c r="H58" s="734"/>
    </row>
    <row r="59" spans="1:8">
      <c r="A59" s="733"/>
      <c r="C59" s="733"/>
      <c r="D59" s="733"/>
      <c r="E59" s="802"/>
      <c r="F59" s="802"/>
      <c r="G59" s="733"/>
      <c r="H59" s="734"/>
    </row>
    <row r="61" spans="1:8">
      <c r="A61" s="733"/>
      <c r="C61" s="733"/>
      <c r="D61" s="733"/>
      <c r="E61" s="802"/>
      <c r="F61" s="802"/>
      <c r="G61" s="733"/>
      <c r="H61" s="734"/>
    </row>
    <row r="65" spans="1:8">
      <c r="A65" s="733"/>
      <c r="C65" s="733"/>
      <c r="D65" s="733"/>
      <c r="E65" s="802"/>
      <c r="F65" s="802"/>
      <c r="G65" s="733"/>
      <c r="H65" s="734"/>
    </row>
    <row r="66" spans="1:8">
      <c r="A66" s="733"/>
      <c r="C66" s="733"/>
      <c r="D66" s="733"/>
      <c r="E66" s="802"/>
      <c r="F66" s="802"/>
      <c r="G66" s="733"/>
      <c r="H66" s="734"/>
    </row>
    <row r="67" spans="1:8">
      <c r="A67" s="733"/>
      <c r="C67" s="733"/>
      <c r="D67" s="733"/>
      <c r="E67" s="802"/>
      <c r="F67" s="802"/>
      <c r="G67" s="733"/>
      <c r="H67" s="734"/>
    </row>
    <row r="68" spans="1:8">
      <c r="A68" s="733"/>
      <c r="C68" s="733"/>
      <c r="D68" s="733"/>
      <c r="E68" s="802"/>
      <c r="F68" s="802"/>
      <c r="G68" s="733"/>
      <c r="H68" s="734"/>
    </row>
    <row r="69" spans="1:8">
      <c r="A69" s="733"/>
      <c r="C69" s="733"/>
      <c r="D69" s="733"/>
      <c r="E69" s="802"/>
      <c r="F69" s="802"/>
      <c r="G69" s="733"/>
      <c r="H69" s="734"/>
    </row>
    <row r="70" spans="1:8">
      <c r="A70" s="733"/>
      <c r="C70" s="733"/>
      <c r="D70" s="733"/>
      <c r="E70" s="802"/>
      <c r="F70" s="802"/>
      <c r="G70" s="733"/>
      <c r="H70" s="734"/>
    </row>
    <row r="71" spans="1:8">
      <c r="A71" s="733"/>
      <c r="C71" s="733"/>
      <c r="D71" s="733"/>
      <c r="E71" s="802"/>
      <c r="F71" s="802"/>
      <c r="G71" s="733"/>
      <c r="H71" s="734"/>
    </row>
    <row r="72" spans="1:8">
      <c r="A72" s="733"/>
      <c r="C72" s="733"/>
      <c r="D72" s="733"/>
      <c r="E72" s="802"/>
      <c r="F72" s="802"/>
      <c r="G72" s="733"/>
      <c r="H72" s="734"/>
    </row>
    <row r="73" spans="1:8">
      <c r="A73" s="733"/>
      <c r="C73" s="733"/>
      <c r="D73" s="733"/>
      <c r="E73" s="802"/>
      <c r="F73" s="802"/>
      <c r="G73" s="733"/>
      <c r="H73" s="734"/>
    </row>
    <row r="74" spans="1:8">
      <c r="A74" s="733"/>
      <c r="C74" s="733"/>
      <c r="D74" s="733"/>
      <c r="E74" s="802"/>
      <c r="F74" s="802"/>
      <c r="G74" s="733"/>
      <c r="H74" s="734"/>
    </row>
    <row r="76" spans="1:8">
      <c r="A76" s="733"/>
      <c r="C76" s="733"/>
      <c r="D76" s="733"/>
      <c r="E76" s="802"/>
      <c r="F76" s="802"/>
      <c r="G76" s="733"/>
      <c r="H76" s="734"/>
    </row>
    <row r="77" spans="1:8">
      <c r="A77" s="733"/>
      <c r="C77" s="733"/>
      <c r="D77" s="733"/>
      <c r="E77" s="802"/>
      <c r="F77" s="802"/>
      <c r="G77" s="733"/>
      <c r="H77" s="734"/>
    </row>
    <row r="78" spans="1:8">
      <c r="A78" s="733"/>
      <c r="C78" s="733"/>
      <c r="D78" s="733"/>
      <c r="E78" s="802"/>
      <c r="F78" s="802"/>
      <c r="G78" s="733"/>
      <c r="H78" s="734"/>
    </row>
    <row r="79" spans="1:8">
      <c r="A79" s="733"/>
      <c r="C79" s="733"/>
      <c r="D79" s="733"/>
      <c r="E79" s="802"/>
      <c r="F79" s="802"/>
      <c r="G79" s="733"/>
      <c r="H79" s="734"/>
    </row>
    <row r="80" spans="1:8">
      <c r="A80" s="733"/>
      <c r="C80" s="733"/>
      <c r="D80" s="733"/>
      <c r="E80" s="802"/>
      <c r="F80" s="802"/>
      <c r="G80" s="733"/>
      <c r="H80" s="734"/>
    </row>
    <row r="81" spans="1:8">
      <c r="A81" s="733"/>
      <c r="C81" s="733"/>
      <c r="D81" s="733"/>
      <c r="E81" s="802"/>
      <c r="F81" s="802"/>
      <c r="G81" s="733"/>
      <c r="H81" s="734"/>
    </row>
    <row r="82" spans="1:8">
      <c r="A82" s="733"/>
      <c r="C82" s="733"/>
      <c r="D82" s="733"/>
      <c r="E82" s="802"/>
      <c r="F82" s="802"/>
      <c r="G82" s="733"/>
      <c r="H82" s="734"/>
    </row>
    <row r="83" spans="1:8">
      <c r="A83" s="733"/>
      <c r="C83" s="733"/>
      <c r="D83" s="733"/>
      <c r="E83" s="802"/>
      <c r="F83" s="802"/>
      <c r="G83" s="733"/>
      <c r="H83" s="734"/>
    </row>
    <row r="84" spans="1:8">
      <c r="A84" s="733"/>
      <c r="C84" s="733"/>
      <c r="D84" s="733"/>
      <c r="E84" s="802"/>
      <c r="F84" s="802"/>
      <c r="G84" s="733"/>
      <c r="H84" s="734"/>
    </row>
    <row r="85" spans="1:8">
      <c r="A85" s="733"/>
      <c r="C85" s="733"/>
      <c r="D85" s="733"/>
      <c r="E85" s="802"/>
      <c r="F85" s="802"/>
      <c r="G85" s="733"/>
      <c r="H85" s="734"/>
    </row>
    <row r="86" spans="1:8">
      <c r="A86" s="733"/>
      <c r="C86" s="733"/>
      <c r="D86" s="733"/>
      <c r="E86" s="802"/>
      <c r="F86" s="802"/>
      <c r="G86" s="733"/>
      <c r="H86" s="734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abSelected="1" topLeftCell="T459" zoomScale="70" zoomScaleNormal="70" workbookViewId="0">
      <selection activeCell="AH507" sqref="AH507"/>
    </sheetView>
  </sheetViews>
  <sheetFormatPr baseColWidth="10" defaultColWidth="12.6640625" defaultRowHeight="17" outlineLevelRow="1"/>
  <cols>
    <col min="1" max="1" width="24.1640625" customWidth="1"/>
    <col min="2" max="2" width="23.1640625" customWidth="1"/>
    <col min="3" max="3" width="34.6640625" customWidth="1"/>
    <col min="4" max="4" width="16.33203125" customWidth="1"/>
    <col min="5" max="5" width="15.6640625" customWidth="1"/>
    <col min="6" max="6" width="16.83203125" customWidth="1"/>
    <col min="7" max="7" width="17.6640625" hidden="1" customWidth="1"/>
    <col min="8" max="8" width="15.6640625" hidden="1" customWidth="1"/>
    <col min="9" max="9" width="15.83203125" hidden="1" customWidth="1"/>
    <col min="10" max="10" width="16.6640625" customWidth="1"/>
    <col min="11" max="11" width="14.5" customWidth="1"/>
    <col min="12" max="12" width="15.83203125" customWidth="1"/>
    <col min="13" max="13" width="12" customWidth="1"/>
    <col min="14" max="14" width="18.6640625" customWidth="1"/>
    <col min="15" max="15" width="16.33203125" customWidth="1"/>
    <col min="16" max="16" width="15.6640625" customWidth="1"/>
    <col min="17" max="17" width="16.33203125" customWidth="1"/>
    <col min="18" max="18" width="13.83203125" customWidth="1"/>
    <col min="19" max="19" width="18.6640625" customWidth="1"/>
    <col min="20" max="20" width="3" customWidth="1"/>
    <col min="21" max="21" width="4" customWidth="1"/>
    <col min="22" max="22" width="31.6640625" style="1039" customWidth="1"/>
    <col min="23" max="23" width="12.1640625" customWidth="1"/>
    <col min="24" max="24" width="11.5" bestFit="1" customWidth="1"/>
    <col min="25" max="25" width="10" customWidth="1"/>
    <col min="26" max="26" width="17.33203125" customWidth="1"/>
    <col min="27" max="27" width="10.83203125" hidden="1" customWidth="1"/>
    <col min="28" max="28" width="10" hidden="1" customWidth="1"/>
    <col min="29" max="29" width="17.5" hidden="1" customWidth="1"/>
    <col min="30" max="30" width="10.83203125" customWidth="1"/>
    <col min="31" max="31" width="12" customWidth="1"/>
    <col min="32" max="32" width="18.83203125" customWidth="1"/>
    <col min="33" max="33" width="10.83203125" customWidth="1"/>
    <col min="34" max="34" width="16.1640625" customWidth="1"/>
    <col min="35" max="35" width="12.33203125" customWidth="1"/>
    <col min="36" max="36" width="10.83203125" customWidth="1"/>
    <col min="37" max="37" width="10" customWidth="1"/>
    <col min="38" max="38" width="17.5" customWidth="1"/>
    <col min="39" max="39" width="10.83203125" customWidth="1"/>
    <col min="40" max="40" width="16" customWidth="1"/>
    <col min="41" max="41" width="12.33203125" customWidth="1"/>
    <col min="42" max="42" width="11.6640625" bestFit="1" customWidth="1"/>
    <col min="43" max="62" width="11" customWidth="1"/>
  </cols>
  <sheetData>
    <row r="1" spans="1:40" ht="3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Juillet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8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33" t="s">
        <v>77</v>
      </c>
      <c r="E3" s="1434"/>
      <c r="F3" s="1435"/>
      <c r="G3" s="1436"/>
      <c r="H3" s="1434"/>
      <c r="I3" s="1435"/>
      <c r="J3" s="1436" t="s">
        <v>78</v>
      </c>
      <c r="K3" s="1434"/>
      <c r="L3" s="1435"/>
      <c r="M3" s="1436" t="s">
        <v>2441</v>
      </c>
      <c r="N3" s="1435"/>
      <c r="O3" s="1433" t="s">
        <v>79</v>
      </c>
      <c r="P3" s="1434"/>
      <c r="Q3" s="1435"/>
      <c r="R3" s="1437" t="s">
        <v>2445</v>
      </c>
      <c r="S3" s="1438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1899517.9411764706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2533152.0900000003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1665036.25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5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23505.882352941175</v>
      </c>
      <c r="G6" s="181"/>
      <c r="H6" s="178"/>
      <c r="I6" s="178"/>
      <c r="J6" s="181">
        <f>-SUMIFS(BV_Data_An_Cour!$O:$O,BV_Data_An_Cour!$U:$U,$B6,BV_Data_An_Cour!$V:$V,$C6,BV_Data_An_Cour!$W:$W,J$2)</f>
        <v>8</v>
      </c>
      <c r="K6" s="178">
        <f>IF(J6=0,0,L6/J6)</f>
        <v>5754.4687499999945</v>
      </c>
      <c r="L6" s="472">
        <f>-SUMIFS(BV_Data_An_Cour!$O:$O,BV_Data_An_Cour!$U:$U,$B6,BV_Data_An_Cour!$V:$V,$C6,BV_Data_An_Cour!$W:$W,L$2)</f>
        <v>46035.749999999956</v>
      </c>
      <c r="M6" s="181">
        <f t="shared" ref="M6:M12" si="2">J6-D6</f>
        <v>3</v>
      </c>
      <c r="N6" s="179">
        <f t="shared" ref="N6:N12" si="3">L6-F6</f>
        <v>22529.867647058782</v>
      </c>
      <c r="O6" s="181">
        <f>+INDEX('Réel 2025'!$A$2:$AO$500,MATCH($A6,'Réel 2025'!$A$2:$A$500,0),MATCH(O$2,'Réel 2025'!$A$2:$AO$2,0))</f>
        <v>7</v>
      </c>
      <c r="P6" s="178">
        <f t="shared" ref="P6:P12" si="4">IF(O6=0,0,Q6/O6)</f>
        <v>5502.9071428571424</v>
      </c>
      <c r="Q6" s="472">
        <f t="array" ref="Q6">+INDEX('Réel 2025'!$A$2:$AO$500,MATCH($A6,'Réel 2025'!$A$2:$A$500,0),MATCH(Q$2,'Réel 2025'!$A$2:$AO$2,0))</f>
        <v>38520.35</v>
      </c>
      <c r="R6" s="181">
        <f>J6-O6</f>
        <v>1</v>
      </c>
      <c r="S6" s="344">
        <f>L6-Q6</f>
        <v>7515.3999999999578</v>
      </c>
      <c r="T6" s="25"/>
      <c r="U6" s="25"/>
      <c r="W6" s="24" t="s">
        <v>3118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13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51070.5</v>
      </c>
      <c r="G7" s="181"/>
      <c r="H7" s="178"/>
      <c r="I7" s="178"/>
      <c r="J7" s="181">
        <f>-SUMIFS(BV_Data_An_Cour!$O:$O,BV_Data_An_Cour!$U:$U,$B7,BV_Data_An_Cour!$V:$V,$C7,BV_Data_An_Cour!$W:$W,J$2)</f>
        <v>14</v>
      </c>
      <c r="K7" s="178">
        <f t="shared" ref="K7:K12" si="6">IF(J7=0,0,L7/J7)</f>
        <v>3670.9135714285781</v>
      </c>
      <c r="L7" s="472">
        <f>-SUMIFS(BV_Data_An_Cour!$O:$O,BV_Data_An_Cour!$U:$U,$B7,BV_Data_An_Cour!$V:$V,$C7,BV_Data_An_Cour!$W:$W,L$2)</f>
        <v>51392.790000000095</v>
      </c>
      <c r="M7" s="181">
        <f t="shared" si="2"/>
        <v>1</v>
      </c>
      <c r="N7" s="179">
        <f t="shared" si="3"/>
        <v>322.29000000009546</v>
      </c>
      <c r="O7" s="181">
        <f t="array" ref="O7">+INDEX('Réel 2025'!$A$2:$AO$500,MATCH($A7,'Réel 2025'!$A$2:$A$500,0),MATCH(O$2,'Réel 2025'!$A$2:$AO$2,0))</f>
        <v>8</v>
      </c>
      <c r="P7" s="178">
        <f t="shared" si="4"/>
        <v>3987.5362499999874</v>
      </c>
      <c r="Q7" s="472">
        <f t="array" ref="Q7">+INDEX('Réel 2025'!$A$2:$AO$500,MATCH($A7,'Réel 2025'!$A$2:$A$500,0),MATCH(Q$2,'Réel 2025'!$A$2:$AO$2,0))</f>
        <v>31900.289999999899</v>
      </c>
      <c r="R7" s="181">
        <f t="shared" ref="R7:R12" si="7">J7-O7</f>
        <v>6</v>
      </c>
      <c r="S7" s="344">
        <f t="shared" ref="S7:S12" si="8">L7-Q7</f>
        <v>19492.500000000196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18</v>
      </c>
      <c r="E13" s="345">
        <f>IF(D13&lt;=0,0,F13/D13)</f>
        <v>4143.1323529411766</v>
      </c>
      <c r="F13" s="346">
        <f>+SUM(F6:F12)</f>
        <v>74576.382352941175</v>
      </c>
      <c r="G13" s="347"/>
      <c r="H13" s="345"/>
      <c r="I13" s="346"/>
      <c r="J13" s="347">
        <f>+SUM(J6:J12)</f>
        <v>22</v>
      </c>
      <c r="K13" s="345">
        <f>IF(J13&lt;=0,0,L13/J13)</f>
        <v>4428.5700000000024</v>
      </c>
      <c r="L13" s="346">
        <f>+SUM(L6:L12)</f>
        <v>97428.540000000052</v>
      </c>
      <c r="M13" s="347">
        <f>+SUM(M6:M12)</f>
        <v>4</v>
      </c>
      <c r="N13" s="346">
        <f>+SUM(N6:N12)</f>
        <v>22852.157647058877</v>
      </c>
      <c r="O13" s="347">
        <f>+SUM(O6:O12)</f>
        <v>15</v>
      </c>
      <c r="P13" s="345">
        <f>IF(O13&lt;=0,0,Q13/O13)</f>
        <v>4694.7093333333269</v>
      </c>
      <c r="Q13" s="346">
        <f>+SUM(Q6:Q12)</f>
        <v>70420.639999999898</v>
      </c>
      <c r="R13" s="347">
        <f>+SUM(R6:R12)</f>
        <v>7</v>
      </c>
      <c r="S13" s="348">
        <f>+SUM(S6:S12)</f>
        <v>27007.900000000154</v>
      </c>
      <c r="T13" s="25"/>
      <c r="U13" s="25"/>
      <c r="W13" s="24">
        <v>22</v>
      </c>
      <c r="X13" s="24">
        <v>97429</v>
      </c>
      <c r="Y13" s="1429">
        <f>L13-X13</f>
        <v>-0.45999999994819518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0.22222222222222221</v>
      </c>
      <c r="N14" s="233">
        <f>IF(F13=0,0,N13/F13)</f>
        <v>0.30642620258661052</v>
      </c>
      <c r="O14" s="222"/>
      <c r="P14" s="178"/>
      <c r="Q14" s="264"/>
      <c r="R14" s="234">
        <f>R13/O13</f>
        <v>0.46666666666666667</v>
      </c>
      <c r="S14" s="261">
        <f>IF(Q13=0,0,(S13/Q13))</f>
        <v>0.38352250135755928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3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3600</v>
      </c>
      <c r="G15" s="182"/>
      <c r="H15" s="351"/>
      <c r="I15" s="349"/>
      <c r="J15" s="465">
        <f>-SUMIFS(BV_Data_An_Cour!$O:$O,BV_Data_An_Cour!$U:$U,$B15,BV_Data_An_Cour!$V:$V,$C15,BV_Data_An_Cour!$W:$W,J$2)</f>
        <v>2</v>
      </c>
      <c r="K15" s="466">
        <f>IF(J15=0,0,L15/J15)</f>
        <v>878.34999999999127</v>
      </c>
      <c r="L15" s="466">
        <f>-SUMIFS(BV_Data_An_Cour!$O:$O,BV_Data_An_Cour!$U:$U,$B15,BV_Data_An_Cour!$V:$V,$C15,BV_Data_An_Cour!$W:$W,L$2)</f>
        <v>1756.6999999999825</v>
      </c>
      <c r="M15" s="350">
        <f>J15-D15</f>
        <v>-1</v>
      </c>
      <c r="N15" s="349">
        <f>L15-F15</f>
        <v>-1843.3000000000175</v>
      </c>
      <c r="O15" s="465">
        <f t="array" ref="O15">+INDEX('Réel 2025'!$A$2:$AO$500,MATCH($A15,'Réel 2025'!$A$2:$A$500,0),MATCH(O$2,'Réel 2025'!$A$2:$AO$2,0))</f>
        <v>3</v>
      </c>
      <c r="P15" s="466">
        <f>IF(O15=0,0,Q15/O15)</f>
        <v>1692.6766666666633</v>
      </c>
      <c r="Q15" s="466">
        <f t="array" ref="Q15">+INDEX('Réel 2025'!$A$2:$AO$500,MATCH($A15,'Réel 2025'!$A$2:$A$500,0),MATCH(Q$2,'Réel 2025'!$A$2:$AO$2,0))</f>
        <v>5078.0299999999897</v>
      </c>
      <c r="R15" s="350">
        <f>J15-O15</f>
        <v>-1</v>
      </c>
      <c r="S15" s="371">
        <f>L15-Q15</f>
        <v>-3321.3300000000072</v>
      </c>
      <c r="T15" s="25"/>
      <c r="U15" s="25"/>
      <c r="W15" s="806">
        <v>2</v>
      </c>
      <c r="X15" s="24">
        <f>-250+2007</f>
        <v>1757</v>
      </c>
      <c r="Y15" s="1429">
        <f>L15-X15</f>
        <v>-0.3000000000174623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1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750</v>
      </c>
      <c r="G17" s="181"/>
      <c r="H17" s="178"/>
      <c r="I17" s="178"/>
      <c r="J17" s="350">
        <f>-SUMIFS(BV_Data_An_Cour!$O:$O,BV_Data_An_Cour!$U:$U,$B17,BV_Data_An_Cour!$V:$V,$C17,BV_Data_An_Cour!$W:$W,J$2)</f>
        <v>2</v>
      </c>
      <c r="K17" s="178">
        <f>IF(J17=0,0,L17/J17)</f>
        <v>2520.7699999999968</v>
      </c>
      <c r="L17" s="179">
        <f>-SUMIFS(BV_Data_An_Cour!$O:$O,BV_Data_An_Cour!$U:$U,$B17,BV_Data_An_Cour!$V:$V,$C17,BV_Data_An_Cour!$W:$W,L$2)</f>
        <v>5041.5399999999936</v>
      </c>
      <c r="M17" s="350">
        <f>J17-D17</f>
        <v>1</v>
      </c>
      <c r="N17" s="179">
        <f>L17-F17</f>
        <v>4291.5399999999936</v>
      </c>
      <c r="O17" s="350">
        <f t="array" ref="O17">+INDEX('Réel 2025'!$A$2:$AO$500,MATCH($A17,'Réel 2025'!$A$2:$A$500,0),MATCH(O$2,'Réel 2025'!$A$2:$AO$2,0))</f>
        <v>1</v>
      </c>
      <c r="P17" s="178">
        <f>IF(O17=0,0,Q17/O17)</f>
        <v>2881.0099999999902</v>
      </c>
      <c r="Q17" s="179">
        <f t="array" ref="Q17">+INDEX('Réel 2025'!$A$2:$AO$500,MATCH($A17,'Réel 2025'!$A$2:$A$500,0),MATCH(Q$2,'Réel 2025'!$A$2:$AO$2,0))</f>
        <v>2881.0099999999902</v>
      </c>
      <c r="R17" s="181">
        <f>J17-O17</f>
        <v>1</v>
      </c>
      <c r="S17" s="344">
        <f>L17-Q17</f>
        <v>2160.5300000000034</v>
      </c>
      <c r="T17" s="25"/>
      <c r="U17" s="25"/>
      <c r="W17" s="24">
        <v>2</v>
      </c>
      <c r="X17" s="24">
        <v>5042</v>
      </c>
      <c r="Y17" s="1429">
        <f>L17-X17</f>
        <v>-0.46000000000640284</v>
      </c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147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-147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24150</v>
      </c>
      <c r="G22" s="222"/>
      <c r="H22" s="178"/>
      <c r="I22" s="178"/>
      <c r="J22" s="181"/>
      <c r="K22" s="178">
        <f>IF(J13=0,0,L22/(J13+J15))</f>
        <v>253.54166666666666</v>
      </c>
      <c r="L22" s="179">
        <f>-SUMIFS(BV_Data_An_Cour!$O:$O,BV_Data_An_Cour!$U:$U,$B22,BV_Data_An_Cour!$V:$V,$C22,BV_Data_An_Cour!$W:$W,L$2)</f>
        <v>6085</v>
      </c>
      <c r="M22" s="181"/>
      <c r="N22" s="179">
        <f>L22-F22</f>
        <v>-18065</v>
      </c>
      <c r="O22" s="181"/>
      <c r="P22" s="178">
        <f>IF(O13=0,0,Q22/(O13+O15))</f>
        <v>1654.6972222222221</v>
      </c>
      <c r="Q22" s="179">
        <f t="array" ref="Q22">+INDEX('Réel 2025'!$A$2:$AO$500,MATCH($A22,'Réel 2025'!$A$2:$A$500,0),MATCH(Q$2,'Réel 2025'!$A$2:$AO$2,0))</f>
        <v>29784.55</v>
      </c>
      <c r="R22" s="181">
        <f>O22-K22</f>
        <v>-253.54166666666666</v>
      </c>
      <c r="S22" s="344">
        <f>L22-Q22</f>
        <v>-23699.55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9303</v>
      </c>
      <c r="G23" s="222"/>
      <c r="H23" s="178"/>
      <c r="I23" s="178"/>
      <c r="J23" s="181"/>
      <c r="K23" s="178">
        <f>IF(J13=0,0,L23/(J13+J15))</f>
        <v>388.91624999999999</v>
      </c>
      <c r="L23" s="179">
        <f>-SUMIFS(BV_Data_An_Cour!$O:$O,BV_Data_An_Cour!$U:$U,$B23,BV_Data_An_Cour!$V:$V,$C23,BV_Data_An_Cour!$W:$W,L$2)</f>
        <v>9333.99</v>
      </c>
      <c r="M23" s="350"/>
      <c r="N23" s="179">
        <f>L23-F23</f>
        <v>30.989999999999782</v>
      </c>
      <c r="O23" s="181"/>
      <c r="P23" s="178">
        <f>IF(O13=0,0,Q23/(O13+O15))</f>
        <v>1082.163888888889</v>
      </c>
      <c r="Q23" s="179">
        <f t="array" ref="Q23">+INDEX('Réel 2025'!$A$2:$AO$500,MATCH($A23,'Réel 2025'!$A$2:$A$500,0),MATCH(Q$2,'Réel 2025'!$A$2:$AO$2,0))</f>
        <v>19478.95</v>
      </c>
      <c r="R23" s="181">
        <f>O23-K23</f>
        <v>-388.91624999999999</v>
      </c>
      <c r="S23" s="344">
        <f>L23-Q23</f>
        <v>-10144.960000000001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21</v>
      </c>
      <c r="E24" s="345">
        <f>IF(D24&lt;=0,0,F24/D24)</f>
        <v>1600</v>
      </c>
      <c r="F24" s="346">
        <f>F21+F22+F23</f>
        <v>33600</v>
      </c>
      <c r="G24" s="347"/>
      <c r="H24" s="345"/>
      <c r="I24" s="346"/>
      <c r="J24" s="347">
        <f>+J15+J13</f>
        <v>24</v>
      </c>
      <c r="K24" s="345">
        <f>IF(J24&lt;=0,0,L24/J24)</f>
        <v>642.45791666666662</v>
      </c>
      <c r="L24" s="346">
        <f>L21+L22+L23</f>
        <v>15418.99</v>
      </c>
      <c r="M24" s="375">
        <f>J24-D24</f>
        <v>3</v>
      </c>
      <c r="N24" s="346">
        <f>L24-F24</f>
        <v>-18181.010000000002</v>
      </c>
      <c r="O24" s="347">
        <f>+O15+O13</f>
        <v>18</v>
      </c>
      <c r="P24" s="345">
        <f>IF(O24&lt;=0,0,Q24/O24)</f>
        <v>2736.8611111111113</v>
      </c>
      <c r="Q24" s="346">
        <f>Q21+Q22+Q23</f>
        <v>49263.5</v>
      </c>
      <c r="R24" s="355"/>
      <c r="S24" s="348">
        <f>L24-Q24</f>
        <v>-33844.51</v>
      </c>
      <c r="T24" s="25"/>
      <c r="U24" s="25"/>
      <c r="W24" s="24"/>
      <c r="X24" s="24">
        <v>15419</v>
      </c>
      <c r="Y24" s="1429">
        <f>L24-X24</f>
        <v>-1.0000000000218279E-2</v>
      </c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-0.54110148809523817</v>
      </c>
      <c r="O25" s="222"/>
      <c r="P25" s="177"/>
      <c r="Q25" s="224"/>
      <c r="R25" s="223"/>
      <c r="S25" s="261">
        <f>IF(Q24=0,0,(S24/Q24))</f>
        <v>-0.68700985516660407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22</v>
      </c>
      <c r="E27" s="27">
        <f>IF(D27&lt;=0,0,F27/D27)</f>
        <v>5114.8355614973261</v>
      </c>
      <c r="F27" s="28">
        <f>F13+F17+F24+F15</f>
        <v>112526.38235294117</v>
      </c>
      <c r="G27" s="29"/>
      <c r="H27" s="30"/>
      <c r="I27" s="28"/>
      <c r="J27" s="29">
        <f>+J13+J15+J17</f>
        <v>26</v>
      </c>
      <c r="K27" s="30">
        <f>IF(J27&lt;=0,0,L27/J27)</f>
        <v>4601.7603846153861</v>
      </c>
      <c r="L27" s="28">
        <f>L13+L17+L24+L15</f>
        <v>119645.77000000003</v>
      </c>
      <c r="M27" s="29">
        <f>J27-D27</f>
        <v>4</v>
      </c>
      <c r="N27" s="28">
        <f>L27-F27</f>
        <v>7119.3876470588584</v>
      </c>
      <c r="O27" s="29">
        <f>+O13+O15+O17</f>
        <v>19</v>
      </c>
      <c r="P27" s="30">
        <f>IF(O27&lt;=0,0,Q27/O27)</f>
        <v>6718.0621052631514</v>
      </c>
      <c r="Q27" s="28">
        <f>Q13+Q17+Q24+Q15</f>
        <v>127643.17999999988</v>
      </c>
      <c r="R27" s="29">
        <f>J27-O27</f>
        <v>7</v>
      </c>
      <c r="S27" s="320">
        <f>L27-Q27</f>
        <v>-7997.4099999998434</v>
      </c>
      <c r="T27" s="25"/>
      <c r="U27" s="25"/>
      <c r="W27" s="24">
        <f>SUM(W13:W26)</f>
        <v>26</v>
      </c>
      <c r="X27" s="24">
        <f>SUM(X13:X26)</f>
        <v>119647</v>
      </c>
      <c r="Y27" s="1429">
        <f>L27-X27</f>
        <v>-1.2299999999668216</v>
      </c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0.18181818181818182</v>
      </c>
      <c r="N28" s="34">
        <f>N27/F27</f>
        <v>6.3268608642627122E-2</v>
      </c>
      <c r="O28" s="31"/>
      <c r="P28" s="322"/>
      <c r="Q28" s="32"/>
      <c r="R28" s="33">
        <f>R27/O27</f>
        <v>0.36842105263157893</v>
      </c>
      <c r="S28" s="258">
        <f>IF(Q27=0,0,S27/Q27)</f>
        <v>-6.2654424623390381E-2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0.29497583616737116</v>
      </c>
      <c r="E31" s="194">
        <f t="shared" ref="E31:E40" si="9">F31/D$24</f>
        <v>1098.1020834809019</v>
      </c>
      <c r="F31" s="178">
        <f>+INDEX('Budget original'!$A$2:$AO$501,MATCH($A31,'Budget original'!$A$2:$A$501,0),MATCH(F$2,'Budget original'!$A$2:$AO$2,0))</f>
        <v>23060.143753098942</v>
      </c>
      <c r="G31" s="292"/>
      <c r="H31" s="194"/>
      <c r="I31" s="178"/>
      <c r="J31" s="292">
        <f>L31/(L13+L15)</f>
        <v>0.26231413061056252</v>
      </c>
      <c r="K31" s="194">
        <f t="shared" ref="K31:K40" si="10">IF(L31=0,0,L31/J$24)</f>
        <v>1084.0704166666667</v>
      </c>
      <c r="L31" s="178">
        <f>SUMIFS(BV_Data_An_Cour!$O:$O,BV_Data_An_Cour!$U:$U,$B31,BV_Data_An_Cour!$V:$V,$C31,BV_Data_An_Cour!$W:$W,L$2)</f>
        <v>26017.69</v>
      </c>
      <c r="M31" s="222"/>
      <c r="N31" s="224">
        <f t="shared" ref="N31:N53" si="11">L31-F31</f>
        <v>2957.5462469010563</v>
      </c>
      <c r="O31" s="292">
        <f>Q31/(Q13+Q15+Q17)</f>
        <v>0.27364031085607948</v>
      </c>
      <c r="P31" s="194">
        <f t="shared" ref="P31:P40" si="12">Q31/O$24</f>
        <v>1191.5466666666666</v>
      </c>
      <c r="Q31" s="179">
        <f t="array" ref="Q31">+INDEX('Réel 2025'!$A$2:$AO$500,MATCH($A31,'Réel 2025'!$A$2:$A$500,0),MATCH(Q$2,'Réel 2025'!$A$2:$AO$2,0))</f>
        <v>21447.84</v>
      </c>
      <c r="R31" s="222"/>
      <c r="S31" s="196">
        <f t="shared" ref="S31:S41" si="13">L31-Q31</f>
        <v>4569.8499999999985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10248</v>
      </c>
      <c r="G32" s="319"/>
      <c r="H32" s="187"/>
      <c r="I32" s="176"/>
      <c r="J32" s="319">
        <f>L32/L24</f>
        <v>0.16544209445625166</v>
      </c>
      <c r="K32" s="357">
        <f t="shared" si="10"/>
        <v>106.28958333333333</v>
      </c>
      <c r="L32" s="176">
        <f>SUMIFS(BV_Data_An_Cour!$O:$O,BV_Data_An_Cour!$U:$U,$B32,BV_Data_An_Cour!$V:$V,$C32,BV_Data_An_Cour!$W:$W,L$2)</f>
        <v>2550.9499999999998</v>
      </c>
      <c r="M32" s="277"/>
      <c r="N32" s="278">
        <f t="shared" si="11"/>
        <v>-7697.05</v>
      </c>
      <c r="O32" s="319">
        <f>Q32/Q24</f>
        <v>0.34380545434246451</v>
      </c>
      <c r="P32" s="357">
        <f t="shared" si="12"/>
        <v>940.9477777777779</v>
      </c>
      <c r="Q32" s="176">
        <f t="array" ref="Q32">+INDEX('Réel 2025'!$A$2:$AO$500,MATCH($A32,'Réel 2025'!$A$2:$A$500,0),MATCH(Q$2,'Réel 2025'!$A$2:$AO$2,0))</f>
        <v>16937.060000000001</v>
      </c>
      <c r="R32" s="277"/>
      <c r="S32" s="199">
        <f t="shared" si="13"/>
        <v>-14386.11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2520</v>
      </c>
      <c r="G33" s="268"/>
      <c r="H33" s="194"/>
      <c r="I33" s="178"/>
      <c r="J33" s="222"/>
      <c r="K33" s="194">
        <f t="shared" si="10"/>
        <v>322.75</v>
      </c>
      <c r="L33" s="178">
        <f>SUMIFS(BV_Data_An_Cour!$O:$O,BV_Data_An_Cour!$U:$U,$B33,BV_Data_An_Cour!$V:$V,$C33,BV_Data_An_Cour!$W:$W,L$2)</f>
        <v>7746</v>
      </c>
      <c r="M33" s="222"/>
      <c r="N33" s="224">
        <f t="shared" si="11"/>
        <v>5226</v>
      </c>
      <c r="O33" s="222"/>
      <c r="P33" s="194">
        <f t="shared" si="12"/>
        <v>148.78444444444443</v>
      </c>
      <c r="Q33" s="179">
        <f t="array" ref="Q33">+INDEX('Réel 2025'!$A$2:$AO$500,MATCH($A33,'Réel 2025'!$A$2:$A$500,0),MATCH(Q$2,'Réel 2025'!$A$2:$AO$2,0))</f>
        <v>2678.12</v>
      </c>
      <c r="R33" s="222"/>
      <c r="S33" s="196">
        <f t="shared" si="13"/>
        <v>5067.88</v>
      </c>
      <c r="T33" s="25"/>
      <c r="U33" s="25"/>
      <c r="V33" s="1039" t="s">
        <v>3115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735</v>
      </c>
      <c r="G34" s="268"/>
      <c r="H34" s="194"/>
      <c r="I34" s="178"/>
      <c r="J34" s="222"/>
      <c r="K34" s="194">
        <f t="shared" si="10"/>
        <v>61.666666666666664</v>
      </c>
      <c r="L34" s="178">
        <f>SUMIFS(BV_Data_An_Cour!$O:$O,BV_Data_An_Cour!$U:$U,$B34,BV_Data_An_Cour!$V:$V,$C34,BV_Data_An_Cour!$W:$W,L$2)</f>
        <v>1480</v>
      </c>
      <c r="M34" s="222"/>
      <c r="N34" s="224">
        <f t="shared" si="11"/>
        <v>745</v>
      </c>
      <c r="O34" s="222"/>
      <c r="P34" s="194">
        <f t="shared" si="12"/>
        <v>24.611111111111111</v>
      </c>
      <c r="Q34" s="179">
        <f t="array" ref="Q34">+INDEX('Réel 2025'!$A$2:$AO$500,MATCH($A34,'Réel 2025'!$A$2:$A$500,0),MATCH(Q$2,'Réel 2025'!$A$2:$AO$2,0))</f>
        <v>443</v>
      </c>
      <c r="R34" s="222"/>
      <c r="S34" s="196">
        <f t="shared" si="13"/>
        <v>1037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100.61904761904762</v>
      </c>
      <c r="F35" s="176">
        <f>+INDEX('Budget original'!$A$2:$AO$501,MATCH($A35,'Budget original'!$A$2:$A$501,0),MATCH(F$2,'Budget original'!$A$2:$AO$2,0))</f>
        <v>2113</v>
      </c>
      <c r="G35" s="276"/>
      <c r="H35" s="187"/>
      <c r="I35" s="176"/>
      <c r="J35" s="277"/>
      <c r="K35" s="357">
        <f t="shared" si="10"/>
        <v>82.10208333333334</v>
      </c>
      <c r="L35" s="176">
        <f>SUMIFS(BV_Data_An_Cour!$O:$O,BV_Data_An_Cour!$U:$U,$B35,BV_Data_An_Cour!$V:$V,$C35,BV_Data_An_Cour!$W:$W,L$2)</f>
        <v>1970.45</v>
      </c>
      <c r="M35" s="277"/>
      <c r="N35" s="278">
        <f t="shared" si="11"/>
        <v>-142.54999999999995</v>
      </c>
      <c r="O35" s="277"/>
      <c r="P35" s="357">
        <f t="shared" si="12"/>
        <v>184.9361111111111</v>
      </c>
      <c r="Q35" s="179">
        <f t="array" ref="Q35">+INDEX('Réel 2025'!$A$2:$AO$500,MATCH($A35,'Réel 2025'!$A$2:$A$500,0),MATCH(Q$2,'Réel 2025'!$A$2:$AO$2,0))</f>
        <v>3328.85</v>
      </c>
      <c r="R35" s="277"/>
      <c r="S35" s="199">
        <f t="shared" si="13"/>
        <v>-1358.3999999999999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234.88787878787875</v>
      </c>
      <c r="F36" s="178">
        <f>+INDEX('Budget original'!$A$2:$AO$501,MATCH($A36,'Budget original'!$A$2:$A$501,0),MATCH(F$2,'Budget original'!$A$2:$AO$2,0))</f>
        <v>4932.6454545454535</v>
      </c>
      <c r="G36" s="268"/>
      <c r="H36" s="194"/>
      <c r="I36" s="178"/>
      <c r="J36" s="222"/>
      <c r="K36" s="194">
        <f t="shared" si="10"/>
        <v>184.60916666666671</v>
      </c>
      <c r="L36" s="539">
        <f>SUMIFS(BV_Data_An_Cour!$O:$O,BV_Data_An_Cour!$U:$U,$B36,BV_Data_An_Cour!$V:$V,$C36,BV_Data_An_Cour!$W:$W,L$2)</f>
        <v>4430.6200000000008</v>
      </c>
      <c r="M36" s="177"/>
      <c r="N36" s="224">
        <f t="shared" si="11"/>
        <v>-502.0254545454527</v>
      </c>
      <c r="O36" s="222"/>
      <c r="P36" s="194">
        <f t="shared" si="12"/>
        <v>568.04222222222222</v>
      </c>
      <c r="Q36" s="373">
        <f t="array" ref="Q36">+INDEX('Réel 2025'!$A$2:$AO$500,MATCH($A36,'Réel 2025'!$A$2:$A$500,0),MATCH(Q$2,'Réel 2025'!$A$2:$AO$2,0))</f>
        <v>10224.76</v>
      </c>
      <c r="R36" s="222"/>
      <c r="S36" s="196">
        <f t="shared" si="13"/>
        <v>-5794.1399999999994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1011.0149443515111</v>
      </c>
      <c r="F37" s="178">
        <f>+INDEX('Budget original'!$A$2:$AO$501,MATCH($A37,'Budget original'!$A$2:$A$501,0),MATCH(F$2,'Budget original'!$A$2:$AO$2,0))</f>
        <v>21231.313831381733</v>
      </c>
      <c r="G37" s="268"/>
      <c r="H37" s="194"/>
      <c r="I37" s="178"/>
      <c r="J37" s="222"/>
      <c r="K37" s="194">
        <f t="shared" si="10"/>
        <v>992.09708333333344</v>
      </c>
      <c r="L37" s="540">
        <f>SUMIFS(BV_Data_An_Cour!$O:$O,BV_Data_An_Cour!$U:$U,$B37,BV_Data_An_Cour!$V:$V,$C37,BV_Data_An_Cour!$W:$W,L$2)</f>
        <v>23810.33</v>
      </c>
      <c r="M37" s="177"/>
      <c r="N37" s="224">
        <f t="shared" si="11"/>
        <v>2579.0161686182691</v>
      </c>
      <c r="O37" s="222"/>
      <c r="P37" s="194">
        <f t="shared" si="12"/>
        <v>1226.4177777777777</v>
      </c>
      <c r="Q37" s="179">
        <f t="array" ref="Q37">+INDEX('Réel 2025'!$A$2:$AO$500,MATCH($A37,'Réel 2025'!$A$2:$A$500,0),MATCH(Q$2,'Réel 2025'!$A$2:$AO$2,0))</f>
        <v>22075.52</v>
      </c>
      <c r="R37" s="222"/>
      <c r="S37" s="196">
        <f>L37-Q37</f>
        <v>1734.8100000000013</v>
      </c>
      <c r="T37" s="25"/>
      <c r="U37" s="25"/>
      <c r="V37" s="1039">
        <v>23810</v>
      </c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0.57622134190410468</v>
      </c>
      <c r="F41" s="41">
        <f>SUM(F31:F40)</f>
        <v>64840.103039026129</v>
      </c>
      <c r="G41" s="42"/>
      <c r="H41" s="40"/>
      <c r="I41" s="41"/>
      <c r="J41" s="42" t="s">
        <v>108</v>
      </c>
      <c r="K41" s="40">
        <f>L41/L$27</f>
        <v>0.56839485424348879</v>
      </c>
      <c r="L41" s="41">
        <f>SUM(L31:L40)</f>
        <v>68006.040000000008</v>
      </c>
      <c r="M41" s="504"/>
      <c r="N41" s="41">
        <f t="shared" si="11"/>
        <v>3165.9369609738787</v>
      </c>
      <c r="O41" s="42" t="s">
        <v>108</v>
      </c>
      <c r="P41" s="40">
        <f>Q41/Q$27</f>
        <v>0.6043029482656268</v>
      </c>
      <c r="Q41" s="503">
        <f>SUM(Q31:Q40)</f>
        <v>77135.150000000009</v>
      </c>
      <c r="R41" s="44"/>
      <c r="S41" s="284">
        <f t="shared" si="13"/>
        <v>-9129.11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12289.214537493159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7464.12</v>
      </c>
      <c r="M42" s="222"/>
      <c r="N42" s="224">
        <f t="shared" si="11"/>
        <v>-4825.0945374931589</v>
      </c>
      <c r="O42" s="222"/>
      <c r="P42" s="177"/>
      <c r="Q42" s="179">
        <f t="array" ref="Q42">+INDEX('Réel 2025'!$A$2:$AO$500,MATCH($A42,'Réel 2025'!$A$2:$A$500,0),MATCH(Q$2,'Réel 2025'!$A$2:$AO$2,0))</f>
        <v>11717.38</v>
      </c>
      <c r="R42" s="222"/>
      <c r="S42" s="196">
        <f t="shared" ref="S42:S53" si="14">L42-Q42</f>
        <v>-4253.2599999999993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5364.3166130268201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3371.29</v>
      </c>
      <c r="M43" s="222"/>
      <c r="N43" s="224">
        <f t="shared" si="11"/>
        <v>-1993.0266130268201</v>
      </c>
      <c r="O43" s="222"/>
      <c r="P43" s="177"/>
      <c r="Q43" s="179">
        <f t="array" ref="Q43">+INDEX('Réel 2025'!$A$2:$AO$500,MATCH($A43,'Réel 2025'!$A$2:$A$500,0),MATCH(Q$2,'Réel 2025'!$A$2:$AO$2,0))</f>
        <v>8797.9500000000007</v>
      </c>
      <c r="R43" s="222"/>
      <c r="S43" s="196">
        <f t="shared" si="14"/>
        <v>-5426.6600000000008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135</v>
      </c>
      <c r="M44" s="272"/>
      <c r="N44" s="273">
        <f t="shared" si="11"/>
        <v>135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-207</v>
      </c>
      <c r="T44" s="25"/>
      <c r="U44" s="25"/>
      <c r="V44" s="1039" t="s">
        <v>3041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7963.6678827391588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7199.8</v>
      </c>
      <c r="M49" s="222"/>
      <c r="N49" s="224">
        <f t="shared" si="11"/>
        <v>-763.86788273915863</v>
      </c>
      <c r="O49" s="222"/>
      <c r="P49" s="177"/>
      <c r="Q49" s="176">
        <f t="array" ref="Q49">+INDEX('Réel 2025'!$A$2:$AO$500,MATCH($A49,'Réel 2025'!$A$2:$A$500,0),MATCH(Q$2,'Réel 2025'!$A$2:$AO$2,0))</f>
        <v>10908.19</v>
      </c>
      <c r="R49" s="222"/>
      <c r="S49" s="196">
        <f t="shared" si="14"/>
        <v>-3708.3900000000003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7249.6154932205645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8517.01</v>
      </c>
      <c r="M50" s="272"/>
      <c r="N50" s="273">
        <f t="shared" si="11"/>
        <v>1267.3945067794357</v>
      </c>
      <c r="O50" s="272"/>
      <c r="P50" s="270"/>
      <c r="Q50" s="179">
        <f t="array" ref="Q50">+INDEX('Réel 2025'!$A$2:$AO$500,MATCH($A50,'Réel 2025'!$A$2:$A$500,0),MATCH(Q$2,'Réel 2025'!$A$2:$AO$2,0))</f>
        <v>8031.37</v>
      </c>
      <c r="R50" s="272"/>
      <c r="S50" s="198">
        <f t="shared" si="14"/>
        <v>485.64000000000033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5074.7308452543948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4625.8900000000003</v>
      </c>
      <c r="M51" s="222"/>
      <c r="N51" s="224">
        <f t="shared" si="11"/>
        <v>-448.84084525439448</v>
      </c>
      <c r="O51" s="222"/>
      <c r="P51" s="177"/>
      <c r="Q51" s="179">
        <f t="array" ref="Q51">+INDEX('Réel 2025'!$A$2:$AO$500,MATCH($A51,'Réel 2025'!$A$2:$A$500,0),MATCH(Q$2,'Réel 2025'!$A$2:$AO$2,0))</f>
        <v>5558.62</v>
      </c>
      <c r="R51" s="222"/>
      <c r="S51" s="196">
        <f t="shared" si="14"/>
        <v>-932.72999999999956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1420.9246366712307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1463.85</v>
      </c>
      <c r="M52" s="222"/>
      <c r="N52" s="224">
        <f t="shared" si="11"/>
        <v>42.925363328769208</v>
      </c>
      <c r="O52" s="222"/>
      <c r="P52" s="177"/>
      <c r="Q52" s="179">
        <f t="array" ref="Q52">+INDEX('Réel 2025'!$A$2:$AO$500,MATCH($A52,'Réel 2025'!$A$2:$A$500,0),MATCH(Q$2,'Réel 2025'!$A$2:$AO$2,0))</f>
        <v>1980</v>
      </c>
      <c r="R52" s="222"/>
      <c r="S52" s="196">
        <f t="shared" si="14"/>
        <v>-516.15000000000009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0.3498065892222873</v>
      </c>
      <c r="F54" s="41">
        <f>+SUM(F42:F53)</f>
        <v>39362.470008405333</v>
      </c>
      <c r="G54" s="42"/>
      <c r="H54" s="40"/>
      <c r="I54" s="41"/>
      <c r="J54" s="42" t="s">
        <v>108</v>
      </c>
      <c r="K54" s="40">
        <f>L54/L$27</f>
        <v>0.27395001093645005</v>
      </c>
      <c r="L54" s="41">
        <f>+SUM(L42:L53)</f>
        <v>32776.959999999999</v>
      </c>
      <c r="M54" s="44"/>
      <c r="N54" s="41">
        <f>+SUM(N42:N53)</f>
        <v>-6585.5100084053274</v>
      </c>
      <c r="O54" s="42" t="s">
        <v>108</v>
      </c>
      <c r="P54" s="40">
        <f>Q54/Q$27</f>
        <v>0.37084245315730974</v>
      </c>
      <c r="Q54" s="41">
        <f>+SUM(Q42:Q53)</f>
        <v>47335.510000000009</v>
      </c>
      <c r="R54" s="44"/>
      <c r="S54" s="284">
        <f>+SUM(S42:S53)</f>
        <v>-14558.550000000001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881.59</v>
      </c>
      <c r="M57" s="277"/>
      <c r="N57" s="278">
        <f t="shared" si="15"/>
        <v>-1154.9099999999999</v>
      </c>
      <c r="O57" s="277"/>
      <c r="P57" s="275"/>
      <c r="Q57" s="176">
        <f t="array" ref="Q57">+INDEX('Réel 2025'!$A$2:$AO$500,MATCH($A57,'Réel 2025'!$A$2:$A$500,0),MATCH(Q$2,'Réel 2025'!$A$2:$AO$2,0))</f>
        <v>9997.42</v>
      </c>
      <c r="R57" s="277"/>
      <c r="S57" s="199">
        <f t="shared" si="16"/>
        <v>-9115.83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9638.23</v>
      </c>
      <c r="M58" s="222"/>
      <c r="N58" s="224">
        <f t="shared" si="15"/>
        <v>442.87783333333209</v>
      </c>
      <c r="O58" s="222"/>
      <c r="P58" s="177"/>
      <c r="Q58" s="179">
        <f t="array" ref="Q58">+INDEX('Réel 2025'!$A$2:$AO$500,MATCH($A58,'Réel 2025'!$A$2:$A$500,0),MATCH(Q$2,'Réel 2025'!$A$2:$AO$2,0))</f>
        <v>4744.13</v>
      </c>
      <c r="R58" s="222"/>
      <c r="S58" s="196">
        <f t="shared" si="16"/>
        <v>4894.0999999999995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3011.58</v>
      </c>
      <c r="M59" s="222"/>
      <c r="N59" s="224">
        <f t="shared" si="15"/>
        <v>1681.58</v>
      </c>
      <c r="O59" s="222"/>
      <c r="P59" s="177"/>
      <c r="Q59" s="179">
        <f t="array" ref="Q59">+INDEX('Réel 2025'!$A$2:$AO$500,MATCH($A59,'Réel 2025'!$A$2:$A$500,0),MATCH(Q$2,'Réel 2025'!$A$2:$AO$2,0))</f>
        <v>646.1</v>
      </c>
      <c r="R59" s="222"/>
      <c r="S59" s="196">
        <f t="shared" si="16"/>
        <v>2365.48</v>
      </c>
      <c r="T59" s="25"/>
      <c r="U59" s="25"/>
      <c r="V59" s="1039" t="s">
        <v>3125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3269.68</v>
      </c>
      <c r="M60" s="277"/>
      <c r="N60" s="278">
        <f t="shared" si="15"/>
        <v>597.31966666666631</v>
      </c>
      <c r="O60" s="277"/>
      <c r="P60" s="275"/>
      <c r="Q60" s="176">
        <f t="array" ref="Q60">+INDEX('Réel 2025'!$A$2:$AO$500,MATCH($A60,'Réel 2025'!$A$2:$A$500,0),MATCH(Q$2,'Réel 2025'!$A$2:$AO$2,0))</f>
        <v>3019.73</v>
      </c>
      <c r="R60" s="277"/>
      <c r="S60" s="199">
        <f t="shared" si="16"/>
        <v>249.94999999999982</v>
      </c>
      <c r="T60" s="25"/>
      <c r="U60" s="25"/>
      <c r="V60" s="1039" t="s">
        <v>3126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182.09</v>
      </c>
      <c r="M61" s="222"/>
      <c r="N61" s="224">
        <f t="shared" si="15"/>
        <v>107.09</v>
      </c>
      <c r="O61" s="222"/>
      <c r="P61" s="177"/>
      <c r="Q61" s="179">
        <f t="array" ref="Q61">+INDEX('Réel 2025'!$A$2:$AO$500,MATCH($A61,'Réel 2025'!$A$2:$A$500,0),MATCH(Q$2,'Réel 2025'!$A$2:$AO$2,0))</f>
        <v>60.91</v>
      </c>
      <c r="R61" s="222"/>
      <c r="S61" s="196">
        <f t="shared" si="16"/>
        <v>121.18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186.48</v>
      </c>
      <c r="M62" s="222"/>
      <c r="N62" s="224">
        <f t="shared" si="15"/>
        <v>156.47999999999999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186.48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531.85</v>
      </c>
      <c r="M63" s="222"/>
      <c r="N63" s="224">
        <f t="shared" si="15"/>
        <v>-48.149999999999977</v>
      </c>
      <c r="O63" s="222"/>
      <c r="P63" s="177"/>
      <c r="Q63" s="472">
        <f t="array" ref="Q63">+INDEX('Réel 2025'!$A$2:$AO$500,MATCH($A63,'Réel 2025'!$A$2:$A$500,0),MATCH(Q$2,'Réel 2025'!$A$2:$AO$2,0))</f>
        <v>336.91</v>
      </c>
      <c r="R63" s="222"/>
      <c r="S63" s="196">
        <f t="shared" si="16"/>
        <v>194.94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205.23</v>
      </c>
      <c r="M64" s="222"/>
      <c r="N64" s="224">
        <f t="shared" si="15"/>
        <v>47.629999999999995</v>
      </c>
      <c r="O64" s="222"/>
      <c r="P64" s="177"/>
      <c r="Q64" s="179">
        <f t="array" ref="Q64">+INDEX('Réel 2025'!$A$2:$AO$500,MATCH($A64,'Réel 2025'!$A$2:$A$500,0),MATCH(Q$2,'Réel 2025'!$A$2:$AO$2,0))</f>
        <v>184.93</v>
      </c>
      <c r="R64" s="222"/>
      <c r="S64" s="196">
        <f t="shared" si="16"/>
        <v>20.299999999999983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34.450000000000003</v>
      </c>
      <c r="M65" s="222"/>
      <c r="N65" s="224">
        <f t="shared" si="15"/>
        <v>-192.21666666666664</v>
      </c>
      <c r="O65" s="222"/>
      <c r="P65" s="177"/>
      <c r="Q65" s="179">
        <f t="array" ref="Q65">+INDEX('Réel 2025'!$A$2:$AO$500,MATCH($A65,'Réel 2025'!$A$2:$A$500,0),MATCH(Q$2,'Réel 2025'!$A$2:$AO$2,0))</f>
        <v>96.66</v>
      </c>
      <c r="R65" s="222"/>
      <c r="S65" s="196">
        <f t="shared" si="16"/>
        <v>-62.209999999999994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521.54</v>
      </c>
      <c r="M66" s="222"/>
      <c r="N66" s="224">
        <f t="shared" si="15"/>
        <v>-107.54333333333329</v>
      </c>
      <c r="O66" s="222"/>
      <c r="P66" s="177"/>
      <c r="Q66" s="179">
        <f t="array" ref="Q66">+INDEX('Réel 2025'!$A$2:$AO$500,MATCH($A66,'Réel 2025'!$A$2:$A$500,0),MATCH(Q$2,'Réel 2025'!$A$2:$AO$2,0))</f>
        <v>866.7</v>
      </c>
      <c r="R66" s="222"/>
      <c r="S66" s="196">
        <f t="shared" si="16"/>
        <v>-345.16000000000008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213.85</v>
      </c>
      <c r="M67" s="222"/>
      <c r="N67" s="224">
        <f t="shared" si="15"/>
        <v>-107.7446666666668</v>
      </c>
      <c r="O67" s="222"/>
      <c r="P67" s="177"/>
      <c r="Q67" s="179">
        <f t="array" ref="Q67">+INDEX('Réel 2025'!$A$2:$AO$500,MATCH($A67,'Réel 2025'!$A$2:$A$500,0),MATCH(Q$2,'Réel 2025'!$A$2:$AO$2,0))</f>
        <v>1094.6400000000001</v>
      </c>
      <c r="R67" s="222"/>
      <c r="S67" s="196">
        <f>L67-Q67</f>
        <v>-880.79000000000008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3219.8758124157907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3212.48</v>
      </c>
      <c r="M68" s="222"/>
      <c r="N68" s="224">
        <f t="shared" si="15"/>
        <v>-7.395812415790715</v>
      </c>
      <c r="O68" s="222"/>
      <c r="P68" s="177"/>
      <c r="Q68" s="179">
        <f t="array" ref="Q68">+INDEX('Réel 2025'!$A$2:$AO$500,MATCH($A68,'Réel 2025'!$A$2:$A$500,0),MATCH(Q$2,'Réel 2025'!$A$2:$AO$2,0))</f>
        <v>3010.11</v>
      </c>
      <c r="R68" s="222"/>
      <c r="S68" s="196">
        <f>L68-Q68</f>
        <v>202.36999999999989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0.18194873549622576</v>
      </c>
      <c r="F72" s="41">
        <f>+SUM(F55:F71)</f>
        <v>20474.032979082458</v>
      </c>
      <c r="G72" s="42"/>
      <c r="H72" s="40"/>
      <c r="I72" s="41"/>
      <c r="J72" s="42" t="s">
        <v>108</v>
      </c>
      <c r="K72" s="40">
        <f>L72/L$27</f>
        <v>0.18294879961071744</v>
      </c>
      <c r="L72" s="41">
        <f>+SUM(L55:L71)</f>
        <v>21889.049999999996</v>
      </c>
      <c r="M72" s="44"/>
      <c r="N72" s="41">
        <f>+SUM(N55:N71)</f>
        <v>1415.0170209175412</v>
      </c>
      <c r="O72" s="42" t="s">
        <v>108</v>
      </c>
      <c r="P72" s="40">
        <f>Q72/Q$27</f>
        <v>0.18848041861696038</v>
      </c>
      <c r="Q72" s="41">
        <f>+SUM(Q55:Q71)</f>
        <v>24058.240000000002</v>
      </c>
      <c r="R72" s="44"/>
      <c r="S72" s="284">
        <f>+SUM(S55:S71)</f>
        <v>-2169.190000000001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1.1079766666226178</v>
      </c>
      <c r="F74" s="41">
        <f>F41+F54+F72</f>
        <v>124676.60602651392</v>
      </c>
      <c r="G74" s="42"/>
      <c r="H74" s="40"/>
      <c r="I74" s="41"/>
      <c r="J74" s="42" t="s">
        <v>108</v>
      </c>
      <c r="K74" s="40">
        <f>L74/L$27</f>
        <v>1.0252936647906563</v>
      </c>
      <c r="L74" s="41">
        <f>L41+L54+L72</f>
        <v>122672.04999999999</v>
      </c>
      <c r="M74" s="44"/>
      <c r="N74" s="46">
        <f t="shared" ref="N74:N82" si="17">L74-F74</f>
        <v>-2004.5560265139356</v>
      </c>
      <c r="O74" s="42" t="s">
        <v>108</v>
      </c>
      <c r="P74" s="40">
        <f>Q74/Q$27</f>
        <v>1.163625820039897</v>
      </c>
      <c r="Q74" s="41">
        <f>Q41+Q54+Q72</f>
        <v>148528.90000000002</v>
      </c>
      <c r="R74" s="44"/>
      <c r="S74" s="280">
        <f>L74-Q74</f>
        <v>-25856.850000000035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30329.687142857147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35427.29</v>
      </c>
      <c r="M75" s="222"/>
      <c r="N75" s="224">
        <f t="shared" si="17"/>
        <v>5097.6028571428542</v>
      </c>
      <c r="O75" s="222"/>
      <c r="P75" s="177"/>
      <c r="Q75" s="472">
        <f>+INDEX('Réel 2025'!$A$2:$AO$500,MATCH($A75,'Réel 2025'!$A$2:$A$500,0),MATCH(Q$2,'Réel 2025'!$A$2:$AO$2,0))</f>
        <v>21262.21</v>
      </c>
      <c r="R75" s="222"/>
      <c r="S75" s="196">
        <f>L75-Q75</f>
        <v>14165.080000000002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36763.257142857146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44158</v>
      </c>
      <c r="M78" s="222"/>
      <c r="N78" s="224">
        <f t="shared" si="17"/>
        <v>7394.7428571428536</v>
      </c>
      <c r="O78" s="222"/>
      <c r="P78" s="177"/>
      <c r="Q78" s="472">
        <f t="array" ref="Q78">+INDEX('Réel 2025'!$A$2:$AO$500,MATCH($A78,'Réel 2025'!$A$2:$A$500,0),MATCH(Q$2,'Réel 2025'!$A$2:$AO$2,0))</f>
        <v>29948.799999999999</v>
      </c>
      <c r="R78" s="222"/>
      <c r="S78" s="196">
        <f t="shared" si="18"/>
        <v>14209.2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12245.1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14280</v>
      </c>
      <c r="M82" s="222"/>
      <c r="N82" s="224">
        <f t="shared" si="17"/>
        <v>2034.8999999999996</v>
      </c>
      <c r="O82" s="222"/>
      <c r="P82" s="177"/>
      <c r="Q82" s="472">
        <f t="array" ref="Q82">+INDEX('Réel 2025'!$A$2:$AO$500,MATCH($A82,'Réel 2025'!$A$2:$A$500,0),MATCH(Q$2,'Réel 2025'!$A$2:$AO$2,0))</f>
        <v>11305</v>
      </c>
      <c r="R82" s="222"/>
      <c r="S82" s="196">
        <f t="shared" si="18"/>
        <v>2975</v>
      </c>
      <c r="T82" s="25"/>
      <c r="U82" s="25"/>
      <c r="V82" s="1039">
        <f>L82/595</f>
        <v>24</v>
      </c>
      <c r="W82" s="918">
        <f>V82/J27</f>
        <v>0.92307692307692313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79338.044285714306</v>
      </c>
      <c r="G83" s="42"/>
      <c r="H83" s="40"/>
      <c r="I83" s="41"/>
      <c r="J83" s="42"/>
      <c r="K83" s="40"/>
      <c r="L83" s="41">
        <f>+SUM(L75:L82)</f>
        <v>93865.290000000008</v>
      </c>
      <c r="M83" s="44"/>
      <c r="N83" s="41">
        <f>+SUM(N75:N82)</f>
        <v>14527.245714285707</v>
      </c>
      <c r="O83" s="42"/>
      <c r="P83" s="40"/>
      <c r="Q83" s="41">
        <f>+SUM(Q75:Q82)</f>
        <v>62516.009999999995</v>
      </c>
      <c r="R83" s="44"/>
      <c r="S83" s="284">
        <f>+SUM(S75:S82)</f>
        <v>31349.280000000002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67187.820612141557</v>
      </c>
      <c r="G85" s="378"/>
      <c r="H85" s="308"/>
      <c r="I85" s="305"/>
      <c r="J85" s="378"/>
      <c r="K85" s="304"/>
      <c r="L85" s="305">
        <f>L27-L74+L83</f>
        <v>90839.010000000053</v>
      </c>
      <c r="M85" s="378"/>
      <c r="N85" s="305">
        <f>N27-N41-N54-N72+N83</f>
        <v>23651.189387858474</v>
      </c>
      <c r="O85" s="378"/>
      <c r="P85" s="304"/>
      <c r="Q85" s="305">
        <f>Q27-Q74+Q83</f>
        <v>41630.289999999848</v>
      </c>
      <c r="R85" s="378"/>
      <c r="S85" s="309">
        <f>S27-S41-S54-S72+S83</f>
        <v>49208.720000000161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8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6"/>
      <c r="H91" s="1434"/>
      <c r="I91" s="1435"/>
      <c r="J91" s="1436" t="s">
        <v>78</v>
      </c>
      <c r="K91" s="1434"/>
      <c r="L91" s="1435"/>
      <c r="M91" s="1436" t="s">
        <v>2441</v>
      </c>
      <c r="N91" s="1435"/>
      <c r="O91" s="1433" t="s">
        <v>79</v>
      </c>
      <c r="P91" s="1434"/>
      <c r="Q91" s="1435"/>
      <c r="R91" s="1437" t="s">
        <v>2445</v>
      </c>
      <c r="S91" s="1438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1945706.0767454284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2085276.12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1404731.62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14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33600</v>
      </c>
      <c r="G94" s="181"/>
      <c r="H94" s="178"/>
      <c r="I94" s="178"/>
      <c r="J94" s="181">
        <f>-SUMIFS(BV_Data_An_Cour!$O:$O,BV_Data_An_Cour!$U:$U,$B94,BV_Data_An_Cour!$V:$V,$C94,BV_Data_An_Cour!$W:$W,J$2)</f>
        <v>14</v>
      </c>
      <c r="K94" s="178">
        <f>IF(J94=0,0,L94/J94)</f>
        <v>1980.7307142857098</v>
      </c>
      <c r="L94" s="179">
        <f>-SUMIFS(BV_Data_An_Cour!$O:$O,BV_Data_An_Cour!$U:$U,$B94,BV_Data_An_Cour!$V:$V,$C94,BV_Data_An_Cour!$W:$W,$L2)</f>
        <v>27730.229999999938</v>
      </c>
      <c r="M94" s="181">
        <f>J94-D94</f>
        <v>0</v>
      </c>
      <c r="N94" s="179">
        <f>L94-F94</f>
        <v>-5869.7700000000623</v>
      </c>
      <c r="O94" s="181">
        <f t="array" ref="O94">+INDEX('Réel 2025'!$A$2:$AO$500,MATCH($A94,'Réel 2025'!$A$2:$A$500,0),MATCH(O$2,'Réel 2025'!$A$2:$AO$2,0))</f>
        <v>10</v>
      </c>
      <c r="P94" s="178">
        <f t="shared" ref="P94:P96" si="20">IF(O94=0,0,Q94/O94)</f>
        <v>1754.4559999999899</v>
      </c>
      <c r="Q94" s="179">
        <f t="array" ref="Q94">+INDEX('Réel 2025'!$A$2:$AO$500,MATCH($A94,'Réel 2025'!$A$2:$A$500,0),MATCH(Q$2,'Réel 2025'!$A$2:$AO$2,0))</f>
        <v>17544.559999999899</v>
      </c>
      <c r="R94" s="181">
        <f>J94-O94</f>
        <v>4</v>
      </c>
      <c r="S94" s="344">
        <f>L94-Q94</f>
        <v>10185.670000000038</v>
      </c>
      <c r="T94" s="25"/>
      <c r="U94" s="25"/>
      <c r="W94" s="24" t="s">
        <v>3118</v>
      </c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4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5600</v>
      </c>
      <c r="G95" s="181"/>
      <c r="H95" s="178"/>
      <c r="I95" s="178"/>
      <c r="J95" s="181">
        <f>-SUMIFS(BV_Data_An_Cour!$O:$O,BV_Data_An_Cour!$U:$U,$B95,BV_Data_An_Cour!$V:$V,$C95,BV_Data_An_Cour!$W:$W,J$2)</f>
        <v>10</v>
      </c>
      <c r="K95" s="178">
        <f>IF(J95=0,0,L95/J95)</f>
        <v>2340.7010000000018</v>
      </c>
      <c r="L95" s="472">
        <f>-SUMIFS(BV_Data_An_Cour!$O:$O,BV_Data_An_Cour!$U:$U,$B95,BV_Data_An_Cour!$V:$V,$C95,BV_Data_An_Cour!$W:$W,$L2)</f>
        <v>23407.01000000002</v>
      </c>
      <c r="M95" s="181">
        <f>J95-D95</f>
        <v>6</v>
      </c>
      <c r="N95" s="179">
        <f>L95-F95</f>
        <v>17807.01000000002</v>
      </c>
      <c r="O95" s="181">
        <f t="array" ref="O95">+INDEX('Réel 2025'!$A$2:$AO$500,MATCH($A95,'Réel 2025'!$A$2:$A$500,0),MATCH(O$2,'Réel 2025'!$A$2:$AO$2,0))</f>
        <v>1</v>
      </c>
      <c r="P95" s="178">
        <f t="shared" si="20"/>
        <v>1766.85</v>
      </c>
      <c r="Q95" s="472">
        <f t="array" ref="Q95">+INDEX('Réel 2025'!$A$2:$AO$500,MATCH($A95,'Réel 2025'!$A$2:$A$500,0),MATCH(Q$2,'Réel 2025'!$A$2:$AO$2,0))</f>
        <v>1766.85</v>
      </c>
      <c r="R95" s="181">
        <f>J95-O95</f>
        <v>9</v>
      </c>
      <c r="S95" s="344">
        <f>L95-Q95</f>
        <v>21640.160000000022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6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9000</v>
      </c>
      <c r="G96" s="181"/>
      <c r="H96" s="178"/>
      <c r="I96" s="178"/>
      <c r="J96" s="181">
        <f>-SUMIFS(BV_Data_An_Cour!$O:$O,BV_Data_An_Cour!$U:$U,$B96,BV_Data_An_Cour!$V:$V,$C96,BV_Data_An_Cour!$W:$W,J$2)</f>
        <v>4</v>
      </c>
      <c r="K96" s="178">
        <f>IF(J96=0,0,L96/J96)</f>
        <v>2803.3150000000001</v>
      </c>
      <c r="L96" s="472">
        <f>-SUMIFS(BV_Data_An_Cour!$O:$O,BV_Data_An_Cour!$U:$U,$B96,BV_Data_An_Cour!$V:$V,$C96,BV_Data_An_Cour!$W:$W,$L2)</f>
        <v>11213.26</v>
      </c>
      <c r="M96" s="181">
        <f>J96-D96</f>
        <v>-2</v>
      </c>
      <c r="N96" s="179">
        <f>L96-F96</f>
        <v>2213.2600000000002</v>
      </c>
      <c r="O96" s="181">
        <f>+INDEX('Réel 2025'!$A$2:$AO$500,MATCH($A96,'Réel 2025'!$A$2:$A$500,0),MATCH(O$2,'Réel 2025'!$A$2:$AO$2,0))</f>
        <v>4</v>
      </c>
      <c r="P96" s="178">
        <f t="shared" si="20"/>
        <v>663.05499999999995</v>
      </c>
      <c r="Q96" s="472">
        <f>+INDEX('Réel 2025'!$A$2:$AO$500,MATCH($A96,'Réel 2025'!$A$2:$A$500,0),MATCH(Q$2,'Réel 2025'!$A$2:$AO$2,0))</f>
        <v>2652.22</v>
      </c>
      <c r="R96" s="181">
        <f>J96-O96</f>
        <v>0</v>
      </c>
      <c r="S96" s="344">
        <f>L96-Q96</f>
        <v>8561.0400000000009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24</v>
      </c>
      <c r="E97" s="178">
        <f t="shared" si="21"/>
        <v>2008.3333333333333</v>
      </c>
      <c r="F97" s="346">
        <f>+F94+F95+F96</f>
        <v>48200</v>
      </c>
      <c r="G97" s="347"/>
      <c r="H97" s="345"/>
      <c r="I97" s="346"/>
      <c r="J97" s="347">
        <f>+J94+J95+J96</f>
        <v>28</v>
      </c>
      <c r="K97" s="345">
        <f>IF(J97&lt;=0,0,L97/J97)</f>
        <v>2226.8035714285702</v>
      </c>
      <c r="L97" s="346">
        <f>+L94+L95+L96</f>
        <v>62350.499999999964</v>
      </c>
      <c r="M97" s="347">
        <f>J97-D97</f>
        <v>4</v>
      </c>
      <c r="N97" s="346">
        <f>L97-F97</f>
        <v>14150.499999999964</v>
      </c>
      <c r="O97" s="347">
        <f>+O95+O94+O96</f>
        <v>15</v>
      </c>
      <c r="P97" s="345">
        <f>IF(O97=0,0,Q97/O97)</f>
        <v>1464.2419999999934</v>
      </c>
      <c r="Q97" s="346">
        <f>+Q94+Q95+Q96</f>
        <v>21963.629999999899</v>
      </c>
      <c r="R97" s="347">
        <f>J97-O97</f>
        <v>13</v>
      </c>
      <c r="S97" s="348">
        <f>L97-Q97</f>
        <v>40386.870000000068</v>
      </c>
      <c r="T97" s="25"/>
      <c r="U97" s="25"/>
      <c r="W97" s="739">
        <v>28</v>
      </c>
      <c r="X97" s="25">
        <v>62351</v>
      </c>
      <c r="Y97" s="1429">
        <f>L97-X97</f>
        <v>-0.50000000003637979</v>
      </c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0.16666666666666666</v>
      </c>
      <c r="N98" s="233">
        <f>N97/F97</f>
        <v>0.2935788381742731</v>
      </c>
      <c r="O98" s="222"/>
      <c r="P98" s="177"/>
      <c r="Q98" s="264"/>
      <c r="R98" s="234">
        <f>R97/O97</f>
        <v>0.8666666666666667</v>
      </c>
      <c r="S98" s="261">
        <f>IF(Q97=0,0,(S97/Q97))</f>
        <v>1.8388066999853965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2102.295817364572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999</v>
      </c>
      <c r="M99" s="181"/>
      <c r="N99" s="179">
        <f>L99-F99</f>
        <v>-1103.295817364572</v>
      </c>
      <c r="O99" s="181"/>
      <c r="P99" s="178"/>
      <c r="Q99" s="179">
        <f t="array" ref="Q99">+INDEX('Réel 2025'!$A$2:$AO$500,MATCH($A99,'Réel 2025'!$A$2:$A$500,0),MATCH(Q$2,'Réel 2025'!$A$2:$AO$2,0))</f>
        <v>2498</v>
      </c>
      <c r="R99" s="181">
        <f>O99-K99</f>
        <v>0</v>
      </c>
      <c r="S99" s="344">
        <f>L99-Q99</f>
        <v>-1499</v>
      </c>
      <c r="T99" s="25"/>
      <c r="U99" s="25"/>
      <c r="W99" s="24"/>
      <c r="X99" s="24">
        <v>999</v>
      </c>
      <c r="Y99" s="1429">
        <f>L99-X99</f>
        <v>0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22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11000</v>
      </c>
      <c r="G101" s="181"/>
      <c r="H101" s="178"/>
      <c r="I101" s="178"/>
      <c r="J101" s="181">
        <f>-SUMIFS(BV_Data_An_Cour!$O:$O,BV_Data_An_Cour!$U:$U,$B101,BV_Data_An_Cour!$V:$V,$C101,BV_Data_An_Cour!$W:$W,J$2)</f>
        <v>24</v>
      </c>
      <c r="K101" s="178">
        <f>IF(J101=0,0,L101/J101)</f>
        <v>167.28291666666578</v>
      </c>
      <c r="L101" s="179">
        <f>-SUMIFS(BV_Data_An_Cour!$O:$O,BV_Data_An_Cour!$U:$U,$B101,BV_Data_An_Cour!$V:$V,$C101,BV_Data_An_Cour!$W:$W,L$2)</f>
        <v>4014.789999999979</v>
      </c>
      <c r="M101" s="181">
        <f>J101-D101</f>
        <v>2</v>
      </c>
      <c r="N101" s="179">
        <f>L101-F101</f>
        <v>-6985.210000000021</v>
      </c>
      <c r="O101" s="181">
        <f t="array" ref="O101">+INDEX('Réel 2025'!$A$2:$AO$500,MATCH($A101,'Réel 2025'!$A$2:$A$500,0),MATCH(O$2,'Réel 2025'!$A$2:$AO$2,0))</f>
        <v>23</v>
      </c>
      <c r="P101" s="178">
        <f>IF(O101=0,0,Q101/O101)</f>
        <v>264.54652173913041</v>
      </c>
      <c r="Q101" s="179">
        <f t="array" ref="Q101">+INDEX('Réel 2025'!$A$2:$AO$500,MATCH($A101,'Réel 2025'!$A$2:$A$500,0),MATCH(Q$2,'Réel 2025'!$A$2:$AO$2,0))</f>
        <v>6084.57</v>
      </c>
      <c r="R101" s="181">
        <f>J101-O101</f>
        <v>1</v>
      </c>
      <c r="S101" s="344">
        <f>L101-Q101</f>
        <v>-2069.7800000000207</v>
      </c>
      <c r="T101" s="25"/>
      <c r="U101" s="25"/>
      <c r="W101" s="739">
        <v>24</v>
      </c>
      <c r="X101" s="25">
        <v>4015</v>
      </c>
      <c r="Y101" s="1429">
        <f>L101-X101</f>
        <v>-0.21000000002095476</v>
      </c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8400</v>
      </c>
      <c r="G103" s="181"/>
      <c r="H103" s="178"/>
      <c r="I103" s="178"/>
      <c r="J103" s="181"/>
      <c r="K103" s="178">
        <f>IF(J97=0,0,L103/J97)</f>
        <v>330.96857142857141</v>
      </c>
      <c r="L103" s="179">
        <f>-SUMIFS(BV_Data_An_Cour!$O:$O,BV_Data_An_Cour!$U:$U,$B103,BV_Data_An_Cour!$V:$V,$C103,BV_Data_An_Cour!$W:$W,$L2)</f>
        <v>9267.119999999999</v>
      </c>
      <c r="M103" s="181"/>
      <c r="N103" s="179">
        <f>L103-F103</f>
        <v>867.11999999999898</v>
      </c>
      <c r="O103" s="181"/>
      <c r="P103" s="178">
        <f>IF(O97=0,0,Q103/O97)</f>
        <v>-51.541333333333263</v>
      </c>
      <c r="Q103" s="179">
        <f t="array" ref="Q103">+INDEX('Réel 2025'!$A$2:$AO$500,MATCH($A103,'Réel 2025'!$A$2:$A$500,0),MATCH(Q$2,'Réel 2025'!$A$2:$AO$2,0))</f>
        <v>-773.11999999999898</v>
      </c>
      <c r="R103" s="181">
        <f>O103-K103</f>
        <v>-330.96857142857141</v>
      </c>
      <c r="S103" s="344">
        <f>L103-Q103</f>
        <v>10040.239999999998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22800</v>
      </c>
      <c r="G104" s="181"/>
      <c r="H104" s="178"/>
      <c r="I104" s="178"/>
      <c r="J104" s="181"/>
      <c r="K104" s="178">
        <f>IF(J97=0,0,L104/J97)</f>
        <v>389.14285714285717</v>
      </c>
      <c r="L104" s="179">
        <f>-SUMIFS(BV_Data_An_Cour!$O:$O,BV_Data_An_Cour!$U:$U,$B104,BV_Data_An_Cour!$V:$V,$C104,BV_Data_An_Cour!$W:$W,$L2)</f>
        <v>10896</v>
      </c>
      <c r="M104" s="181"/>
      <c r="N104" s="179">
        <f>L104-F104</f>
        <v>-11904</v>
      </c>
      <c r="O104" s="181"/>
      <c r="P104" s="178">
        <f>IF(O97=0,0,Q104/O97)</f>
        <v>1057.0806666666665</v>
      </c>
      <c r="Q104" s="179">
        <f t="array" ref="Q104">+INDEX('Réel 2025'!$A$2:$AO$500,MATCH($A104,'Réel 2025'!$A$2:$A$500,0),MATCH(Q$2,'Réel 2025'!$A$2:$AO$2,0))</f>
        <v>15856.21</v>
      </c>
      <c r="R104" s="181">
        <f>O104-K104</f>
        <v>-389.14285714285717</v>
      </c>
      <c r="S104" s="344">
        <f>L104-Q104</f>
        <v>-4960.2099999999991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4800</v>
      </c>
      <c r="G105" s="181"/>
      <c r="H105" s="351"/>
      <c r="I105" s="178"/>
      <c r="J105" s="181"/>
      <c r="K105" s="351">
        <f>IF(J97=0,0,L105/J97)</f>
        <v>0</v>
      </c>
      <c r="L105" s="179">
        <f>-SUMIFS(BV_Data_An_Cour!$O:$O,BV_Data_An_Cour!$U:$U,$B105,BV_Data_An_Cour!$V:$V,$C105,BV_Data_An_Cour!$W:$W,$L$2)</f>
        <v>0</v>
      </c>
      <c r="M105" s="350"/>
      <c r="N105" s="179">
        <f>L105-F105</f>
        <v>-4800</v>
      </c>
      <c r="O105" s="181"/>
      <c r="P105" s="351">
        <f>IF(O97=0,0,Q105/O97)</f>
        <v>768.64599999999336</v>
      </c>
      <c r="Q105" s="179">
        <f t="array" ref="Q105">+INDEX('Réel 2025'!$A$2:$AO$500,MATCH($A105,'Réel 2025'!$A$2:$A$500,0),MATCH(Q$2,'Réel 2025'!$A$2:$AO$2,0))</f>
        <v>11529.6899999999</v>
      </c>
      <c r="R105" s="181">
        <f>O105-K105</f>
        <v>0</v>
      </c>
      <c r="S105" s="344">
        <f>L105-Q105</f>
        <v>-11529.6899999999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24</v>
      </c>
      <c r="E106" s="178">
        <f t="shared" si="21"/>
        <v>1500</v>
      </c>
      <c r="F106" s="346">
        <f>F103+F104+F105</f>
        <v>36000</v>
      </c>
      <c r="G106" s="347"/>
      <c r="H106" s="345"/>
      <c r="I106" s="346"/>
      <c r="J106" s="347">
        <f>J97</f>
        <v>28</v>
      </c>
      <c r="K106" s="345">
        <f>IF(J106&lt;=0,0,L106/J106)</f>
        <v>720.11142857142852</v>
      </c>
      <c r="L106" s="346">
        <f>L103+L104+L105</f>
        <v>20163.12</v>
      </c>
      <c r="M106" s="181">
        <f>J106-D106</f>
        <v>4</v>
      </c>
      <c r="N106" s="346">
        <f>L106-F106</f>
        <v>-15836.880000000001</v>
      </c>
      <c r="O106" s="347">
        <f>O97</f>
        <v>15</v>
      </c>
      <c r="P106" s="345">
        <f t="shared" ref="P106" si="23">IF(O106=0,0,Q106/O106)</f>
        <v>1774.1853333333268</v>
      </c>
      <c r="Q106" s="346">
        <f>Q103+Q104+Q105</f>
        <v>26612.779999999901</v>
      </c>
      <c r="R106" s="355"/>
      <c r="S106" s="348">
        <f>L106-Q106</f>
        <v>-6449.6599999999016</v>
      </c>
      <c r="T106" s="25"/>
      <c r="U106" s="25"/>
      <c r="W106" s="25"/>
      <c r="X106" s="25">
        <v>20163</v>
      </c>
      <c r="Y106" s="1429">
        <f>L106-X106</f>
        <v>0.11999999999898137</v>
      </c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-0.43991333333333338</v>
      </c>
      <c r="O107" s="222"/>
      <c r="P107" s="177"/>
      <c r="Q107" s="224"/>
      <c r="R107" s="223"/>
      <c r="S107" s="261">
        <f>IF(Q106=0,0,(S106/Q106))</f>
        <v>-0.24235198276917802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46</v>
      </c>
      <c r="E109" s="30">
        <f>IF(D109&lt;=0,0,F109/D109)</f>
        <v>2115.2673003774908</v>
      </c>
      <c r="F109" s="28">
        <f>F97+F106+F101+F99</f>
        <v>97302.295817364575</v>
      </c>
      <c r="G109" s="29"/>
      <c r="H109" s="30"/>
      <c r="I109" s="28"/>
      <c r="J109" s="29">
        <f>J97+J101</f>
        <v>52</v>
      </c>
      <c r="K109" s="30">
        <f>IF(J109&lt;=0,0,L109/J109)</f>
        <v>1683.2194230769221</v>
      </c>
      <c r="L109" s="28">
        <f>L97+L106+L101+L99</f>
        <v>87527.409999999945</v>
      </c>
      <c r="M109" s="29">
        <f>J109-D109</f>
        <v>6</v>
      </c>
      <c r="N109" s="28">
        <f>L109-F109</f>
        <v>-9774.8858173646295</v>
      </c>
      <c r="O109" s="29">
        <f>O97+O101</f>
        <v>38</v>
      </c>
      <c r="P109" s="30">
        <f>IF(O109&lt;=0,0,Q109/O109)</f>
        <v>1504.1836842105211</v>
      </c>
      <c r="Q109" s="28">
        <f>Q97+Q106+Q101+Q99</f>
        <v>57158.979999999799</v>
      </c>
      <c r="R109" s="29">
        <f>J109-O109</f>
        <v>14</v>
      </c>
      <c r="S109" s="320">
        <f>L109-Q109</f>
        <v>30368.430000000146</v>
      </c>
      <c r="T109" s="25"/>
      <c r="U109" s="25"/>
      <c r="W109" s="945">
        <f>SUM(W95:W108)</f>
        <v>52</v>
      </c>
      <c r="X109" s="945">
        <f>SUM(X95:X108)</f>
        <v>87528</v>
      </c>
      <c r="Y109" s="1429">
        <f>L109-X109</f>
        <v>-0.5900000000547152</v>
      </c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0.13043478260869565</v>
      </c>
      <c r="N110" s="34">
        <f>N109/F109</f>
        <v>-0.10045894328857349</v>
      </c>
      <c r="O110" s="31"/>
      <c r="P110" s="322"/>
      <c r="Q110" s="32"/>
      <c r="R110" s="33">
        <f>O109/R109</f>
        <v>2.7142857142857144</v>
      </c>
      <c r="S110" s="356">
        <f>IF(Q109=0,0,(S109/Q109))</f>
        <v>0.53129761937669728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0.19606132097828735</v>
      </c>
      <c r="E113" s="194">
        <f t="shared" ref="E113:E122" si="24">F113/D$97</f>
        <v>687.84846776549148</v>
      </c>
      <c r="F113" s="178">
        <f>+INDEX('Budget original'!$A$2:$AO$501,MATCH($A113,'Budget original'!$A$2:$A$501,0),MATCH(F$2,'Budget original'!$A$2:$AO$2,0))</f>
        <v>16508.363226371795</v>
      </c>
      <c r="G113" s="292"/>
      <c r="H113" s="194"/>
      <c r="I113" s="178"/>
      <c r="J113" s="292">
        <f>L113/L97</f>
        <v>0.40176887113976656</v>
      </c>
      <c r="K113" s="194">
        <f>IF($J$97=0,0,L113/(J$94+J$95+J96))</f>
        <v>894.66035714285715</v>
      </c>
      <c r="L113" s="179">
        <f>SUMIFS(BV_Data_An_Cour!$O:$O,BV_Data_An_Cour!$U:$U,$B113,BV_Data_An_Cour!$V:$V,$C113,BV_Data_An_Cour!$W:$W,$L$2)</f>
        <v>25050.49</v>
      </c>
      <c r="M113" s="222"/>
      <c r="N113" s="224">
        <f t="shared" ref="N113:N154" si="25">L113-F113</f>
        <v>8542.1267736282061</v>
      </c>
      <c r="O113" s="292">
        <f>Q113/Q97</f>
        <v>0.29214524192950025</v>
      </c>
      <c r="P113" s="194">
        <f t="shared" ref="P113:P122" si="26">Q113/O$97</f>
        <v>427.7713333333333</v>
      </c>
      <c r="Q113" s="179">
        <f t="array" ref="Q113">+INDEX('Réel 2025'!$A$2:$AO$500,MATCH($A113,'Réel 2025'!$A$2:$A$500,0),MATCH(Q$2,'Réel 2025'!$A$2:$AO$2,0))</f>
        <v>6416.57</v>
      </c>
      <c r="R113" s="222"/>
      <c r="S113" s="196">
        <f t="shared" ref="S113:S123" si="27">L113-Q113</f>
        <v>18633.920000000002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0.25510273833867642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9720</v>
      </c>
      <c r="G114" s="319"/>
      <c r="H114" s="357"/>
      <c r="I114" s="176"/>
      <c r="J114" s="319">
        <f>L114/L106</f>
        <v>0.16193376818666955</v>
      </c>
      <c r="K114" s="357">
        <f>IF($J$97=0,0,L114/(J$94+J$95+J96))</f>
        <v>116.61035714285715</v>
      </c>
      <c r="L114" s="179">
        <f>SUMIFS(BV_Data_An_Cour!$O:$O,BV_Data_An_Cour!$U:$U,$B114,BV_Data_An_Cour!$V:$V,$C114,BV_Data_An_Cour!$W:$W,$L$2)</f>
        <v>3265.09</v>
      </c>
      <c r="M114" s="277"/>
      <c r="N114" s="278">
        <f t="shared" si="25"/>
        <v>-6454.91</v>
      </c>
      <c r="O114" s="319">
        <f>Q114/(Q106+Q99)</f>
        <v>0.26703990755314788</v>
      </c>
      <c r="P114" s="357">
        <f t="shared" si="26"/>
        <v>518.24933333333331</v>
      </c>
      <c r="Q114" s="179">
        <f t="array" ref="Q114">+INDEX('Réel 2025'!$A$2:$AO$500,MATCH($A114,'Réel 2025'!$A$2:$A$500,0),MATCH(Q$2,'Réel 2025'!$A$2:$AO$2,0))</f>
        <v>7773.74</v>
      </c>
      <c r="R114" s="277"/>
      <c r="S114" s="199">
        <f t="shared" si="27"/>
        <v>-4508.6499999999996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2040</v>
      </c>
      <c r="G115" s="268"/>
      <c r="H115" s="194"/>
      <c r="I115" s="178"/>
      <c r="J115" s="222"/>
      <c r="K115" s="194">
        <f>IF($J$97=0,0,L115/(J$94+J$95+J96))</f>
        <v>45.272500000000001</v>
      </c>
      <c r="L115" s="180">
        <f>SUMIFS(BV_Data_An_Cour!$O:$O,BV_Data_An_Cour!$U:$U,$B115,BV_Data_An_Cour!$V:$V,$C115,BV_Data_An_Cour!$W:$W,$L$2)</f>
        <v>1267.6300000000001</v>
      </c>
      <c r="M115" s="222"/>
      <c r="N115" s="224">
        <f t="shared" si="25"/>
        <v>-772.36999999999989</v>
      </c>
      <c r="O115" s="222"/>
      <c r="P115" s="194">
        <f t="shared" si="26"/>
        <v>119.45733333333332</v>
      </c>
      <c r="Q115" s="180">
        <f t="array" ref="Q115">+INDEX('Réel 2025'!$A$2:$AO$500,MATCH($A115,'Réel 2025'!$A$2:$A$500,0),MATCH(Q$2,'Réel 2025'!$A$2:$AO$2,0))</f>
        <v>1791.86</v>
      </c>
      <c r="R115" s="222"/>
      <c r="S115" s="196">
        <f t="shared" si="27"/>
        <v>-524.22999999999979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1920</v>
      </c>
      <c r="G116" s="268"/>
      <c r="H116" s="194"/>
      <c r="I116" s="178"/>
      <c r="J116" s="222"/>
      <c r="K116" s="194">
        <f>IF($J$97=0,0,L116/(J$94+J$95+J96))</f>
        <v>160.53749999999999</v>
      </c>
      <c r="L116" s="179">
        <f>SUMIFS(BV_Data_An_Cour!$O:$O,BV_Data_An_Cour!$U:$U,$B116,BV_Data_An_Cour!$V:$V,$C116,BV_Data_An_Cour!$W:$W,$L$2)</f>
        <v>4495.05</v>
      </c>
      <c r="M116" s="222"/>
      <c r="N116" s="224">
        <f t="shared" si="25"/>
        <v>2575.0500000000002</v>
      </c>
      <c r="O116" s="222"/>
      <c r="P116" s="194">
        <f t="shared" si="26"/>
        <v>85.835999999999999</v>
      </c>
      <c r="Q116" s="179">
        <f t="array" ref="Q116">+INDEX('Réel 2025'!$A$2:$AO$500,MATCH($A116,'Réel 2025'!$A$2:$A$500,0),MATCH(Q$2,'Réel 2025'!$A$2:$AO$2,0))</f>
        <v>1287.54</v>
      </c>
      <c r="R116" s="222"/>
      <c r="S116" s="196">
        <f t="shared" si="27"/>
        <v>3207.51</v>
      </c>
      <c r="T116" s="25"/>
      <c r="U116" s="25"/>
      <c r="V116" s="1039" t="s">
        <v>3124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47.291666666666664</v>
      </c>
      <c r="F117" s="176">
        <f>+INDEX('Budget original'!$A$2:$AO$501,MATCH($A117,'Budget original'!$A$2:$A$501,0),MATCH(F$2,'Budget original'!$A$2:$AO$2,0))</f>
        <v>1135</v>
      </c>
      <c r="G117" s="276"/>
      <c r="H117" s="357"/>
      <c r="I117" s="176"/>
      <c r="J117" s="277"/>
      <c r="K117" s="357">
        <f>IF($J$97=0,0,L117/(J$94+J$95+J96))</f>
        <v>46.068928571428572</v>
      </c>
      <c r="L117" s="349">
        <f>SUMIFS(BV_Data_An_Cour!$O:$O,BV_Data_An_Cour!$U:$U,$B117,BV_Data_An_Cour!$V:$V,$C117,BV_Data_An_Cour!$W:$W,$L$2)</f>
        <v>1289.93</v>
      </c>
      <c r="M117" s="277"/>
      <c r="N117" s="278">
        <f t="shared" si="25"/>
        <v>154.93000000000006</v>
      </c>
      <c r="O117" s="277"/>
      <c r="P117" s="357">
        <f t="shared" si="26"/>
        <v>337.69533333333334</v>
      </c>
      <c r="Q117" s="349">
        <f t="array" ref="Q117">+INDEX('Réel 2025'!$A$2:$AO$500,MATCH($A117,'Réel 2025'!$A$2:$A$500,0),MATCH(Q$2,'Réel 2025'!$A$2:$AO$2,0))</f>
        <v>5065.43</v>
      </c>
      <c r="R117" s="277"/>
      <c r="S117" s="199">
        <f t="shared" si="27"/>
        <v>-3775.5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31.5625</v>
      </c>
      <c r="F118" s="178">
        <f>+INDEX('Budget original'!$A$2:$AO$501,MATCH($A118,'Budget original'!$A$2:$A$501,0),MATCH(F$2,'Budget original'!$A$2:$AO$2,0))</f>
        <v>757.5</v>
      </c>
      <c r="G118" s="268"/>
      <c r="H118" s="194"/>
      <c r="I118" s="178"/>
      <c r="J118" s="222"/>
      <c r="K118" s="194">
        <f>IF($J$97=0,0,L118/(J$94+J$95+J96))</f>
        <v>10.182499999999989</v>
      </c>
      <c r="L118" s="179">
        <f>SUMIFS(BV_Data_An_Cour!$O:$O,BV_Data_An_Cour!$U:$U,$B118,BV_Data_An_Cour!$V:$V,$C118,BV_Data_An_Cour!$W:$W,$L$2)</f>
        <v>285.10999999999967</v>
      </c>
      <c r="M118" s="222"/>
      <c r="N118" s="224">
        <f t="shared" si="25"/>
        <v>-472.39000000000033</v>
      </c>
      <c r="O118" s="222"/>
      <c r="P118" s="194">
        <f t="shared" si="26"/>
        <v>302.17933333333332</v>
      </c>
      <c r="Q118" s="179">
        <f t="array" ref="Q118">+INDEX('Réel 2025'!$A$2:$AO$500,MATCH($A118,'Réel 2025'!$A$2:$A$500,0),MATCH(Q$2,'Réel 2025'!$A$2:$AO$2,0))</f>
        <v>4532.6899999999996</v>
      </c>
      <c r="R118" s="222"/>
      <c r="S118" s="196">
        <f t="shared" si="27"/>
        <v>-4247.58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318.63910710382504</v>
      </c>
      <c r="F119" s="178">
        <f>+INDEX('Budget original'!$A$2:$AO$501,MATCH($A119,'Budget original'!$A$2:$A$501,0),MATCH(F$2,'Budget original'!$A$2:$AO$2,0))</f>
        <v>7647.338570491801</v>
      </c>
      <c r="G119" s="268"/>
      <c r="H119" s="194"/>
      <c r="I119" s="178"/>
      <c r="J119" s="222"/>
      <c r="K119" s="194">
        <f>IF($J$97=0,0,L119/(J$94+J$95+J96))</f>
        <v>228.87392857142859</v>
      </c>
      <c r="L119" s="179">
        <f>SUMIFS(BV_Data_An_Cour!$O:$O,BV_Data_An_Cour!$U:$U,$B119,BV_Data_An_Cour!$V:$V,$C119,BV_Data_An_Cour!$W:$W,$L$2)</f>
        <v>6408.47</v>
      </c>
      <c r="M119" s="222"/>
      <c r="N119" s="224">
        <f t="shared" si="25"/>
        <v>-1238.8685704918007</v>
      </c>
      <c r="O119" s="222"/>
      <c r="P119" s="194">
        <f t="shared" si="26"/>
        <v>306.11333333333334</v>
      </c>
      <c r="Q119" s="179">
        <f t="array" ref="Q119">+INDEX('Réel 2025'!$A$2:$AO$500,MATCH($A119,'Réel 2025'!$A$2:$A$500,0),MATCH(Q$2,'Réel 2025'!$A$2:$AO$2,0))</f>
        <v>4591.7</v>
      </c>
      <c r="R119" s="222"/>
      <c r="S119" s="196">
        <f>L119-Q119</f>
        <v>1816.7700000000004</v>
      </c>
      <c r="T119" s="25"/>
      <c r="U119" s="25"/>
      <c r="V119" s="1039">
        <v>6408</v>
      </c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0.40829665387785952</v>
      </c>
      <c r="F123" s="41">
        <f>SUM(F113:F122)</f>
        <v>39728.201796863599</v>
      </c>
      <c r="G123" s="42"/>
      <c r="H123" s="40"/>
      <c r="I123" s="41"/>
      <c r="J123" s="42" t="s">
        <v>108</v>
      </c>
      <c r="K123" s="40">
        <f>L123/L$109</f>
        <v>0.48055540544384928</v>
      </c>
      <c r="L123" s="41">
        <f>SUM(L113:L122)</f>
        <v>42061.770000000004</v>
      </c>
      <c r="M123" s="44"/>
      <c r="N123" s="41">
        <f t="shared" si="25"/>
        <v>2333.5682031364049</v>
      </c>
      <c r="O123" s="42" t="s">
        <v>108</v>
      </c>
      <c r="P123" s="40">
        <f>Q123/Q$109</f>
        <v>0.55038648345369545</v>
      </c>
      <c r="Q123" s="41">
        <f>SUM(Q113:Q122)</f>
        <v>31459.53</v>
      </c>
      <c r="R123" s="44"/>
      <c r="S123" s="284">
        <f t="shared" si="27"/>
        <v>10602.240000000005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6952.5612490421454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3562.79</v>
      </c>
      <c r="M124" s="222"/>
      <c r="N124" s="224">
        <f t="shared" si="25"/>
        <v>-3389.7712490421454</v>
      </c>
      <c r="O124" s="222"/>
      <c r="P124" s="177"/>
      <c r="Q124" s="179">
        <f t="array" ref="Q124">+INDEX('Réel 2025'!$A$2:$AO$500,MATCH($A124,'Réel 2025'!$A$2:$A$500,0),MATCH(Q$2,'Réel 2025'!$A$2:$AO$2,0))</f>
        <v>3221.48</v>
      </c>
      <c r="R124" s="222"/>
      <c r="S124" s="196">
        <f t="shared" ref="S124:S135" si="28">L124-Q124</f>
        <v>341.30999999999995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2060.3064693486585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1264.24</v>
      </c>
      <c r="M125" s="222"/>
      <c r="N125" s="224">
        <f t="shared" si="25"/>
        <v>-796.06646934865853</v>
      </c>
      <c r="O125" s="222"/>
      <c r="P125" s="177"/>
      <c r="Q125" s="176">
        <f t="array" ref="Q125">+INDEX('Réel 2025'!$A$2:$AO$500,MATCH($A125,'Réel 2025'!$A$2:$A$500,0),MATCH(Q$2,'Réel 2025'!$A$2:$AO$2,0))</f>
        <v>2898.72</v>
      </c>
      <c r="R125" s="222"/>
      <c r="S125" s="196">
        <f t="shared" si="28"/>
        <v>-1634.4799999999998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4858.7958340916857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3710.59</v>
      </c>
      <c r="M131" s="222"/>
      <c r="N131" s="224">
        <f t="shared" si="25"/>
        <v>-1148.2058340916856</v>
      </c>
      <c r="O131" s="222"/>
      <c r="P131" s="177"/>
      <c r="Q131" s="179">
        <f t="array" ref="Q131">+INDEX('Réel 2025'!$A$2:$AO$500,MATCH($A131,'Réel 2025'!$A$2:$A$500,0),MATCH(Q$2,'Réel 2025'!$A$2:$AO$2,0))</f>
        <v>5062.3999999999996</v>
      </c>
      <c r="R131" s="222"/>
      <c r="S131" s="196">
        <f>L131-Q131</f>
        <v>-1351.8099999999995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4734.9311669459003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4433.01</v>
      </c>
      <c r="M132" s="272"/>
      <c r="N132" s="273">
        <f t="shared" si="25"/>
        <v>-301.92116694590004</v>
      </c>
      <c r="O132" s="272"/>
      <c r="P132" s="270"/>
      <c r="Q132" s="373">
        <f t="array" ref="Q132">+INDEX('Réel 2025'!$A$2:$AO$500,MATCH($A132,'Réel 2025'!$A$2:$A$500,0),MATCH(Q$2,'Réel 2025'!$A$2:$AO$2,0))</f>
        <v>3049.56</v>
      </c>
      <c r="R132" s="272"/>
      <c r="S132" s="198">
        <f t="shared" si="28"/>
        <v>1383.4500000000003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3314.4518168621298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2228.11</v>
      </c>
      <c r="M133" s="222"/>
      <c r="N133" s="224">
        <f t="shared" si="25"/>
        <v>-1086.3418168621297</v>
      </c>
      <c r="O133" s="222"/>
      <c r="P133" s="177"/>
      <c r="Q133" s="179">
        <f t="array" ref="Q133">+INDEX('Réel 2025'!$A$2:$AO$500,MATCH($A133,'Réel 2025'!$A$2:$A$500,0),MATCH(Q$2,'Réel 2025'!$A$2:$AO$2,0))</f>
        <v>2676.34</v>
      </c>
      <c r="R133" s="222"/>
      <c r="S133" s="196">
        <f t="shared" si="28"/>
        <v>-448.23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928.04650872139644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723.87</v>
      </c>
      <c r="M134" s="222"/>
      <c r="N134" s="224">
        <f t="shared" si="25"/>
        <v>-204.17650872139643</v>
      </c>
      <c r="O134" s="222"/>
      <c r="P134" s="177"/>
      <c r="Q134" s="179">
        <f t="array" ref="Q134">+INDEX('Réel 2025'!$A$2:$AO$500,MATCH($A134,'Réel 2025'!$A$2:$A$500,0),MATCH(Q$2,'Réel 2025'!$A$2:$AO$2,0))</f>
        <v>847.33</v>
      </c>
      <c r="R134" s="222"/>
      <c r="S134" s="196">
        <f t="shared" si="28"/>
        <v>-123.46000000000004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0.23482583687336039</v>
      </c>
      <c r="F136" s="41">
        <f>+SUM(F124:F135)</f>
        <v>22849.093045011912</v>
      </c>
      <c r="G136" s="42"/>
      <c r="H136" s="40"/>
      <c r="I136" s="41"/>
      <c r="J136" s="42" t="s">
        <v>108</v>
      </c>
      <c r="K136" s="40">
        <f>L136/L$109</f>
        <v>0.18191569932207535</v>
      </c>
      <c r="L136" s="41">
        <f>SUM(L124:L135)</f>
        <v>15922.61</v>
      </c>
      <c r="M136" s="809"/>
      <c r="N136" s="810">
        <f t="shared" si="25"/>
        <v>-6926.4830450119116</v>
      </c>
      <c r="O136" s="42" t="s">
        <v>108</v>
      </c>
      <c r="P136" s="40">
        <f>Q136/Q$109</f>
        <v>0.35978301222310255</v>
      </c>
      <c r="Q136" s="41">
        <f>+SUM(Q124:Q135)</f>
        <v>20564.830000000002</v>
      </c>
      <c r="R136" s="43"/>
      <c r="S136" s="280">
        <f t="shared" ref="S136:S149" si="29">L136-Q136</f>
        <v>-4642.2200000000012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280.79000000000002</v>
      </c>
      <c r="M139" s="277"/>
      <c r="N139" s="278">
        <f t="shared" si="25"/>
        <v>-482.79333333333335</v>
      </c>
      <c r="O139" s="277"/>
      <c r="P139" s="275"/>
      <c r="Q139" s="176">
        <f t="array" ref="Q139">+INDEX('Réel 2025'!$A$2:$AO$500,MATCH($A139,'Réel 2025'!$A$2:$A$500,0),MATCH(Q$2,'Réel 2025'!$A$2:$AO$2,0))</f>
        <v>1007.99</v>
      </c>
      <c r="R139" s="277"/>
      <c r="S139" s="199">
        <f t="shared" si="29"/>
        <v>-727.2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5722.05</v>
      </c>
      <c r="M140" s="222"/>
      <c r="N140" s="224">
        <f t="shared" si="25"/>
        <v>1637.5350000000003</v>
      </c>
      <c r="O140" s="222"/>
      <c r="P140" s="177"/>
      <c r="Q140" s="179">
        <f t="array" ref="Q140">+INDEX('Réel 2025'!$A$2:$AO$500,MATCH($A140,'Réel 2025'!$A$2:$A$500,0),MATCH(Q$2,'Réel 2025'!$A$2:$AO$2,0))</f>
        <v>1466.88</v>
      </c>
      <c r="R140" s="222"/>
      <c r="S140" s="196">
        <f t="shared" si="29"/>
        <v>4255.17</v>
      </c>
      <c r="T140" s="25"/>
      <c r="U140" s="25"/>
      <c r="V140" s="1039" t="s">
        <v>3116</v>
      </c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1116.1400000000001</v>
      </c>
      <c r="M141" s="222"/>
      <c r="N141" s="224">
        <f t="shared" si="25"/>
        <v>617.3900000000001</v>
      </c>
      <c r="O141" s="222"/>
      <c r="P141" s="177"/>
      <c r="Q141" s="179">
        <f t="array" ref="Q141">+INDEX('Réel 2025'!$A$2:$AO$500,MATCH($A141,'Réel 2025'!$A$2:$A$500,0),MATCH(Q$2,'Réel 2025'!$A$2:$AO$2,0))</f>
        <v>82.92</v>
      </c>
      <c r="R141" s="222"/>
      <c r="S141" s="196">
        <f t="shared" si="29"/>
        <v>1033.22</v>
      </c>
      <c r="T141" s="452"/>
      <c r="U141" s="25"/>
      <c r="V141" s="1039" t="s">
        <v>3125</v>
      </c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3384.13</v>
      </c>
      <c r="M142" s="277"/>
      <c r="N142" s="278">
        <f t="shared" si="25"/>
        <v>486.23966666666684</v>
      </c>
      <c r="O142" s="277"/>
      <c r="P142" s="275"/>
      <c r="Q142" s="176">
        <f t="array" ref="Q142">+INDEX('Réel 2025'!$A$2:$AO$500,MATCH($A142,'Réel 2025'!$A$2:$A$500,0),MATCH(Q$2,'Réel 2025'!$A$2:$AO$2,0))</f>
        <v>675.99</v>
      </c>
      <c r="R142" s="277"/>
      <c r="S142" s="199">
        <f t="shared" si="29"/>
        <v>2708.1400000000003</v>
      </c>
      <c r="T142" s="25"/>
      <c r="U142" s="25"/>
      <c r="V142" s="1039" t="s">
        <v>3126</v>
      </c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91.57</v>
      </c>
      <c r="M143" s="222"/>
      <c r="N143" s="224">
        <f t="shared" si="25"/>
        <v>77.819999999999993</v>
      </c>
      <c r="O143" s="222"/>
      <c r="P143" s="177"/>
      <c r="Q143" s="179">
        <f t="array" ref="Q143">+INDEX('Réel 2025'!$A$2:$AO$500,MATCH($A143,'Réel 2025'!$A$2:$A$500,0),MATCH(Q$2,'Réel 2025'!$A$2:$AO$2,0))</f>
        <v>13.54</v>
      </c>
      <c r="R143" s="222"/>
      <c r="S143" s="196">
        <f t="shared" si="29"/>
        <v>78.03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69.930000000000007</v>
      </c>
      <c r="M144" s="222"/>
      <c r="N144" s="224">
        <f t="shared" si="25"/>
        <v>62.430000000000007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9"/>
        <v>69.930000000000007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385.74</v>
      </c>
      <c r="M145" s="222"/>
      <c r="N145" s="224">
        <f t="shared" si="25"/>
        <v>168.24</v>
      </c>
      <c r="O145" s="222"/>
      <c r="P145" s="177"/>
      <c r="Q145" s="472">
        <f t="array" ref="Q145">+INDEX('Réel 2025'!$A$2:$AO$500,MATCH($A145,'Réel 2025'!$A$2:$A$500,0),MATCH(Q$2,'Réel 2025'!$A$2:$AO$2,0))</f>
        <v>74.87</v>
      </c>
      <c r="R145" s="222"/>
      <c r="S145" s="196">
        <f t="shared" si="29"/>
        <v>310.87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86.73</v>
      </c>
      <c r="M146" s="222"/>
      <c r="N146" s="224">
        <f t="shared" si="25"/>
        <v>23.380000000000003</v>
      </c>
      <c r="O146" s="222"/>
      <c r="P146" s="177"/>
      <c r="Q146" s="179">
        <f t="array" ref="Q146">+INDEX('Réel 2025'!$A$2:$AO$500,MATCH($A146,'Réel 2025'!$A$2:$A$500,0),MATCH(Q$2,'Réel 2025'!$A$2:$AO$2,0))</f>
        <v>60.76</v>
      </c>
      <c r="R146" s="222"/>
      <c r="S146" s="196">
        <f t="shared" si="29"/>
        <v>25.970000000000006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58.19</v>
      </c>
      <c r="M147" s="222"/>
      <c r="N147" s="224">
        <f t="shared" si="25"/>
        <v>-26.809999999999988</v>
      </c>
      <c r="O147" s="222"/>
      <c r="P147" s="177"/>
      <c r="Q147" s="179">
        <f t="array" ref="Q147">+INDEX('Réel 2025'!$A$2:$AO$500,MATCH($A147,'Réel 2025'!$A$2:$A$500,0),MATCH(Q$2,'Réel 2025'!$A$2:$AO$2,0))</f>
        <v>164.05</v>
      </c>
      <c r="R147" s="222"/>
      <c r="S147" s="196">
        <f t="shared" si="29"/>
        <v>-105.86000000000001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195.59</v>
      </c>
      <c r="M148" s="222"/>
      <c r="N148" s="224">
        <f t="shared" si="25"/>
        <v>-43.326666666666625</v>
      </c>
      <c r="O148" s="222"/>
      <c r="P148" s="177"/>
      <c r="Q148" s="179">
        <f t="array" ref="Q148">+INDEX('Réel 2025'!$A$2:$AO$500,MATCH($A148,'Réel 2025'!$A$2:$A$500,0),MATCH(Q$2,'Réel 2025'!$A$2:$AO$2,0))</f>
        <v>192.6</v>
      </c>
      <c r="R148" s="222"/>
      <c r="S148" s="196">
        <f t="shared" si="29"/>
        <v>2.9900000000000091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80.19</v>
      </c>
      <c r="M149" s="222"/>
      <c r="N149" s="224">
        <f t="shared" si="25"/>
        <v>-34.158000000000044</v>
      </c>
      <c r="O149" s="222"/>
      <c r="P149" s="177"/>
      <c r="Q149" s="179">
        <f t="array" ref="Q149">+INDEX('Réel 2025'!$A$2:$AO$500,MATCH($A149,'Réel 2025'!$A$2:$A$500,0),MATCH(Q$2,'Réel 2025'!$A$2:$AO$2,0))</f>
        <v>60.7</v>
      </c>
      <c r="R149" s="222"/>
      <c r="S149" s="196">
        <f t="shared" si="29"/>
        <v>19.489999999999995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1207.4534296559214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1210.92</v>
      </c>
      <c r="M150" s="222"/>
      <c r="N150" s="224">
        <f t="shared" si="25"/>
        <v>3.4665703440787183</v>
      </c>
      <c r="O150" s="222"/>
      <c r="P150" s="177"/>
      <c r="Q150" s="179">
        <f t="array" ref="Q150">+INDEX('Réel 2025'!$A$2:$AO$500,MATCH($A150,'Réel 2025'!$A$2:$A$500,0),MATCH(Q$2,'Réel 2025'!$A$2:$AO$2,0))</f>
        <v>668.91</v>
      </c>
      <c r="R150" s="222"/>
      <c r="S150" s="196">
        <f>L150-Q150</f>
        <v>542.0100000000001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0.10475145192997892</v>
      </c>
      <c r="F154" s="41">
        <f>+SUM(F137:F153)</f>
        <v>10192.556762989254</v>
      </c>
      <c r="G154" s="42"/>
      <c r="H154" s="40"/>
      <c r="I154" s="41"/>
      <c r="J154" s="42" t="s">
        <v>108</v>
      </c>
      <c r="K154" s="40">
        <f>L154/L$109</f>
        <v>0.14489141173033693</v>
      </c>
      <c r="L154" s="41">
        <f>+SUM(L137:L153)</f>
        <v>12681.970000000001</v>
      </c>
      <c r="M154" s="44"/>
      <c r="N154" s="41">
        <f t="shared" si="25"/>
        <v>2489.4132370107473</v>
      </c>
      <c r="O154" s="42" t="s">
        <v>108</v>
      </c>
      <c r="P154" s="40">
        <f>Q154/Q$109</f>
        <v>7.8189113941501687E-2</v>
      </c>
      <c r="Q154" s="41">
        <f>+SUM(Q137:Q153)</f>
        <v>4469.21</v>
      </c>
      <c r="R154" s="44"/>
      <c r="S154" s="284">
        <f>L154-Q154</f>
        <v>8212.760000000002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0.74787394268119878</v>
      </c>
      <c r="F156" s="41">
        <f>F123+F136+F154</f>
        <v>72769.851604864758</v>
      </c>
      <c r="G156" s="42"/>
      <c r="H156" s="40"/>
      <c r="I156" s="41"/>
      <c r="J156" s="42" t="s">
        <v>108</v>
      </c>
      <c r="K156" s="40">
        <f>L156/L$109</f>
        <v>0.80736251649626156</v>
      </c>
      <c r="L156" s="41">
        <f>L123+L136+L154</f>
        <v>70666.350000000006</v>
      </c>
      <c r="M156" s="44"/>
      <c r="N156" s="46">
        <f t="shared" ref="N156:N163" si="30">L156-F156</f>
        <v>-2103.5016048647522</v>
      </c>
      <c r="O156" s="42" t="s">
        <v>108</v>
      </c>
      <c r="P156" s="40">
        <f>Q156/Q$109</f>
        <v>0.98835860961829969</v>
      </c>
      <c r="Q156" s="41">
        <f>Q123+Q136+Q154</f>
        <v>56493.57</v>
      </c>
      <c r="R156" s="44"/>
      <c r="S156" s="280">
        <f t="shared" ref="S156:S163" si="31">L156-Q156</f>
        <v>14172.780000000006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5250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6800</v>
      </c>
      <c r="M157" s="222"/>
      <c r="N157" s="224">
        <f t="shared" si="30"/>
        <v>1550</v>
      </c>
      <c r="O157" s="360"/>
      <c r="P157" s="359"/>
      <c r="Q157" s="179">
        <f t="array" ref="Q157">+INDEX('Réel 2025'!$A$2:$AO$500,MATCH($A157,'Réel 2025'!$A$2:$A$500,0),MATCH(Q$2,'Réel 2025'!$A$2:$AO$2,0))</f>
        <v>5625</v>
      </c>
      <c r="R157" s="222"/>
      <c r="S157" s="196">
        <f t="shared" si="31"/>
        <v>1175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-3625</v>
      </c>
      <c r="M158" s="222"/>
      <c r="N158" s="224">
        <f t="shared" si="30"/>
        <v>-3625</v>
      </c>
      <c r="O158" s="360"/>
      <c r="P158" s="359"/>
      <c r="Q158" s="179">
        <f t="array" ref="Q158">+INDEX('Réel 2025'!$A$2:$AO$500,MATCH($A158,'Réel 2025'!$A$2:$A$500,0),MATCH(Q$2,'Réel 2025'!$A$2:$AO$2,0))</f>
        <v>0</v>
      </c>
      <c r="R158" s="222"/>
      <c r="S158" s="196">
        <f t="shared" si="31"/>
        <v>-3625</v>
      </c>
      <c r="T158" s="45"/>
      <c r="U158" s="25"/>
      <c r="V158" s="1039" t="s">
        <v>3123</v>
      </c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39">
        <f>L160/595</f>
        <v>0</v>
      </c>
      <c r="W160" s="918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12138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16660</v>
      </c>
      <c r="M163" s="222"/>
      <c r="N163" s="224">
        <f t="shared" si="30"/>
        <v>4522</v>
      </c>
      <c r="O163" s="222"/>
      <c r="P163" s="177"/>
      <c r="Q163" s="179">
        <f t="array" ref="Q163">+INDEX('Réel 2025'!$A$2:$AO$500,MATCH($A163,'Réel 2025'!$A$2:$A$500,0),MATCH(Q$2,'Réel 2025'!$A$2:$AO$2,0))</f>
        <v>7140</v>
      </c>
      <c r="R163" s="222"/>
      <c r="S163" s="196">
        <f t="shared" si="31"/>
        <v>9520</v>
      </c>
      <c r="T163" s="45"/>
      <c r="U163" s="25"/>
      <c r="V163" s="1039">
        <f>L163/595</f>
        <v>28</v>
      </c>
      <c r="W163" s="918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">
      <c r="B164" s="24"/>
      <c r="C164" s="279" t="s">
        <v>138</v>
      </c>
      <c r="D164" s="39"/>
      <c r="E164" s="40"/>
      <c r="F164" s="41">
        <f>+SUM(F157:F163)</f>
        <v>17388</v>
      </c>
      <c r="G164" s="42"/>
      <c r="H164" s="40"/>
      <c r="I164" s="41"/>
      <c r="J164" s="42"/>
      <c r="K164" s="40"/>
      <c r="L164" s="41">
        <f>+SUM(L157:L163)</f>
        <v>19835</v>
      </c>
      <c r="M164" s="44"/>
      <c r="N164" s="41">
        <f>SUM(N157:N160)</f>
        <v>-2075</v>
      </c>
      <c r="O164" s="42"/>
      <c r="P164" s="40"/>
      <c r="Q164" s="41">
        <f>+SUM(Q157:Q163)</f>
        <v>12765</v>
      </c>
      <c r="R164" s="44"/>
      <c r="S164" s="284">
        <f>+SUM(S157:S163)</f>
        <v>7070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41920.444212499817</v>
      </c>
      <c r="G166" s="306"/>
      <c r="H166" s="304"/>
      <c r="I166" s="305"/>
      <c r="J166" s="307"/>
      <c r="K166" s="308"/>
      <c r="L166" s="305">
        <f>L109-L156+L164</f>
        <v>36696.059999999939</v>
      </c>
      <c r="M166" s="307"/>
      <c r="N166" s="305">
        <f>L166-F166</f>
        <v>-5224.3842124998773</v>
      </c>
      <c r="O166" s="307"/>
      <c r="P166" s="308"/>
      <c r="Q166" s="305">
        <f>Q109-Q156+Q164</f>
        <v>13430.4099999998</v>
      </c>
      <c r="R166" s="307"/>
      <c r="S166" s="309">
        <f>L166-Q166</f>
        <v>23265.65000000014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Juillet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6"/>
      <c r="H171" s="1434"/>
      <c r="I171" s="1435"/>
      <c r="J171" s="1436" t="s">
        <v>78</v>
      </c>
      <c r="K171" s="1434"/>
      <c r="L171" s="1435"/>
      <c r="M171" s="1436" t="s">
        <v>2441</v>
      </c>
      <c r="N171" s="1435"/>
      <c r="O171" s="1433" t="s">
        <v>79</v>
      </c>
      <c r="P171" s="1434"/>
      <c r="Q171" s="1435"/>
      <c r="R171" s="1437" t="s">
        <v>2445</v>
      </c>
      <c r="S171" s="1438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">
      <c r="A173" t="str">
        <f t="shared" si="32"/>
        <v>ServiceM/O Client</v>
      </c>
      <c r="B173" s="24" t="s">
        <v>147</v>
      </c>
      <c r="C173" s="250" t="s">
        <v>151</v>
      </c>
      <c r="D173" s="930">
        <f>+INDEX('Budget original'!$A$2:$AO$501,MATCH($A173,'Budget original'!$A$2:$A$501,0),MATCH(D$2,'Budget original'!$A$2:$AO$2,0))</f>
        <v>245.75458680165934</v>
      </c>
      <c r="E173" s="194">
        <f>+INDEX('Budget original'!$A$2:$AO$501,MATCH($A173,'Budget original'!$A$2:$A$501,0),MATCH(E$2,'Budget original'!$A$2:$AO$2,0))</f>
        <v>87242.878314589063</v>
      </c>
      <c r="F173" s="194">
        <f>+INDEX('Budget original'!$A$2:$AO$501,MATCH($A173,'Budget original'!$A$2:$A$501,0),MATCH(F$2,'Budget original'!$A$2:$AO$2,0))</f>
        <v>68921.873868525363</v>
      </c>
      <c r="G173" s="310"/>
      <c r="H173" s="194"/>
      <c r="I173" s="194"/>
      <c r="J173" s="223">
        <f>-SUMIFS(BV_Data_An_Cour!$O:$O,BV_Data_An_Cour!$U:$U,$B173,BV_Data_An_Cour!$V:$V,$C173,BV_Data_An_Cour!$W:$W,J$2)</f>
        <v>196</v>
      </c>
      <c r="K173" s="178">
        <f>-SUMIFS(BV_Data_An_Cour!$O:$O,BV_Data_An_Cour!$X:$X,"Oui",BV_Data_An_Cour!$U:$U,$B173,BV_Data_An_Cour!$V:$V,$C173)</f>
        <v>95147.63</v>
      </c>
      <c r="L173" s="179">
        <f>-SUMIFS(BV_Data_An_Cour!$O:$O,BV_Data_An_Cour!$U:$U,$B173,BV_Data_An_Cour!$V:$V,$C173,BV_Data_An_Cour!$W:$W,$L$2)</f>
        <v>74278.12000000001</v>
      </c>
      <c r="M173" s="292">
        <f>(K173-E173)/E173</f>
        <v>9.0606268822392588E-2</v>
      </c>
      <c r="N173" s="224">
        <f>L173-F173</f>
        <v>5356.246131474647</v>
      </c>
      <c r="O173" s="223">
        <f t="array" ref="O173">+INDEX('Réel 2025'!$A$2:$AO$500,MATCH($A173,'Réel 2025'!$A$2:$A$500,0),MATCH(O$2,'Réel 2025'!$A$2:$AO$2,0))</f>
        <v>191</v>
      </c>
      <c r="P173" s="178">
        <f t="array" ref="P173">+INDEX('Réel 2025'!$A$2:$AO$500,MATCH($A173,'Réel 2025'!$A$2:$A$500,0),MATCH(P$2,'Réel 2025'!$A$2:$AO$2,0))</f>
        <v>71461.8</v>
      </c>
      <c r="Q173" s="179">
        <f t="array" ref="Q173">+INDEX('Réel 2025'!$A$2:$AO$500,MATCH($A173,'Réel 2025'!$A$2:$A$500,0),MATCH(Q$2,'Réel 2025'!$A$2:$AO$2,0))</f>
        <v>56493.51</v>
      </c>
      <c r="R173" s="292">
        <f>IF(O173=0,0,J173/O173)</f>
        <v>1.0261780104712042</v>
      </c>
      <c r="S173" s="196">
        <f>L173-Q173</f>
        <v>17784.610000000008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">
      <c r="A174" t="str">
        <f t="shared" si="32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0.78066179893287946</v>
      </c>
      <c r="M174" s="292"/>
      <c r="N174" s="224"/>
      <c r="O174" s="223"/>
      <c r="P174" s="177"/>
      <c r="Q174" s="226">
        <f>Q173/P173</f>
        <v>0.79054138014995423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">
      <c r="A175" t="str">
        <f t="shared" si="32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485.44709183673473</v>
      </c>
      <c r="L175" s="317"/>
      <c r="M175" s="319"/>
      <c r="N175" s="278"/>
      <c r="O175" s="301"/>
      <c r="P175" s="494">
        <f>IFERROR(P173/O173,0)</f>
        <v>374.14554973821993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">
      <c r="A176" t="str">
        <f t="shared" si="32"/>
        <v>ServiceM/O Garantie</v>
      </c>
      <c r="B176" s="24" t="s">
        <v>147</v>
      </c>
      <c r="C176" s="311" t="s">
        <v>153</v>
      </c>
      <c r="D176" s="932">
        <f>+INDEX('Budget original'!$A$2:$AO$501,MATCH($A176,'Budget original'!$A$2:$A$501,0),MATCH(D$2,'Budget original'!$A$2:$AO$2,0))</f>
        <v>242.71829138087605</v>
      </c>
      <c r="E176" s="194">
        <f>+INDEX('Budget original'!$A$2:$AO$501,MATCH($A176,'Budget original'!$A$2:$A$501,0),MATCH(E$2,'Budget original'!$A$2:$AO$2,0))</f>
        <v>46116.475362366451</v>
      </c>
      <c r="F176" s="194">
        <f>+INDEX('Budget original'!$A$2:$AO$501,MATCH($A176,'Budget original'!$A$2:$A$501,0),MATCH(F$2,'Budget original'!$A$2:$AO$2,0))</f>
        <v>30621.339640611324</v>
      </c>
      <c r="G176" s="313"/>
      <c r="H176" s="194"/>
      <c r="I176" s="194"/>
      <c r="J176" s="313">
        <f>-SUMIFS(BV_Data_An_Cour!$O:$O,BV_Data_An_Cour!$U:$U,$B176,BV_Data_An_Cour!$V:$V,$C176,BV_Data_An_Cour!$W:$W,J$2)</f>
        <v>216</v>
      </c>
      <c r="K176" s="185">
        <f>-SUMIFS(BV_Data_An_Cour!$O:$O,BV_Data_An_Cour!$X:$X,"Oui",BV_Data_An_Cour!$U:$U,$B176,BV_Data_An_Cour!$V:$V,$C176)</f>
        <v>34024.619999999995</v>
      </c>
      <c r="L176" s="179">
        <f>-SUMIFS(BV_Data_An_Cour!$O:$O,BV_Data_An_Cour!$U:$U,$B176,BV_Data_An_Cour!$V:$V,$C176,BV_Data_An_Cour!$W:$W,$L$2)</f>
        <v>22979.329999999991</v>
      </c>
      <c r="M176" s="292">
        <f>(K176-E176)/E176</f>
        <v>-0.26220250501264603</v>
      </c>
      <c r="N176" s="273">
        <f>L176-F176</f>
        <v>-7642.0096406113335</v>
      </c>
      <c r="O176" s="313">
        <f t="array" ref="O176">+INDEX('Réel 2025'!$A$2:$AO$500,MATCH($A176,'Réel 2025'!$A$2:$A$500,0),MATCH(O$2,'Réel 2025'!$A$2:$AO$2,0))</f>
        <v>212</v>
      </c>
      <c r="P176" s="185">
        <f t="array" ref="P176">+INDEX('Réel 2025'!$A$2:$AO$500,MATCH($A176,'Réel 2025'!$A$2:$A$500,0),MATCH(P$2,'Réel 2025'!$A$2:$AO$2,0))</f>
        <v>45755.069999999898</v>
      </c>
      <c r="Q176" s="179">
        <f t="array" ref="Q176">+INDEX('Réel 2025'!$A$2:$AO$500,MATCH($A176,'Réel 2025'!$A$2:$A$500,0),MATCH(Q$2,'Réel 2025'!$A$2:$AO$2,0))</f>
        <v>31394.639999999901</v>
      </c>
      <c r="R176" s="292">
        <f>IF(O176=0,0,J176/O176)</f>
        <v>1.0188679245283019</v>
      </c>
      <c r="S176" s="196">
        <f>L176-Q176</f>
        <v>-8415.3099999999104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">
      <c r="A177" t="str">
        <f t="shared" si="32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0.67537359711879208</v>
      </c>
      <c r="M177" s="234"/>
      <c r="N177" s="233"/>
      <c r="O177" s="222"/>
      <c r="P177" s="177"/>
      <c r="Q177" s="226">
        <f>Q176/P176</f>
        <v>0.68614560091373422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">
      <c r="A178" t="str">
        <f t="shared" si="32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215.82580188679196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">
      <c r="A179" t="str">
        <f t="shared" si="32"/>
        <v>ServiceM/O Interne</v>
      </c>
      <c r="B179" s="24" t="s">
        <v>147</v>
      </c>
      <c r="C179" s="250" t="s">
        <v>154</v>
      </c>
      <c r="D179" s="930">
        <f>+INDEX('Budget original'!$A$2:$AO$501,MATCH($A179,'Budget original'!$A$2:$A$501,0),MATCH(D$2,'Budget original'!$A$2:$AO$2,0))</f>
        <v>172.5</v>
      </c>
      <c r="E179" s="194">
        <f>+INDEX('Budget original'!$A$2:$AO$501,MATCH($A179,'Budget original'!$A$2:$A$501,0),MATCH(E$2,'Budget original'!$A$2:$AO$2,0))</f>
        <v>69000</v>
      </c>
      <c r="F179" s="194">
        <f>+INDEX('Budget original'!$A$2:$AO$501,MATCH($A179,'Budget original'!$A$2:$A$501,0),MATCH(F$2,'Budget original'!$A$2:$AO$2,0))</f>
        <v>51957</v>
      </c>
      <c r="G179" s="222"/>
      <c r="H179" s="194"/>
      <c r="I179" s="194"/>
      <c r="J179" s="223">
        <f>-SUMIFS(BV_Data_An_Cour!$O:$O,BV_Data_An_Cour!$U:$U,$B179,BV_Data_An_Cour!$V:$V,$C179,BV_Data_An_Cour!$W:$W,J$2)</f>
        <v>229</v>
      </c>
      <c r="K179" s="185">
        <f>-SUMIFS(BV_Data_An_Cour!$O:$O,BV_Data_An_Cour!$X:$X,"Oui",BV_Data_An_Cour!$U:$U,$B179,BV_Data_An_Cour!$V:$V,$C179)</f>
        <v>72925.810000000012</v>
      </c>
      <c r="L179" s="179">
        <f>-SUMIFS(BV_Data_An_Cour!$O:$O,BV_Data_An_Cour!$U:$U,$B179,BV_Data_An_Cour!$V:$V,$C179,BV_Data_An_Cour!$W:$W,$L$2)</f>
        <v>57330.80000000001</v>
      </c>
      <c r="M179" s="292">
        <f>(K179-E179)/E179</f>
        <v>5.6895797101449451E-2</v>
      </c>
      <c r="N179" s="224">
        <f>L179-F179</f>
        <v>5373.8000000000102</v>
      </c>
      <c r="O179" s="223">
        <f t="array" ref="O179">+INDEX('Réel 2025'!$A$2:$AO$500,MATCH($A179,'Réel 2025'!$A$2:$A$500,0),MATCH(O$2,'Réel 2025'!$A$2:$AO$2,0))</f>
        <v>147</v>
      </c>
      <c r="P179" s="185">
        <f t="array" ref="P179">+INDEX('Réel 2025'!$A$2:$AO$500,MATCH($A179,'Réel 2025'!$A$2:$A$500,0),MATCH(P$2,'Réel 2025'!$A$2:$AO$2,0))</f>
        <v>61596.59</v>
      </c>
      <c r="Q179" s="179">
        <f t="array" ref="Q179">+INDEX('Réel 2025'!$A$2:$AO$500,MATCH($A179,'Réel 2025'!$A$2:$A$500,0),MATCH(Q$2,'Réel 2025'!$A$2:$AO$2,0))</f>
        <v>46782.64</v>
      </c>
      <c r="R179" s="292">
        <f>IF(O179=0,0,J179/O179)</f>
        <v>1.5578231292517006</v>
      </c>
      <c r="S179" s="196">
        <f>L179-Q179</f>
        <v>10548.160000000011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">
      <c r="A180" t="str">
        <f t="shared" si="32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0.78615239241086254</v>
      </c>
      <c r="M180" s="292"/>
      <c r="N180" s="224">
        <f>L180-F180</f>
        <v>3.3152392410862541E-2</v>
      </c>
      <c r="O180" s="223"/>
      <c r="P180" s="225"/>
      <c r="Q180" s="226">
        <f>Q179/P179</f>
        <v>0.75950048533530834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">
      <c r="A181" t="str">
        <f t="shared" si="32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419.02442176870744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">
      <c r="A182" t="str">
        <f t="shared" si="32"/>
        <v>ServiceM/O Esthétique</v>
      </c>
      <c r="B182" s="24" t="s">
        <v>147</v>
      </c>
      <c r="C182" s="311" t="s">
        <v>155</v>
      </c>
      <c r="D182" s="932">
        <f>+INDEX('Budget original'!$A$2:$AO$501,MATCH($A182,'Budget original'!$A$2:$A$501,0),MATCH(D$2,'Budget original'!$A$2:$AO$2,0))</f>
        <v>40.200570145555119</v>
      </c>
      <c r="E182" s="194">
        <f>+INDEX('Budget original'!$A$2:$AO$501,MATCH($A182,'Budget original'!$A$2:$A$501,0),MATCH(E$2,'Budget original'!$A$2:$AO$2,0))</f>
        <v>11055.156790027655</v>
      </c>
      <c r="F182" s="194">
        <f>+INDEX('Budget original'!$A$2:$AO$501,MATCH($A182,'Budget original'!$A$2:$A$501,0),MATCH(F$2,'Budget original'!$A$2:$AO$2,0))</f>
        <v>7915.4922616598005</v>
      </c>
      <c r="G182" s="272"/>
      <c r="H182" s="194"/>
      <c r="I182" s="194"/>
      <c r="J182" s="313">
        <f>-SUMIFS(BV_Data_An_Cour!$O:$O,BV_Data_An_Cour!$U:$U,$B182,BV_Data_An_Cour!$V:$V,$C182,BV_Data_An_Cour!$W:$W,J$2)</f>
        <v>25</v>
      </c>
      <c r="K182" s="185">
        <f>-SUMIFS(BV_Data_An_Cour!$O:$O,BV_Data_An_Cour!$X:$X,"Oui",BV_Data_An_Cour!$U:$U,$B182,BV_Data_An_Cour!$V:$V,$C182)</f>
        <v>4208.88</v>
      </c>
      <c r="L182" s="180">
        <f>-SUMIFS(BV_Data_An_Cour!$O:$O,BV_Data_An_Cour!$U:$U,$B182,BV_Data_An_Cour!$V:$V,$C182,BV_Data_An_Cour!$W:$W,$L$2)</f>
        <v>3236.03</v>
      </c>
      <c r="M182" s="314">
        <f>IF(E182=0,0,(K182-E182)/E182)</f>
        <v>-0.61928355427788817</v>
      </c>
      <c r="N182" s="273">
        <f>L182-F182</f>
        <v>-4679.4622616598008</v>
      </c>
      <c r="O182" s="313">
        <f t="array" ref="O182">+INDEX('Réel 2025'!$A$2:$AO$500,MATCH($A182,'Réel 2025'!$A$2:$A$500,0),MATCH(O$2,'Réel 2025'!$A$2:$AO$2,0))</f>
        <v>35</v>
      </c>
      <c r="P182" s="185">
        <f t="array" ref="P182">+INDEX('Réel 2025'!$A$2:$AO$500,MATCH($A182,'Réel 2025'!$A$2:$A$500,0),MATCH(P$2,'Réel 2025'!$A$2:$AO$2,0))</f>
        <v>6415.65</v>
      </c>
      <c r="Q182" s="180">
        <f t="array" ref="Q182">+INDEX('Réel 2025'!$A$2:$AO$500,MATCH($A182,'Réel 2025'!$A$2:$A$500,0),MATCH(Q$2,'Réel 2025'!$A$2:$AO$2,0))</f>
        <v>5118.3599999999997</v>
      </c>
      <c r="R182" s="292">
        <f>IF(O182=0,0,J182/O182)</f>
        <v>0.7142857142857143</v>
      </c>
      <c r="S182" s="198">
        <f>L182-Q182</f>
        <v>-1882.3299999999995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0.76885774837961651</v>
      </c>
      <c r="M183" s="223">
        <f>J183-D183</f>
        <v>0</v>
      </c>
      <c r="N183" s="229"/>
      <c r="O183" s="227"/>
      <c r="P183" s="228"/>
      <c r="Q183" s="226">
        <f>IFERROR(Q182/P182,0)</f>
        <v>0.79779289705641676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183.3042857142857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-3060.0068719990777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-1307.78</v>
      </c>
      <c r="M185" s="227"/>
      <c r="N185" s="224">
        <f>L185-F185</f>
        <v>1752.2268719990777</v>
      </c>
      <c r="O185" s="223"/>
      <c r="P185" s="194"/>
      <c r="Q185" s="194">
        <f t="array" ref="Q185">+INDEX('Réel 2025'!$A$2:$AO$500,MATCH($A185,'Réel 2025'!$A$2:$A$500,0),MATCH(Q$2,'Réel 2025'!$A$2:$AO$2,0))</f>
        <v>-2250.91</v>
      </c>
      <c r="R185" s="206"/>
      <c r="S185" s="196">
        <f>L185-Q185</f>
        <v>943.12999999999988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701.17344832809056</v>
      </c>
      <c r="E186" s="58">
        <f>E173+E176+E179+E182+E185</f>
        <v>213414.51046698316</v>
      </c>
      <c r="F186" s="59">
        <f>F173+F176+F179+F182+F185</f>
        <v>156355.69889879742</v>
      </c>
      <c r="G186" s="60"/>
      <c r="H186" s="58"/>
      <c r="I186" s="59"/>
      <c r="J186" s="60">
        <f>J173+J176+J179+J182+J185</f>
        <v>666</v>
      </c>
      <c r="K186" s="58">
        <f>K173+K176+K179+K182+K185</f>
        <v>206306.94</v>
      </c>
      <c r="L186" s="59">
        <f>L173+L176+L179+L182+L185</f>
        <v>156516.5</v>
      </c>
      <c r="M186" s="61">
        <f>(K186-E186)/E186</f>
        <v>-3.3304063774439348E-2</v>
      </c>
      <c r="N186" s="59">
        <f>L186-F186</f>
        <v>160.80110120258178</v>
      </c>
      <c r="O186" s="60">
        <f t="shared" ref="O186:Q186" si="33">O173+O176+O179+O182+O185</f>
        <v>585</v>
      </c>
      <c r="P186" s="58">
        <f t="shared" si="33"/>
        <v>185229.1099999999</v>
      </c>
      <c r="Q186" s="59">
        <f t="shared" si="33"/>
        <v>137538.2399999999</v>
      </c>
      <c r="R186" s="333">
        <f>IF(O186=0,0,J186/O186)</f>
        <v>1.1384615384615384</v>
      </c>
      <c r="S186" s="334">
        <f>L186-Q186</f>
        <v>18978.260000000097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0.73263855656612831</v>
      </c>
      <c r="G187" s="64"/>
      <c r="H187" s="62"/>
      <c r="I187" s="233"/>
      <c r="J187" s="64"/>
      <c r="K187" s="65">
        <f>IF(J186=0,0,K186/J186)</f>
        <v>309.7701801801802</v>
      </c>
      <c r="L187" s="233">
        <f>IF(L186=0,0,L186/K186)</f>
        <v>0.75865843388496768</v>
      </c>
      <c r="M187" s="64"/>
      <c r="N187" s="63">
        <f>N186/F186</f>
        <v>1.028431341710555E-3</v>
      </c>
      <c r="O187" s="64"/>
      <c r="P187" s="65">
        <f>IF(O186=0,0,P186/O186)</f>
        <v>316.63095726495709</v>
      </c>
      <c r="Q187" s="233">
        <f>Q186/P186</f>
        <v>0.74253037225088425</v>
      </c>
      <c r="R187" s="64"/>
      <c r="S187" s="261">
        <f>IF(R186=0,0,S186/R186)</f>
        <v>16670.093243243329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4944.228434961844</v>
      </c>
      <c r="F189" s="194">
        <f>+INDEX('Budget original'!$A$2:$AO$501,MATCH($A189,'Budget original'!$A$2:$A$501,0),MATCH(F$2,'Budget original'!$A$2:$AO$2,0))</f>
        <v>741.63426524427655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4138.3599999999997</v>
      </c>
      <c r="L189" s="179">
        <f>-SUMIFS(BV_Data_An_Cour!$O:$O,BV_Data_An_Cour!$U:$U,$B189,BV_Data_An_Cour!$V:$V,$C189,BV_Data_An_Cour!$W:$W,$L$2)</f>
        <v>1081.9099999999996</v>
      </c>
      <c r="M189" s="446">
        <f>IF(E189=0,0,(K189-E189)/E189)</f>
        <v>-0.16299174796685206</v>
      </c>
      <c r="N189" s="224">
        <f>L189-F189</f>
        <v>340.27573475572308</v>
      </c>
      <c r="O189" s="223"/>
      <c r="P189" s="178">
        <f t="array" ref="P189">+INDEX('Réel 2025'!$A$2:$AO$500,MATCH($A189,'Réel 2025'!$A$2:$A$500,0),MATCH(P$2,'Réel 2025'!$A$2:$AO$2,0))</f>
        <v>4300</v>
      </c>
      <c r="Q189" s="179">
        <f t="array" ref="Q189">+INDEX('Réel 2025'!$A$2:$AO$500,MATCH($A189,'Réel 2025'!$A$2:$A$500,0),MATCH(Q$2,'Réel 2025'!$A$2:$AO$2,0))</f>
        <v>360.4</v>
      </c>
      <c r="R189" s="292">
        <f>IF(O189=0,0,J189/O189)</f>
        <v>0</v>
      </c>
      <c r="S189" s="196">
        <f>L189-Q189</f>
        <v>721.50999999999965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0.261434481292106</v>
      </c>
      <c r="M190" s="227"/>
      <c r="N190" s="229"/>
      <c r="O190" s="227"/>
      <c r="P190" s="228"/>
      <c r="Q190" s="226">
        <f>IFERROR(Q189/P189,0)</f>
        <v>8.3813953488372089E-2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218358.73890194501</v>
      </c>
      <c r="F195" s="28">
        <f>F186+F189+F192</f>
        <v>157097.33316404169</v>
      </c>
      <c r="G195" s="29"/>
      <c r="H195" s="26"/>
      <c r="I195" s="28"/>
      <c r="J195" s="29"/>
      <c r="K195" s="26">
        <f>K186+K189+K192</f>
        <v>210445.3</v>
      </c>
      <c r="L195" s="28">
        <f>L186+L189+L192</f>
        <v>157598.41</v>
      </c>
      <c r="M195" s="70">
        <f>L196-F196</f>
        <v>2.943458101142804E-2</v>
      </c>
      <c r="N195" s="28">
        <f>L195-F195</f>
        <v>501.07683595831622</v>
      </c>
      <c r="O195" s="29"/>
      <c r="P195" s="26">
        <f t="shared" ref="P195:Q195" si="34">P186+P189+P192</f>
        <v>189529.1099999999</v>
      </c>
      <c r="Q195" s="28">
        <f t="shared" si="34"/>
        <v>137898.6399999999</v>
      </c>
      <c r="R195" s="70">
        <f>L196-Q196</f>
        <v>2.1295094673102755E-2</v>
      </c>
      <c r="S195" s="320">
        <f>L195-Q195</f>
        <v>19699.770000000106</v>
      </c>
      <c r="T195" s="230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0.71944605447912469</v>
      </c>
      <c r="G196" s="31"/>
      <c r="H196" s="322"/>
      <c r="I196" s="34"/>
      <c r="J196" s="31"/>
      <c r="K196" s="322"/>
      <c r="L196" s="34">
        <f>L195/K195</f>
        <v>0.74888063549055273</v>
      </c>
      <c r="M196" s="33"/>
      <c r="N196" s="34">
        <f>N195/F195</f>
        <v>3.1895947936626634E-3</v>
      </c>
      <c r="O196" s="31"/>
      <c r="P196" s="322"/>
      <c r="Q196" s="34">
        <f>Q195/P195</f>
        <v>0.72758554081744997</v>
      </c>
      <c r="R196" s="33"/>
      <c r="S196" s="258">
        <f>L195/S195</f>
        <v>8.0000126905034499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11522.955371763124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5522.81</v>
      </c>
      <c r="M199" s="222"/>
      <c r="N199" s="224">
        <f t="shared" ref="N199:N230" si="35">L199-F199</f>
        <v>-6000.1453717631239</v>
      </c>
      <c r="O199" s="222"/>
      <c r="P199" s="177"/>
      <c r="Q199" s="179">
        <f t="array" ref="Q199">+INDEX('Réel 2025'!$A$2:$AO$500,MATCH($A199,'Réel 2025'!$A$2:$A$500,0),MATCH(Q$2,'Réel 2025'!$A$2:$AO$2,0))</f>
        <v>12343.02</v>
      </c>
      <c r="R199" s="222"/>
      <c r="S199" s="196">
        <f t="shared" ref="S199:S229" si="36">L199-Q199</f>
        <v>-6820.21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5530.752077279888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2107.0700000000002</v>
      </c>
      <c r="M200" s="222"/>
      <c r="N200" s="224">
        <f t="shared" si="35"/>
        <v>-3423.6820772798878</v>
      </c>
      <c r="O200" s="222"/>
      <c r="P200" s="177"/>
      <c r="Q200" s="179">
        <f t="array" ref="Q200">+INDEX('Réel 2025'!$A$2:$AO$500,MATCH($A200,'Réel 2025'!$A$2:$A$500,0),MATCH(Q$2,'Réel 2025'!$A$2:$AO$2,0))</f>
        <v>4215.83</v>
      </c>
      <c r="R200" s="222"/>
      <c r="S200" s="196">
        <f t="shared" si="36"/>
        <v>-2108.7599999999998</v>
      </c>
      <c r="T200" s="25"/>
      <c r="U200" s="25"/>
      <c r="V200" s="1039" t="s">
        <v>3068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14446.139083923792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12719.07</v>
      </c>
      <c r="M201" s="272"/>
      <c r="N201" s="273">
        <f t="shared" si="35"/>
        <v>-1727.0690839237923</v>
      </c>
      <c r="O201" s="272"/>
      <c r="P201" s="270"/>
      <c r="Q201" s="180">
        <f t="array" ref="Q201">+INDEX('Réel 2025'!$A$2:$AO$500,MATCH($A201,'Réel 2025'!$A$2:$A$500,0),MATCH(Q$2,'Réel 2025'!$A$2:$AO$2,0))</f>
        <v>6749.91</v>
      </c>
      <c r="R201" s="272"/>
      <c r="S201" s="198">
        <f t="shared" si="36"/>
        <v>5969.16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15636.432950191571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12723.46</v>
      </c>
      <c r="M202" s="222"/>
      <c r="N202" s="224">
        <f t="shared" si="35"/>
        <v>-2912.9729501915717</v>
      </c>
      <c r="O202" s="222"/>
      <c r="P202" s="177"/>
      <c r="Q202" s="179">
        <f t="array" ref="Q202">+INDEX('Réel 2025'!$A$2:$AO$500,MATCH($A202,'Réel 2025'!$A$2:$A$500,0),MATCH(Q$2,'Réel 2025'!$A$2:$AO$2,0))</f>
        <v>14553.25</v>
      </c>
      <c r="R202" s="222"/>
      <c r="S202" s="196">
        <f t="shared" si="36"/>
        <v>-1829.7900000000009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15093.551259504773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12274.74</v>
      </c>
      <c r="M206" s="222"/>
      <c r="N206" s="224">
        <f t="shared" si="35"/>
        <v>-2818.8112595047733</v>
      </c>
      <c r="O206" s="222"/>
      <c r="P206" s="177"/>
      <c r="Q206" s="179">
        <f t="array" ref="Q206">+INDEX('Réel 2025'!$A$2:$AO$500,MATCH($A206,'Réel 2025'!$A$2:$A$500,0),MATCH(Q$2,'Réel 2025'!$A$2:$AO$2,0))</f>
        <v>13922.95</v>
      </c>
      <c r="R206" s="222"/>
      <c r="S206" s="196">
        <f>L206-Q206</f>
        <v>-1648.2100000000009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14432.283766812419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14970.13</v>
      </c>
      <c r="M207" s="272"/>
      <c r="N207" s="273">
        <f t="shared" si="35"/>
        <v>537.84623318757986</v>
      </c>
      <c r="O207" s="272"/>
      <c r="P207" s="270"/>
      <c r="Q207" s="180">
        <f t="array" ref="Q207">+INDEX('Réel 2025'!$A$2:$AO$500,MATCH($A207,'Réel 2025'!$A$2:$A$500,0),MATCH(Q$2,'Réel 2025'!$A$2:$AO$2,0))</f>
        <v>15432.49</v>
      </c>
      <c r="R207" s="272"/>
      <c r="S207" s="198">
        <f t="shared" si="36"/>
        <v>-462.36000000000058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10656.79833341429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6452.88</v>
      </c>
      <c r="M208" s="222"/>
      <c r="N208" s="224">
        <f t="shared" si="35"/>
        <v>-4203.9183334142899</v>
      </c>
      <c r="O208" s="222"/>
      <c r="P208" s="177"/>
      <c r="Q208" s="179">
        <f t="array" ref="Q208">+INDEX('Réel 2025'!$A$2:$AO$500,MATCH($A208,'Réel 2025'!$A$2:$A$500,0),MATCH(Q$2,'Réel 2025'!$A$2:$AO$2,0))</f>
        <v>6808.22</v>
      </c>
      <c r="R208" s="222"/>
      <c r="S208" s="196">
        <f t="shared" si="36"/>
        <v>-355.34000000000015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2828.7276182952342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1955.18</v>
      </c>
      <c r="M209" s="722"/>
      <c r="N209" s="193">
        <f t="shared" si="35"/>
        <v>-873.54761829523409</v>
      </c>
      <c r="O209" s="722"/>
      <c r="P209" s="723"/>
      <c r="Q209" s="176">
        <f t="array" ref="Q209">+INDEX('Réel 2025'!$A$2:$AO$500,MATCH($A209,'Réel 2025'!$A$2:$A$500,0),MATCH(Q$2,'Réel 2025'!$A$2:$AO$2,0))</f>
        <v>2737.99</v>
      </c>
      <c r="R209" s="722"/>
      <c r="S209" s="724">
        <f t="shared" si="36"/>
        <v>-782.80999999999972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0.57383304124617152</v>
      </c>
      <c r="F211" s="41">
        <f>+SUM(F199:F210)</f>
        <v>90147.640461185088</v>
      </c>
      <c r="G211" s="42"/>
      <c r="H211" s="40"/>
      <c r="I211" s="41"/>
      <c r="J211" s="42" t="s">
        <v>162</v>
      </c>
      <c r="K211" s="40">
        <f>L211/L$195</f>
        <v>0.43607889191267851</v>
      </c>
      <c r="L211" s="41">
        <f>+SUM(L199:L210)</f>
        <v>68725.34</v>
      </c>
      <c r="M211" s="43"/>
      <c r="N211" s="46">
        <f t="shared" si="35"/>
        <v>-21422.300461185092</v>
      </c>
      <c r="O211" s="42" t="s">
        <v>162</v>
      </c>
      <c r="P211" s="40">
        <f>Q211/Q$195</f>
        <v>0.55666727387594295</v>
      </c>
      <c r="Q211" s="41">
        <f>+SUM(Q199:Q210)</f>
        <v>76763.66</v>
      </c>
      <c r="R211" s="43"/>
      <c r="S211" s="280">
        <f t="shared" si="36"/>
        <v>-8038.320000000007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2129.9114389697861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673.44</v>
      </c>
      <c r="M212" s="222"/>
      <c r="N212" s="224">
        <f t="shared" si="35"/>
        <v>-1456.471438969786</v>
      </c>
      <c r="O212" s="222"/>
      <c r="P212" s="177"/>
      <c r="Q212" s="179">
        <f t="array" ref="Q212">+INDEX('Réel 2025'!$A$2:$AO$500,MATCH($A212,'Réel 2025'!$A$2:$A$500,0),MATCH(Q$2,'Réel 2025'!$A$2:$AO$2,0))</f>
        <v>4692.8500000000004</v>
      </c>
      <c r="R212" s="222"/>
      <c r="S212" s="196">
        <f t="shared" si="36"/>
        <v>-4019.4100000000003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4815.59</v>
      </c>
      <c r="M213" s="222"/>
      <c r="N213" s="224">
        <f t="shared" si="35"/>
        <v>1065.5900000000001</v>
      </c>
      <c r="O213" s="222"/>
      <c r="P213" s="177"/>
      <c r="Q213" s="179">
        <f t="array" ref="Q213">+INDEX('Réel 2025'!$A$2:$AO$500,MATCH($A213,'Réel 2025'!$A$2:$A$500,0),MATCH(Q$2,'Réel 2025'!$A$2:$AO$2,0))</f>
        <v>4203.25</v>
      </c>
      <c r="R213" s="222"/>
      <c r="S213" s="196">
        <f t="shared" si="36"/>
        <v>612.34000000000015</v>
      </c>
      <c r="T213" s="177"/>
      <c r="U213" s="25"/>
      <c r="V213" s="1039" t="s">
        <v>3127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8296.65</v>
      </c>
      <c r="M214" s="277"/>
      <c r="N214" s="278">
        <f t="shared" si="35"/>
        <v>843.39999999999873</v>
      </c>
      <c r="O214" s="277"/>
      <c r="P214" s="275"/>
      <c r="Q214" s="179">
        <f t="array" ref="Q214">+INDEX('Réel 2025'!$A$2:$AO$500,MATCH($A214,'Réel 2025'!$A$2:$A$500,0),MATCH(Q$2,'Réel 2025'!$A$2:$AO$2,0))</f>
        <v>6466.99</v>
      </c>
      <c r="R214" s="277"/>
      <c r="S214" s="199">
        <f t="shared" si="36"/>
        <v>1829.6599999999999</v>
      </c>
      <c r="T214" s="177"/>
      <c r="U214" s="25"/>
      <c r="V214" s="1039" t="s">
        <v>3128</v>
      </c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6192.27</v>
      </c>
      <c r="M215" s="222"/>
      <c r="N215" s="224">
        <f t="shared" si="35"/>
        <v>-444.14083333333292</v>
      </c>
      <c r="O215" s="222"/>
      <c r="P215" s="177"/>
      <c r="Q215" s="180">
        <f t="array" ref="Q215">+INDEX('Réel 2025'!$A$2:$AO$500,MATCH($A215,'Réel 2025'!$A$2:$A$500,0),MATCH(Q$2,'Réel 2025'!$A$2:$AO$2,0))</f>
        <v>6092.24</v>
      </c>
      <c r="R215" s="222"/>
      <c r="S215" s="196">
        <f t="shared" si="36"/>
        <v>100.03000000000065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2179.11</v>
      </c>
      <c r="M216" s="222"/>
      <c r="N216" s="224">
        <f t="shared" si="35"/>
        <v>847.86000000000013</v>
      </c>
      <c r="O216" s="222"/>
      <c r="P216" s="177"/>
      <c r="Q216" s="179">
        <f t="array" ref="Q216">+INDEX('Réel 2025'!$A$2:$AO$500,MATCH($A216,'Réel 2025'!$A$2:$A$500,0),MATCH(Q$2,'Réel 2025'!$A$2:$AO$2,0))</f>
        <v>1258.22</v>
      </c>
      <c r="R216" s="222"/>
      <c r="S216" s="196">
        <f t="shared" si="36"/>
        <v>920.8900000000001</v>
      </c>
      <c r="T216" s="177"/>
      <c r="U216" s="25"/>
      <c r="V216" s="1039" t="s">
        <v>3125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2199.8866666666668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16216.45</v>
      </c>
      <c r="M217" s="722"/>
      <c r="N217" s="193">
        <f t="shared" si="35"/>
        <v>14016.563333333334</v>
      </c>
      <c r="O217" s="722"/>
      <c r="P217" s="723"/>
      <c r="Q217" s="176">
        <f t="array" ref="Q217">+INDEX('Réel 2025'!$A$2:$AO$500,MATCH($A217,'Réel 2025'!$A$2:$A$500,0),MATCH(Q$2,'Réel 2025'!$A$2:$AO$2,0))</f>
        <v>2685.77</v>
      </c>
      <c r="R217" s="277"/>
      <c r="S217" s="199">
        <f t="shared" si="36"/>
        <v>13530.68</v>
      </c>
      <c r="T217" s="177"/>
      <c r="U217" s="25"/>
      <c r="V217" s="1397" t="s">
        <v>3117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3158.42</v>
      </c>
      <c r="M219" s="222"/>
      <c r="N219" s="224">
        <f t="shared" si="35"/>
        <v>-91.579999999999927</v>
      </c>
      <c r="O219" s="222"/>
      <c r="P219" s="177"/>
      <c r="Q219" s="179">
        <f t="array" ref="Q219">+INDEX('Réel 2025'!$A$2:$AO$500,MATCH($A219,'Réel 2025'!$A$2:$A$500,0),MATCH(Q$2,'Réel 2025'!$A$2:$AO$2,0))</f>
        <v>1862.54</v>
      </c>
      <c r="R219" s="222"/>
      <c r="S219" s="196">
        <f t="shared" si="36"/>
        <v>1295.8800000000001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1008.43</v>
      </c>
      <c r="M220" s="222"/>
      <c r="N220" s="224">
        <f t="shared" si="35"/>
        <v>-316.57000000000005</v>
      </c>
      <c r="O220" s="222"/>
      <c r="P220" s="177"/>
      <c r="Q220" s="179">
        <f t="array" ref="Q220">+INDEX('Réel 2025'!$A$2:$AO$500,MATCH($A220,'Réel 2025'!$A$2:$A$500,0),MATCH(Q$2,'Réel 2025'!$A$2:$AO$2,0))</f>
        <v>903.4</v>
      </c>
      <c r="R220" s="222"/>
      <c r="S220" s="196">
        <f t="shared" si="36"/>
        <v>105.02999999999997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862.19</v>
      </c>
      <c r="M221" s="222"/>
      <c r="N221" s="224">
        <f t="shared" si="35"/>
        <v>499.69000000000005</v>
      </c>
      <c r="O221" s="222"/>
      <c r="P221" s="177"/>
      <c r="Q221" s="472">
        <f t="array" ref="Q221">+INDEX('Réel 2025'!$A$2:$AO$500,MATCH($A221,'Réel 2025'!$A$2:$A$500,0),MATCH(Q$2,'Réel 2025'!$A$2:$AO$2,0))</f>
        <v>686.18</v>
      </c>
      <c r="R221" s="222"/>
      <c r="S221" s="196">
        <f t="shared" si="36"/>
        <v>176.0100000000001</v>
      </c>
      <c r="T221" s="25"/>
      <c r="U221" s="25"/>
      <c r="V221" s="1039" t="s">
        <v>3129</v>
      </c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136.9</v>
      </c>
      <c r="M222" s="222"/>
      <c r="N222" s="224">
        <f t="shared" si="35"/>
        <v>22.650000000000006</v>
      </c>
      <c r="O222" s="222"/>
      <c r="P222" s="177"/>
      <c r="Q222" s="179">
        <f t="array" ref="Q222">+INDEX('Réel 2025'!$A$2:$AO$500,MATCH($A222,'Réel 2025'!$A$2:$A$500,0),MATCH(Q$2,'Réel 2025'!$A$2:$AO$2,0))</f>
        <v>107.64</v>
      </c>
      <c r="R222" s="222"/>
      <c r="S222" s="196">
        <f t="shared" si="36"/>
        <v>29.260000000000005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412.41</v>
      </c>
      <c r="M223" s="222"/>
      <c r="N223" s="224">
        <f t="shared" si="35"/>
        <v>270.74333333333334</v>
      </c>
      <c r="O223" s="222"/>
      <c r="P223" s="177"/>
      <c r="Q223" s="179">
        <f t="array" ref="Q223">+INDEX('Réel 2025'!$A$2:$AO$500,MATCH($A223,'Réel 2025'!$A$2:$A$500,0),MATCH(Q$2,'Réel 2025'!$A$2:$AO$2,0))</f>
        <v>27.37</v>
      </c>
      <c r="R223" s="222"/>
      <c r="S223" s="196">
        <f t="shared" si="36"/>
        <v>385.04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325.98</v>
      </c>
      <c r="M224" s="222"/>
      <c r="N224" s="224">
        <f t="shared" si="35"/>
        <v>-55.686666666666611</v>
      </c>
      <c r="O224" s="222"/>
      <c r="P224" s="177"/>
      <c r="Q224" s="179">
        <f t="array" ref="Q224">+INDEX('Réel 2025'!$A$2:$AO$500,MATCH($A224,'Réel 2025'!$A$2:$A$500,0),MATCH(Q$2,'Réel 2025'!$A$2:$AO$2,0))</f>
        <v>1481.5</v>
      </c>
      <c r="R224" s="222"/>
      <c r="S224" s="196">
        <f t="shared" si="36"/>
        <v>-1155.52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2429.8000000000002</v>
      </c>
      <c r="M225" s="222"/>
      <c r="N225" s="224">
        <f t="shared" si="35"/>
        <v>647.55333333333328</v>
      </c>
      <c r="O225" s="222"/>
      <c r="P225" s="177"/>
      <c r="Q225" s="179">
        <f t="array" ref="Q225">+INDEX('Réel 2025'!$A$2:$AO$500,MATCH($A225,'Réel 2025'!$A$2:$A$500,0),MATCH(Q$2,'Réel 2025'!$A$2:$AO$2,0))</f>
        <v>1295.19</v>
      </c>
      <c r="R225" s="222"/>
      <c r="S225" s="196">
        <f t="shared" si="36"/>
        <v>1134.6100000000001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2012.4223827598689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2451.9499999999998</v>
      </c>
      <c r="M226" s="222"/>
      <c r="N226" s="224">
        <f t="shared" si="35"/>
        <v>439.52761724013089</v>
      </c>
      <c r="O226" s="222"/>
      <c r="P226" s="177"/>
      <c r="Q226" s="179">
        <f t="array" ref="Q226">+INDEX('Réel 2025'!$A$2:$AO$500,MATCH($A226,'Réel 2025'!$A$2:$A$500,0),MATCH(Q$2,'Réel 2025'!$A$2:$AO$2,0))</f>
        <v>1672.3</v>
      </c>
      <c r="R226" s="222"/>
      <c r="S226" s="196">
        <f t="shared" si="36"/>
        <v>779.64999999999986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">
      <c r="B230" s="24"/>
      <c r="C230" s="279" t="s">
        <v>132</v>
      </c>
      <c r="D230" s="39" t="s">
        <v>162</v>
      </c>
      <c r="E230" s="40">
        <f>F230/F$195</f>
        <v>0.20923627829764738</v>
      </c>
      <c r="F230" s="41">
        <f>+SUM(F212:F229)</f>
        <v>32870.461321729657</v>
      </c>
      <c r="G230" s="42"/>
      <c r="H230" s="40"/>
      <c r="I230" s="41"/>
      <c r="J230" s="42" t="s">
        <v>162</v>
      </c>
      <c r="K230" s="40">
        <f>L230/L$195</f>
        <v>0.31192947949157618</v>
      </c>
      <c r="L230" s="41">
        <f>+SUM(L212:L229)</f>
        <v>49159.590000000011</v>
      </c>
      <c r="M230" s="44"/>
      <c r="N230" s="41">
        <f t="shared" si="35"/>
        <v>16289.128678270354</v>
      </c>
      <c r="O230" s="42" t="s">
        <v>162</v>
      </c>
      <c r="P230" s="40">
        <f>Q230/Q$195</f>
        <v>0.24246388506804728</v>
      </c>
      <c r="Q230" s="41">
        <f>+SUM(Q212:Q229)</f>
        <v>33435.440000000002</v>
      </c>
      <c r="R230" s="44"/>
      <c r="S230" s="284">
        <f>L230-Q230</f>
        <v>15724.150000000009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">
      <c r="B232" s="24"/>
      <c r="C232" s="279" t="s">
        <v>133</v>
      </c>
      <c r="D232" s="39" t="s">
        <v>108</v>
      </c>
      <c r="E232" s="40">
        <f>F232/F$195</f>
        <v>0.78306931954381898</v>
      </c>
      <c r="F232" s="41">
        <f>F211+F230</f>
        <v>123018.10178291475</v>
      </c>
      <c r="G232" s="42"/>
      <c r="H232" s="40"/>
      <c r="I232" s="41"/>
      <c r="J232" s="42" t="s">
        <v>108</v>
      </c>
      <c r="K232" s="40">
        <f>L232/L$195</f>
        <v>0.74800837140425469</v>
      </c>
      <c r="L232" s="41">
        <f>L211+L230</f>
        <v>117884.93000000001</v>
      </c>
      <c r="M232" s="44"/>
      <c r="N232" s="46">
        <f>L232-F232</f>
        <v>-5133.1717829147383</v>
      </c>
      <c r="O232" s="42" t="s">
        <v>108</v>
      </c>
      <c r="P232" s="40">
        <f>Q232/Q$195</f>
        <v>0.79913115894399023</v>
      </c>
      <c r="Q232" s="41">
        <f>Q211+Q230</f>
        <v>110199.1</v>
      </c>
      <c r="R232" s="44"/>
      <c r="S232" s="280">
        <f>L232-Q232</f>
        <v>7685.8300000000017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34079.231381126941</v>
      </c>
      <c r="G234" s="306"/>
      <c r="H234" s="304"/>
      <c r="I234" s="305"/>
      <c r="J234" s="307"/>
      <c r="K234" s="308"/>
      <c r="L234" s="305">
        <f>L195-L232</f>
        <v>39713.479999999996</v>
      </c>
      <c r="M234" s="307"/>
      <c r="N234" s="305">
        <f>L234-F234</f>
        <v>5634.2486188730545</v>
      </c>
      <c r="O234" s="307"/>
      <c r="P234" s="308"/>
      <c r="Q234" s="305">
        <f>Q195-Q232</f>
        <v>27699.539999999892</v>
      </c>
      <c r="R234" s="307"/>
      <c r="S234" s="309">
        <f>L234-Q234</f>
        <v>12013.940000000104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Juillet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3" t="s">
        <v>77</v>
      </c>
      <c r="E239" s="1434"/>
      <c r="F239" s="1435"/>
      <c r="G239" s="1436"/>
      <c r="H239" s="1434"/>
      <c r="I239" s="1435"/>
      <c r="J239" s="1436" t="s">
        <v>78</v>
      </c>
      <c r="K239" s="1434"/>
      <c r="L239" s="1435"/>
      <c r="M239" s="1436" t="s">
        <v>2441</v>
      </c>
      <c r="N239" s="1435"/>
      <c r="O239" s="1433" t="s">
        <v>79</v>
      </c>
      <c r="P239" s="1434"/>
      <c r="Q239" s="1435"/>
      <c r="R239" s="1437" t="s">
        <v>2445</v>
      </c>
      <c r="S239" s="1438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1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0</v>
      </c>
      <c r="Q251" s="28">
        <f t="shared" si="38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9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9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Juillet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6"/>
      <c r="H294" s="1434"/>
      <c r="I294" s="1435"/>
      <c r="J294" s="1436" t="s">
        <v>78</v>
      </c>
      <c r="K294" s="1434"/>
      <c r="L294" s="1435"/>
      <c r="M294" s="1436" t="s">
        <v>2441</v>
      </c>
      <c r="N294" s="1435"/>
      <c r="O294" s="1433" t="s">
        <v>79</v>
      </c>
      <c r="P294" s="1434"/>
      <c r="Q294" s="1435"/>
      <c r="R294" s="1437" t="s">
        <v>2445</v>
      </c>
      <c r="S294" s="1438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74080.040009590492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29780.176083855378</v>
      </c>
      <c r="G296" s="194"/>
      <c r="H296" s="207"/>
      <c r="I296" s="196"/>
      <c r="J296" s="178">
        <f>-SUMIFS(BV_Data_An_Cour!$O:$O,BV_Data_An_Cour!$X:$X,"Oui",BV_Data_An_Cour!$U:$U,$B296,BV_Data_An_Cour!$V:$V,$C296)</f>
        <v>111455.03999999999</v>
      </c>
      <c r="K296" s="207">
        <f t="shared" ref="K296:K301" si="43">IF(J296&lt;=0,0,L296/J296)</f>
        <v>0.39936857050161206</v>
      </c>
      <c r="L296" s="179">
        <f>-SUMIFS(BV_Data_An_Cour!$O:$O,BV_Data_An_Cour!$U:$U,$B296,BV_Data_An_Cour!$V:$V,$C296,BV_Data_An_Cour!$W:$W,$L$2)</f>
        <v>44511.639999999992</v>
      </c>
      <c r="M296" s="292">
        <f t="shared" ref="M296:M302" si="44">(+J296-D296)/D296</f>
        <v>0.50452186561415047</v>
      </c>
      <c r="N296" s="224">
        <f t="shared" ref="N296:N305" si="45">L296-F296</f>
        <v>14731.463916144614</v>
      </c>
      <c r="O296" s="178">
        <f t="array" ref="O296">+INDEX('Réel 2025'!$A$2:$AO$500,MATCH($A296,'Réel 2025'!$A$2:$A$500,0),MATCH(O$2,'Réel 2025'!$A$2:$AO$2,0))</f>
        <v>69391.56</v>
      </c>
      <c r="P296" s="207">
        <f t="shared" ref="P296:P304" si="46">IF(O296=0,0,Q296/O296)</f>
        <v>0.42826317782738993</v>
      </c>
      <c r="Q296" s="179">
        <f t="array" ref="Q296">+INDEX('Réel 2025'!$A$2:$AO$500,MATCH($A296,'Réel 2025'!$A$2:$A$500,0),MATCH(Q$2,'Réel 2025'!$A$2:$AO$2,0))</f>
        <v>29717.85</v>
      </c>
      <c r="R296" s="292">
        <f>IF(O296=0,0,(J296-O296)/O296)</f>
        <v>0.60617573664578228</v>
      </c>
      <c r="S296" s="196">
        <f t="shared" ref="S296:S301" si="47">L296-Q296</f>
        <v>14793.789999999994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0</v>
      </c>
      <c r="P297" s="207">
        <f t="shared" si="46"/>
        <v>0</v>
      </c>
      <c r="Q297" s="179">
        <f t="array" ref="Q297">+INDEX('Réel 2025'!$A$2:$AO$500,MATCH($A297,'Réel 2025'!$A$2:$A$500,0),MATCH(Q$2,'Réel 2025'!$A$2:$AO$2,0))</f>
        <v>0</v>
      </c>
      <c r="R297" s="292">
        <f t="shared" ref="R297:R304" si="49">IF(O297=0,0,(J297-O297)/O297)</f>
        <v>0</v>
      </c>
      <c r="S297" s="196">
        <f t="shared" si="47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72746.992857298566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20150.917021471705</v>
      </c>
      <c r="G298" s="194"/>
      <c r="H298" s="207"/>
      <c r="I298" s="196"/>
      <c r="J298" s="178">
        <f>-SUMIFS(BV_Data_An_Cour!$O:$O,BV_Data_An_Cour!$X:$X,"Oui",BV_Data_An_Cour!$U:$U,$B298,BV_Data_An_Cour!$V:$V,$C298)</f>
        <v>46610.36</v>
      </c>
      <c r="K298" s="207">
        <f t="shared" si="43"/>
        <v>0.29279456326876679</v>
      </c>
      <c r="L298" s="179">
        <f>-SUMIFS(BV_Data_An_Cour!$O:$O,BV_Data_An_Cour!$U:$U,$B298,BV_Data_An_Cour!$V:$V,$C298,BV_Data_An_Cour!$W:$W,$L$2)</f>
        <v>13647.259999999998</v>
      </c>
      <c r="M298" s="292">
        <f t="shared" si="44"/>
        <v>-0.35928128202589105</v>
      </c>
      <c r="N298" s="224">
        <f t="shared" si="45"/>
        <v>-6503.6570214717067</v>
      </c>
      <c r="O298" s="178">
        <f t="array" ref="O298">+INDEX('Réel 2025'!$A$2:$AO$500,MATCH($A298,'Réel 2025'!$A$2:$A$500,0),MATCH(O$2,'Réel 2025'!$A$2:$AO$2,0))</f>
        <v>84145.25</v>
      </c>
      <c r="P298" s="207">
        <f t="shared" si="46"/>
        <v>0.26860957689233794</v>
      </c>
      <c r="Q298" s="179">
        <f t="array" ref="Q298">+INDEX('Réel 2025'!$A$2:$AO$500,MATCH($A298,'Réel 2025'!$A$2:$A$500,0),MATCH(Q$2,'Réel 2025'!$A$2:$AO$2,0))</f>
        <v>22602.22</v>
      </c>
      <c r="R298" s="292">
        <f t="shared" si="49"/>
        <v>-0.44607259470974298</v>
      </c>
      <c r="S298" s="196">
        <f t="shared" si="47"/>
        <v>-8954.9600000000028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27600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9328.8000000000011</v>
      </c>
      <c r="G299" s="194"/>
      <c r="H299" s="207"/>
      <c r="I299" s="196"/>
      <c r="J299" s="178">
        <f>-SUMIFS(BV_Data_An_Cour!$O:$O,BV_Data_An_Cour!$X:$X,"Oui",BV_Data_An_Cour!$U:$U,$B299,BV_Data_An_Cour!$V:$V,$C299)</f>
        <v>25840.93</v>
      </c>
      <c r="K299" s="207">
        <f t="shared" si="43"/>
        <v>0.21396675738837578</v>
      </c>
      <c r="L299" s="179">
        <f>-SUMIFS(BV_Data_An_Cour!$O:$O,BV_Data_An_Cour!$U:$U,$B299,BV_Data_An_Cour!$V:$V,$C299,BV_Data_An_Cour!$W:$W,$L$2)</f>
        <v>5529.1000000000013</v>
      </c>
      <c r="M299" s="292">
        <f t="shared" si="44"/>
        <v>-6.3734420289855057E-2</v>
      </c>
      <c r="N299" s="224">
        <f t="shared" si="45"/>
        <v>-3799.7</v>
      </c>
      <c r="O299" s="178">
        <f t="array" ref="O299">+INDEX('Réel 2025'!$A$2:$AO$500,MATCH($A299,'Réel 2025'!$A$2:$A$500,0),MATCH(O$2,'Réel 2025'!$A$2:$AO$2,0))</f>
        <v>16698.669999999998</v>
      </c>
      <c r="P299" s="207">
        <f t="shared" si="46"/>
        <v>0.37965957767894098</v>
      </c>
      <c r="Q299" s="179">
        <f t="array" ref="Q299">+INDEX('Réel 2025'!$A$2:$AO$500,MATCH($A299,'Réel 2025'!$A$2:$A$500,0),MATCH(Q$2,'Réel 2025'!$A$2:$AO$2,0))</f>
        <v>6339.81</v>
      </c>
      <c r="R299" s="292">
        <f t="shared" si="49"/>
        <v>0.54748432060756957</v>
      </c>
      <c r="S299" s="196">
        <f t="shared" si="47"/>
        <v>-810.70999999999913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17361.874781996583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5746.7805528408689</v>
      </c>
      <c r="G300" s="194"/>
      <c r="H300" s="207"/>
      <c r="I300" s="196"/>
      <c r="J300" s="178">
        <f>-SUMIFS(BV_Data_An_Cour!$O:$O,BV_Data_An_Cour!$X:$X,"Oui",BV_Data_An_Cour!$U:$U,$B300,BV_Data_An_Cour!$V:$V,$C300)</f>
        <v>18732.53</v>
      </c>
      <c r="K300" s="207">
        <f t="shared" si="43"/>
        <v>0.35273291968570181</v>
      </c>
      <c r="L300" s="179">
        <f>-SUMIFS(BV_Data_An_Cour!$O:$O,BV_Data_An_Cour!$U:$U,$B300,BV_Data_An_Cour!$V:$V,$C300,BV_Data_An_Cour!$W:$W,$L$2)</f>
        <v>6607.579999999999</v>
      </c>
      <c r="M300" s="292">
        <f t="shared" si="44"/>
        <v>7.8946267912536644E-2</v>
      </c>
      <c r="N300" s="224">
        <f t="shared" si="45"/>
        <v>860.79944715913007</v>
      </c>
      <c r="O300" s="178">
        <f t="array" ref="O300">+INDEX('Réel 2025'!$A$2:$AO$500,MATCH($A300,'Réel 2025'!$A$2:$A$500,0),MATCH(O$2,'Réel 2025'!$A$2:$AO$2,0))</f>
        <v>17857.32</v>
      </c>
      <c r="P300" s="207">
        <f t="shared" si="46"/>
        <v>0.3781877683773377</v>
      </c>
      <c r="Q300" s="179">
        <f t="array" ref="Q300">+INDEX('Réel 2025'!$A$2:$AO$500,MATCH($A300,'Réel 2025'!$A$2:$A$500,0),MATCH(Q$2,'Réel 2025'!$A$2:$AO$2,0))</f>
        <v>6753.42</v>
      </c>
      <c r="R300" s="292">
        <f t="shared" si="49"/>
        <v>4.9011273808163773E-2</v>
      </c>
      <c r="S300" s="196">
        <f t="shared" si="47"/>
        <v>-145.84000000000106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110400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22080</v>
      </c>
      <c r="G301" s="194"/>
      <c r="H301" s="207"/>
      <c r="I301" s="196"/>
      <c r="J301" s="178">
        <f>-SUMIFS(BV_Data_An_Cour!$O:$O,BV_Data_An_Cour!$X:$X,"Oui",BV_Data_An_Cour!$U:$U,$B301,BV_Data_An_Cour!$V:$V,$C301)</f>
        <v>23218.63</v>
      </c>
      <c r="K301" s="207">
        <f t="shared" si="43"/>
        <v>8.3892546631735024E-2</v>
      </c>
      <c r="L301" s="179">
        <f>-SUMIFS(BV_Data_An_Cour!$O:$O,BV_Data_An_Cour!$U:$U,$B301,BV_Data_An_Cour!$V:$V,$C301,BV_Data_An_Cour!$W:$W,$L$2)</f>
        <v>1947.8700000000017</v>
      </c>
      <c r="M301" s="292">
        <f t="shared" si="44"/>
        <v>-0.78968632246376802</v>
      </c>
      <c r="N301" s="224">
        <f t="shared" si="45"/>
        <v>-20132.129999999997</v>
      </c>
      <c r="O301" s="178">
        <f t="array" ref="O301">+INDEX('Réel 2025'!$A$2:$AO$500,MATCH($A301,'Réel 2025'!$A$2:$A$500,0),MATCH(O$2,'Réel 2025'!$A$2:$AO$2,0))</f>
        <v>38006.58</v>
      </c>
      <c r="P301" s="207">
        <f t="shared" si="46"/>
        <v>0.18203347946592405</v>
      </c>
      <c r="Q301" s="179">
        <f t="array" ref="Q301">+INDEX('Réel 2025'!$A$2:$AO$500,MATCH($A301,'Réel 2025'!$A$2:$A$500,0),MATCH(Q$2,'Réel 2025'!$A$2:$AO$2,0))</f>
        <v>6918.47</v>
      </c>
      <c r="R301" s="292">
        <f t="shared" si="49"/>
        <v>-0.38908920507975198</v>
      </c>
      <c r="S301" s="196">
        <f t="shared" si="47"/>
        <v>-4970.5999999999985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11192.181764773542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27763.54</v>
      </c>
      <c r="M303" s="292"/>
      <c r="N303" s="224">
        <f t="shared" si="45"/>
        <v>16571.358235226457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3265.21</v>
      </c>
      <c r="R303" s="292">
        <f t="shared" si="49"/>
        <v>0</v>
      </c>
      <c r="S303" s="196">
        <f>L303-Q303</f>
        <v>24498.33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302188.90764888562</v>
      </c>
      <c r="E305" s="294">
        <f>IF(D305&lt;=0,0,F305/D305)</f>
        <v>0.32522323928955083</v>
      </c>
      <c r="F305" s="197">
        <f>SUM(F296:F304)</f>
        <v>98278.855422941502</v>
      </c>
      <c r="G305" s="195"/>
      <c r="H305" s="294"/>
      <c r="I305" s="197"/>
      <c r="J305" s="195">
        <f>SUM(J296:J304)</f>
        <v>225857.49</v>
      </c>
      <c r="K305" s="294">
        <f>IF(J305&lt;=0,0,L305/J305)</f>
        <v>0.44278801646117644</v>
      </c>
      <c r="L305" s="220">
        <f>SUM(L296:L304)</f>
        <v>100006.98999999999</v>
      </c>
      <c r="M305" s="295">
        <f>(+J305-D305)/D305</f>
        <v>-0.25259503481701379</v>
      </c>
      <c r="N305" s="220">
        <f t="shared" si="45"/>
        <v>1728.1345770584885</v>
      </c>
      <c r="O305" s="195">
        <f>SUM(O296:O304)</f>
        <v>226099.38</v>
      </c>
      <c r="P305" s="294">
        <f>IF(O305&lt;=0,0,Q305/O305)</f>
        <v>0.33435288500127686</v>
      </c>
      <c r="Q305" s="220">
        <f t="shared" ref="Q305" si="50">SUM(Q296:Q304)</f>
        <v>75596.98</v>
      </c>
      <c r="R305" s="295">
        <f>IF(O305=0,0,(J305-O305)/O305)</f>
        <v>-1.0698392892541941E-3</v>
      </c>
      <c r="S305" s="197">
        <f>L305-Q305</f>
        <v>24410.009999999995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1.7583991689987522E-2</v>
      </c>
      <c r="O306" s="222"/>
      <c r="P306" s="177"/>
      <c r="Q306" s="264"/>
      <c r="R306" s="222"/>
      <c r="S306" s="261">
        <f>IF(Q305=0,0,S305/Q305)</f>
        <v>0.32289662893940996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59316.085231414167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14829.021307853542</v>
      </c>
      <c r="G308" s="194"/>
      <c r="H308" s="207"/>
      <c r="I308" s="198"/>
      <c r="J308" s="178">
        <f>-SUMIFS(BV_Data_An_Cour!$O:$O,BV_Data_An_Cour!$X:$X,"Oui",BV_Data_An_Cour!$U:$U,$B308,BV_Data_An_Cour!$V:$V,$C308)</f>
        <v>37519.83</v>
      </c>
      <c r="K308" s="207">
        <f>IF(J308&lt;=0,0,L308/J308)</f>
        <v>0.21850845273019631</v>
      </c>
      <c r="L308" s="179">
        <f>-SUMIFS(BV_Data_An_Cour!$O:$O,BV_Data_An_Cour!$U:$U,$B308,BV_Data_An_Cour!$V:$V,$C308,BV_Data_An_Cour!$W:$W,$L$2)</f>
        <v>8198.4000000000015</v>
      </c>
      <c r="M308" s="292">
        <f>(+J308-D308)/D308</f>
        <v>-0.36745943611043863</v>
      </c>
      <c r="N308" s="224">
        <f>L308-F308</f>
        <v>-6630.6213078535402</v>
      </c>
      <c r="O308" s="178">
        <f t="array" ref="O308">+INDEX('Réel 2025'!$A$2:$AO$500,MATCH($A308,'Réel 2025'!$A$2:$A$500,0),MATCH(O$2,'Réel 2025'!$A$2:$AO$2,0))</f>
        <v>51192.24</v>
      </c>
      <c r="P308" s="207">
        <f t="shared" ref="P308:P309" si="51">IF(O308=0,0,Q308/O308)</f>
        <v>0.26016990075058255</v>
      </c>
      <c r="Q308" s="179">
        <f t="array" ref="Q308">+INDEX('Réel 2025'!$A$2:$AO$500,MATCH($A308,'Réel 2025'!$A$2:$A$500,0),MATCH(Q$2,'Réel 2025'!$A$2:$AO$2,0))</f>
        <v>13318.68</v>
      </c>
      <c r="R308" s="292">
        <f>IF(O308=0,0,(J308-O308)/O308)</f>
        <v>-0.26707973708515192</v>
      </c>
      <c r="S308" s="196">
        <f>L308-Q308</f>
        <v>-5120.2799999999988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14554.58235482435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5166.8767359626436</v>
      </c>
      <c r="G309" s="194"/>
      <c r="H309" s="207"/>
      <c r="I309" s="199"/>
      <c r="J309" s="178">
        <f>-SUMIFS(BV_Data_An_Cour!$O:$O,BV_Data_An_Cour!$X:$X,"Oui",BV_Data_An_Cour!$U:$U,$B309,BV_Data_An_Cour!$V:$V,$C309)</f>
        <v>18482.88</v>
      </c>
      <c r="K309" s="207">
        <f>IF(J309&lt;=0,0,L309/J309)</f>
        <v>0.33980959677279737</v>
      </c>
      <c r="L309" s="179">
        <f>-SUMIFS(BV_Data_An_Cour!$O:$O,BV_Data_An_Cour!$U:$U,$B309,BV_Data_An_Cour!$V:$V,$C309,BV_Data_An_Cour!$W:$W,$L$2)</f>
        <v>6280.6600000000017</v>
      </c>
      <c r="M309" s="292">
        <f>(+J309-D309)/D309</f>
        <v>0.26990109021393899</v>
      </c>
      <c r="N309" s="224">
        <f>L309-F309</f>
        <v>1113.7832640373581</v>
      </c>
      <c r="O309" s="178">
        <f t="array" ref="O309">+INDEX('Réel 2025'!$A$2:$AO$500,MATCH($A309,'Réel 2025'!$A$2:$A$500,0),MATCH(O$2,'Réel 2025'!$A$2:$AO$2,0))</f>
        <v>15796.7599999999</v>
      </c>
      <c r="P309" s="207">
        <f t="shared" si="51"/>
        <v>0.35621798394101234</v>
      </c>
      <c r="Q309" s="179">
        <f t="array" ref="Q309">+INDEX('Réel 2025'!$A$2:$AO$500,MATCH($A309,'Réel 2025'!$A$2:$A$500,0),MATCH(Q$2,'Réel 2025'!$A$2:$AO$2,0))</f>
        <v>5627.0899999999901</v>
      </c>
      <c r="R309" s="292">
        <f>IF(O309=0,0,(J309-O309)/O309)</f>
        <v>0.17004246440410045</v>
      </c>
      <c r="S309" s="196">
        <f>L309-Q309</f>
        <v>653.57000000001153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376059.57523512415</v>
      </c>
      <c r="E310" s="294">
        <f>IF(D310&lt;=0,0,F310/D310)</f>
        <v>0.31451068196524079</v>
      </c>
      <c r="F310" s="220">
        <f>F305+F308+F309</f>
        <v>118274.75346675768</v>
      </c>
      <c r="G310" s="221"/>
      <c r="H310" s="294"/>
      <c r="I310" s="220"/>
      <c r="J310" s="221">
        <f>J305+J308+J309</f>
        <v>281860.2</v>
      </c>
      <c r="K310" s="294">
        <f>IF(J310&lt;=0,0,L310/J310)</f>
        <v>0.40618026241377814</v>
      </c>
      <c r="L310" s="220">
        <f>L305+L308+L309</f>
        <v>114486.04999999999</v>
      </c>
      <c r="M310" s="295">
        <f>(+J310-D310)/D310</f>
        <v>-0.25049056436397815</v>
      </c>
      <c r="N310" s="220">
        <f>L310-F310</f>
        <v>-3788.7034667576954</v>
      </c>
      <c r="O310" s="221">
        <f>O305+O308+O309</f>
        <v>293088.37999999989</v>
      </c>
      <c r="P310" s="294">
        <f>IF(O310&lt;=0,0,Q310/O310)</f>
        <v>0.3225742009969827</v>
      </c>
      <c r="Q310" s="220">
        <f t="shared" ref="Q310" si="52">Q305+Q308+Q309</f>
        <v>94542.75</v>
      </c>
      <c r="R310" s="295">
        <f>IF(O310=0,0,(J310-O310)/O310)</f>
        <v>-3.8309877723572257E-2</v>
      </c>
      <c r="S310" s="197">
        <f>L310-Q310</f>
        <v>19943.299999999988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-3.2033070082217917E-2</v>
      </c>
      <c r="O311" s="222"/>
      <c r="P311" s="177"/>
      <c r="Q311" s="264"/>
      <c r="R311" s="222"/>
      <c r="S311" s="261">
        <f>IF(Q310=0,0,S310/Q310)</f>
        <v>0.21094478423781821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376059.57523512415</v>
      </c>
      <c r="E315" s="71">
        <f>IF(D315&lt;=0,0,F315/D315)</f>
        <v>0.31451068196524079</v>
      </c>
      <c r="F315" s="28">
        <f>F310+F313</f>
        <v>118274.75346675768</v>
      </c>
      <c r="G315" s="29"/>
      <c r="H315" s="71"/>
      <c r="I315" s="28"/>
      <c r="J315" s="29">
        <f>J310+J313</f>
        <v>281860.2</v>
      </c>
      <c r="K315" s="71">
        <f>IF(J315&lt;=0,0,L315/J315)</f>
        <v>0.40618026241377814</v>
      </c>
      <c r="L315" s="28">
        <f>L310+L313</f>
        <v>114486.04999999999</v>
      </c>
      <c r="M315" s="72">
        <f>(+J315-D315)/D315</f>
        <v>-0.25049056436397815</v>
      </c>
      <c r="N315" s="73">
        <f>L315-F315</f>
        <v>-3788.7034667576954</v>
      </c>
      <c r="O315" s="29">
        <f>O310+O313</f>
        <v>293088.37999999989</v>
      </c>
      <c r="P315" s="71">
        <f>IF(O315&lt;=0,0,Q315/O315)</f>
        <v>0.3225742009969827</v>
      </c>
      <c r="Q315" s="28">
        <f t="shared" ref="Q315" si="53">Q310+Q313</f>
        <v>94542.75</v>
      </c>
      <c r="R315" s="72">
        <f>IF(O315=0,0,(J315-O315)/O315)</f>
        <v>-3.8309877723572257E-2</v>
      </c>
      <c r="S315" s="256">
        <f>L315-Q315</f>
        <v>19943.299999999988</v>
      </c>
      <c r="T315" s="25"/>
      <c r="U315" s="25"/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-3.2033070082217917E-2</v>
      </c>
      <c r="O316" s="77"/>
      <c r="P316" s="75"/>
      <c r="Q316" s="76"/>
      <c r="R316" s="78"/>
      <c r="S316" s="258">
        <f>IF(Q315=0,0,S315/Q315)</f>
        <v>0.21094478423781821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4686.9938697318012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1757.12</v>
      </c>
      <c r="M319" s="222"/>
      <c r="N319" s="224">
        <f t="shared" ref="N319:N349" si="54">L319-F319</f>
        <v>-2929.8738697318013</v>
      </c>
      <c r="O319" s="222"/>
      <c r="P319" s="177"/>
      <c r="Q319" s="179">
        <f t="array" ref="Q319">+INDEX('Réel 2025'!$A$2:$AO$500,MATCH($A319,'Réel 2025'!$A$2:$A$500,0),MATCH(Q$2,'Réel 2025'!$A$2:$AO$2,0))</f>
        <v>4407.5200000000004</v>
      </c>
      <c r="R319" s="222"/>
      <c r="S319" s="196">
        <f t="shared" ref="S319:S344" si="55">L319-Q319</f>
        <v>-2650.4000000000005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2533.2311034482759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1685.64</v>
      </c>
      <c r="M320" s="222"/>
      <c r="N320" s="224">
        <f t="shared" si="54"/>
        <v>-847.59110344827582</v>
      </c>
      <c r="O320" s="222"/>
      <c r="P320" s="177"/>
      <c r="Q320" s="179">
        <f t="array" ref="Q320">+INDEX('Réel 2025'!$A$2:$AO$500,MATCH($A320,'Réel 2025'!$A$2:$A$500,0),MATCH(Q$2,'Réel 2025'!$A$2:$AO$2,0))</f>
        <v>2584.0700000000002</v>
      </c>
      <c r="R320" s="222"/>
      <c r="S320" s="196">
        <f t="shared" si="55"/>
        <v>-898.43000000000006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19699.114903698384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16615.14</v>
      </c>
      <c r="M321" s="272"/>
      <c r="N321" s="273">
        <f t="shared" si="54"/>
        <v>-3083.9749036983849</v>
      </c>
      <c r="O321" s="272"/>
      <c r="P321" s="270"/>
      <c r="Q321" s="180">
        <f t="array" ref="Q321">+INDEX('Réel 2025'!$A$2:$AO$500,MATCH($A321,'Réel 2025'!$A$2:$A$500,0),MATCH(Q$2,'Réel 2025'!$A$2:$AO$2,0))</f>
        <v>11880.96</v>
      </c>
      <c r="R321" s="272"/>
      <c r="S321" s="198">
        <f t="shared" si="55"/>
        <v>4734.18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3988.4598224346064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3239.52</v>
      </c>
      <c r="M326" s="222"/>
      <c r="N326" s="224">
        <f t="shared" si="54"/>
        <v>-748.93982243460641</v>
      </c>
      <c r="O326" s="222"/>
      <c r="P326" s="177"/>
      <c r="Q326" s="179">
        <f t="array" ref="Q326">+INDEX('Réel 2025'!$A$2:$AO$500,MATCH($A326,'Réel 2025'!$A$2:$A$500,0),MATCH(Q$2,'Réel 2025'!$A$2:$AO$2,0))</f>
        <v>3424.88</v>
      </c>
      <c r="R326" s="222"/>
      <c r="S326" s="196">
        <f t="shared" si="55"/>
        <v>-185.36000000000013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3804.6205497439073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3168.96</v>
      </c>
      <c r="M327" s="272"/>
      <c r="N327" s="273">
        <f t="shared" si="54"/>
        <v>-635.66054974390727</v>
      </c>
      <c r="O327" s="272"/>
      <c r="P327" s="270"/>
      <c r="Q327" s="180">
        <f t="array" ref="Q327">+INDEX('Réel 2025'!$A$2:$AO$500,MATCH($A327,'Réel 2025'!$A$2:$A$500,0),MATCH(Q$2,'Réel 2025'!$A$2:$AO$2,0))</f>
        <v>4926.8500000000004</v>
      </c>
      <c r="R327" s="272"/>
      <c r="S327" s="198">
        <f t="shared" si="55"/>
        <v>-1757.8900000000003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2982.8225109992236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2797.91</v>
      </c>
      <c r="M328" s="222"/>
      <c r="N328" s="224">
        <f t="shared" si="54"/>
        <v>-184.91251099922374</v>
      </c>
      <c r="O328" s="222"/>
      <c r="P328" s="177"/>
      <c r="Q328" s="179">
        <f t="array" ref="Q328">+INDEX('Réel 2025'!$A$2:$AO$500,MATCH($A328,'Réel 2025'!$A$2:$A$500,0),MATCH(Q$2,'Réel 2025'!$A$2:$AO$2,0))</f>
        <v>2818.49</v>
      </c>
      <c r="R328" s="222"/>
      <c r="S328" s="196">
        <f t="shared" si="55"/>
        <v>-20.579999999999927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745.7056277498059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525.44000000000005</v>
      </c>
      <c r="M329" s="722"/>
      <c r="N329" s="193">
        <f t="shared" si="54"/>
        <v>-220.26562774980584</v>
      </c>
      <c r="O329" s="222"/>
      <c r="P329" s="177"/>
      <c r="Q329" s="179">
        <f t="array" ref="Q329">+INDEX('Réel 2025'!$A$2:$AO$500,MATCH($A329,'Réel 2025'!$A$2:$A$500,0),MATCH(Q$2,'Réel 2025'!$A$2:$AO$2,0))</f>
        <v>871.61</v>
      </c>
      <c r="R329" s="222"/>
      <c r="S329" s="196">
        <f t="shared" si="55"/>
        <v>-346.16999999999996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0.32501398025412259</v>
      </c>
      <c r="F331" s="41">
        <f>+SUM(F319:F330)</f>
        <v>38440.948387805998</v>
      </c>
      <c r="G331" s="42"/>
      <c r="H331" s="40"/>
      <c r="I331" s="41"/>
      <c r="J331" s="42" t="s">
        <v>108</v>
      </c>
      <c r="K331" s="40">
        <f>L331/L$315</f>
        <v>0.26020401612248834</v>
      </c>
      <c r="L331" s="41">
        <f>+SUM(L319:L330)</f>
        <v>29789.73</v>
      </c>
      <c r="M331" s="43"/>
      <c r="N331" s="46">
        <f t="shared" si="54"/>
        <v>-8651.2183878059986</v>
      </c>
      <c r="O331" s="42" t="s">
        <v>108</v>
      </c>
      <c r="P331" s="40">
        <f>Q331/Q$315</f>
        <v>0.32698837298470795</v>
      </c>
      <c r="Q331" s="41">
        <f>+SUM(Q319:Q330)</f>
        <v>30914.379999999997</v>
      </c>
      <c r="R331" s="43"/>
      <c r="S331" s="280">
        <f t="shared" si="55"/>
        <v>-1124.6499999999978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1193.3497491888591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448.96</v>
      </c>
      <c r="M332" s="222"/>
      <c r="N332" s="224">
        <f t="shared" si="54"/>
        <v>-744.38974918885901</v>
      </c>
      <c r="O332" s="222"/>
      <c r="P332" s="177"/>
      <c r="Q332" s="179">
        <f t="array" ref="Q332">+INDEX('Réel 2025'!$A$2:$AO$500,MATCH($A332,'Réel 2025'!$A$2:$A$500,0),MATCH(Q$2,'Réel 2025'!$A$2:$AO$2,0))</f>
        <v>2421.9499999999998</v>
      </c>
      <c r="R332" s="222"/>
      <c r="S332" s="196">
        <f t="shared" si="55"/>
        <v>-1972.9899999999998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213.25</v>
      </c>
      <c r="M333" s="222"/>
      <c r="N333" s="224">
        <f t="shared" si="54"/>
        <v>-411.75</v>
      </c>
      <c r="O333" s="222"/>
      <c r="P333" s="177"/>
      <c r="Q333" s="179">
        <f t="array" ref="Q333">+INDEX('Réel 2025'!$A$2:$AO$500,MATCH($A333,'Réel 2025'!$A$2:$A$500,0),MATCH(Q$2,'Réel 2025'!$A$2:$AO$2,0))</f>
        <v>0</v>
      </c>
      <c r="R333" s="222"/>
      <c r="S333" s="196">
        <f t="shared" si="55"/>
        <v>213.25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5187.74</v>
      </c>
      <c r="M334" s="277"/>
      <c r="N334" s="278">
        <f t="shared" si="54"/>
        <v>364.07333333333281</v>
      </c>
      <c r="O334" s="277"/>
      <c r="P334" s="275"/>
      <c r="Q334" s="179">
        <f t="array" ref="Q334">+INDEX('Réel 2025'!$A$2:$AO$500,MATCH($A334,'Réel 2025'!$A$2:$A$500,0),MATCH(Q$2,'Réel 2025'!$A$2:$AO$2,0))</f>
        <v>5672.7599999999902</v>
      </c>
      <c r="R334" s="277"/>
      <c r="S334" s="199">
        <f t="shared" si="55"/>
        <v>-485.01999999999043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2173.69</v>
      </c>
      <c r="M335" s="222"/>
      <c r="N335" s="224">
        <f t="shared" si="54"/>
        <v>-477.78533333333371</v>
      </c>
      <c r="O335" s="222"/>
      <c r="P335" s="177"/>
      <c r="Q335" s="180">
        <f t="array" ref="Q335">+INDEX('Réel 2025'!$A$2:$AO$500,MATCH($A335,'Réel 2025'!$A$2:$A$500,0),MATCH(Q$2,'Réel 2025'!$A$2:$AO$2,0))</f>
        <v>2052.11</v>
      </c>
      <c r="R335" s="222"/>
      <c r="S335" s="196">
        <f t="shared" si="55"/>
        <v>121.57999999999993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1566.31</v>
      </c>
      <c r="M336" s="222"/>
      <c r="N336" s="224">
        <f t="shared" si="54"/>
        <v>567.97666666666669</v>
      </c>
      <c r="O336" s="222"/>
      <c r="P336" s="177"/>
      <c r="Q336" s="179">
        <f t="array" ref="Q336">+INDEX('Réel 2025'!$A$2:$AO$500,MATCH($A336,'Réel 2025'!$A$2:$A$500,0),MATCH(Q$2,'Réel 2025'!$A$2:$AO$2,0))</f>
        <v>165.84</v>
      </c>
      <c r="R336" s="222"/>
      <c r="S336" s="196">
        <f t="shared" si="55"/>
        <v>1400.47</v>
      </c>
      <c r="T336" s="25"/>
      <c r="U336" s="25"/>
      <c r="V336" s="1039" t="s">
        <v>3125</v>
      </c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1548.64</v>
      </c>
      <c r="M337" s="277"/>
      <c r="N337" s="278">
        <f t="shared" si="54"/>
        <v>230.06400000000008</v>
      </c>
      <c r="O337" s="277"/>
      <c r="P337" s="275"/>
      <c r="Q337" s="349">
        <f t="array" ref="Q337">+INDEX('Réel 2025'!$A$2:$AO$500,MATCH($A337,'Réel 2025'!$A$2:$A$500,0),MATCH(Q$2,'Réel 2025'!$A$2:$AO$2,0))</f>
        <v>2035.41</v>
      </c>
      <c r="R337" s="277"/>
      <c r="S337" s="199">
        <f t="shared" si="55"/>
        <v>-486.77</v>
      </c>
      <c r="T337" s="25"/>
      <c r="U337" s="25"/>
      <c r="V337" s="1039" t="s">
        <v>3126</v>
      </c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213.77</v>
      </c>
      <c r="M339" s="222"/>
      <c r="N339" s="224">
        <f t="shared" si="54"/>
        <v>198.77</v>
      </c>
      <c r="O339" s="222"/>
      <c r="P339" s="177"/>
      <c r="Q339" s="179">
        <f t="array" ref="Q339">+INDEX('Réel 2025'!$A$2:$AO$500,MATCH($A339,'Réel 2025'!$A$2:$A$500,0),MATCH(Q$2,'Réel 2025'!$A$2:$AO$2,0))</f>
        <v>27.06</v>
      </c>
      <c r="R339" s="222"/>
      <c r="S339" s="196">
        <f t="shared" si="55"/>
        <v>186.71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93.24</v>
      </c>
      <c r="M340" s="222"/>
      <c r="N340" s="224">
        <f t="shared" si="54"/>
        <v>55.739999999999995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55"/>
        <v>93.24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229.56</v>
      </c>
      <c r="M341" s="222"/>
      <c r="N341" s="224">
        <f t="shared" si="54"/>
        <v>-60.44</v>
      </c>
      <c r="O341" s="222"/>
      <c r="P341" s="177"/>
      <c r="Q341" s="472">
        <f t="array" ref="Q341">+INDEX('Réel 2025'!$A$2:$AO$500,MATCH($A341,'Réel 2025'!$A$2:$A$500,0),MATCH(Q$2,'Réel 2025'!$A$2:$AO$2,0))</f>
        <v>149.72</v>
      </c>
      <c r="R341" s="222"/>
      <c r="S341" s="196">
        <f t="shared" si="55"/>
        <v>79.84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118.77</v>
      </c>
      <c r="M342" s="222"/>
      <c r="N342" s="224">
        <f t="shared" si="54"/>
        <v>4.9699999999999989</v>
      </c>
      <c r="O342" s="222"/>
      <c r="P342" s="177"/>
      <c r="Q342" s="179">
        <f t="array" ref="Q342">+INDEX('Réel 2025'!$A$2:$AO$500,MATCH($A342,'Réel 2025'!$A$2:$A$500,0),MATCH(Q$2,'Réel 2025'!$A$2:$AO$2,0))</f>
        <v>106.82</v>
      </c>
      <c r="R342" s="222"/>
      <c r="S342" s="196">
        <f t="shared" si="55"/>
        <v>11.950000000000003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-1441.73</v>
      </c>
      <c r="M343" s="222"/>
      <c r="N343" s="224">
        <f t="shared" si="54"/>
        <v>-3813.396666666667</v>
      </c>
      <c r="O343" s="222"/>
      <c r="P343" s="177"/>
      <c r="Q343" s="179">
        <f t="array" ref="Q343">+INDEX('Réel 2025'!$A$2:$AO$500,MATCH($A343,'Réel 2025'!$A$2:$A$500,0),MATCH(Q$2,'Réel 2025'!$A$2:$AO$2,0))</f>
        <v>165.58</v>
      </c>
      <c r="R343" s="222"/>
      <c r="S343" s="196">
        <f t="shared" si="55"/>
        <v>-1607.31</v>
      </c>
      <c r="T343" s="25"/>
      <c r="U343" s="25"/>
      <c r="V343" s="1039" t="s">
        <v>3130</v>
      </c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260.74</v>
      </c>
      <c r="M344" s="222"/>
      <c r="N344" s="224">
        <f t="shared" si="54"/>
        <v>-44.593333333333305</v>
      </c>
      <c r="O344" s="222"/>
      <c r="P344" s="177"/>
      <c r="Q344" s="179">
        <f t="array" ref="Q344">+INDEX('Réel 2025'!$A$2:$AO$500,MATCH($A344,'Réel 2025'!$A$2:$A$500,0),MATCH(Q$2,'Réel 2025'!$A$2:$AO$2,0))</f>
        <v>385.18999999999897</v>
      </c>
      <c r="R344" s="222"/>
      <c r="S344" s="196">
        <f t="shared" si="55"/>
        <v>-124.44999999999897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605</v>
      </c>
      <c r="M345" s="222"/>
      <c r="N345" s="224">
        <f t="shared" si="54"/>
        <v>452.53599999999994</v>
      </c>
      <c r="O345" s="222"/>
      <c r="P345" s="177"/>
      <c r="Q345" s="179">
        <f t="array" ref="Q345">+INDEX('Réel 2025'!$A$2:$AO$500,MATCH($A345,'Réel 2025'!$A$2:$A$500,0),MATCH(Q$2,'Réel 2025'!$A$2:$AO$2,0))</f>
        <v>121.42</v>
      </c>
      <c r="R345" s="222"/>
      <c r="S345" s="196">
        <f>L345-Q345</f>
        <v>483.58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1609.9379062078954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1567.87</v>
      </c>
      <c r="M346" s="222"/>
      <c r="N346" s="224">
        <f t="shared" si="54"/>
        <v>-42.067906207895476</v>
      </c>
      <c r="O346" s="222"/>
      <c r="P346" s="177"/>
      <c r="Q346" s="179">
        <f t="array" ref="Q346">+INDEX('Réel 2025'!$A$2:$AO$500,MATCH($A346,'Réel 2025'!$A$2:$A$500,0),MATCH(Q$2,'Réel 2025'!$A$2:$AO$2,0))</f>
        <v>1337.84</v>
      </c>
      <c r="R346" s="222"/>
      <c r="S346" s="196">
        <f>L346-Q346</f>
        <v>230.02999999999997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">
      <c r="B350" s="2"/>
      <c r="C350" s="279" t="s">
        <v>132</v>
      </c>
      <c r="D350" s="39" t="s">
        <v>108</v>
      </c>
      <c r="E350" s="40">
        <f>F350/F$315</f>
        <v>0.13955728086441793</v>
      </c>
      <c r="F350" s="41">
        <f>+SUM(F332:F349)</f>
        <v>16506.10298873009</v>
      </c>
      <c r="G350" s="42"/>
      <c r="H350" s="40"/>
      <c r="I350" s="41"/>
      <c r="J350" s="42" t="s">
        <v>108</v>
      </c>
      <c r="K350" s="40">
        <f>L350/L$315</f>
        <v>0.11168006931848901</v>
      </c>
      <c r="L350" s="41">
        <f>+SUM(L332:L349)</f>
        <v>12785.809999999998</v>
      </c>
      <c r="M350" s="44"/>
      <c r="N350" s="41">
        <f>+SUM(N332:N349)</f>
        <v>-3720.2929887300888</v>
      </c>
      <c r="O350" s="42" t="s">
        <v>108</v>
      </c>
      <c r="P350" s="40">
        <f>Q350/Q$315</f>
        <v>0.15486856474980881</v>
      </c>
      <c r="Q350" s="41">
        <f>+SUM(Q332:Q349)</f>
        <v>14641.699999999988</v>
      </c>
      <c r="R350" s="44"/>
      <c r="S350" s="284">
        <f>+SUM(S332:S349)</f>
        <v>-1855.8899999999892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">
      <c r="B352" s="2"/>
      <c r="C352" s="279" t="s">
        <v>133</v>
      </c>
      <c r="D352" s="39" t="s">
        <v>108</v>
      </c>
      <c r="E352" s="40">
        <f>F352/F$315</f>
        <v>0.46457126111854052</v>
      </c>
      <c r="F352" s="41">
        <f>F331+F350</f>
        <v>54947.051376536088</v>
      </c>
      <c r="G352" s="42"/>
      <c r="H352" s="40"/>
      <c r="I352" s="41"/>
      <c r="J352" s="42" t="s">
        <v>108</v>
      </c>
      <c r="K352" s="40">
        <f>L352/L$315</f>
        <v>0.37188408544097729</v>
      </c>
      <c r="L352" s="41">
        <f>L331+L350</f>
        <v>42575.539999999994</v>
      </c>
      <c r="M352" s="44"/>
      <c r="N352" s="46">
        <f>L352-F352</f>
        <v>-12371.511376536095</v>
      </c>
      <c r="O352" s="42" t="s">
        <v>108</v>
      </c>
      <c r="P352" s="40">
        <f>Q352/Q$315</f>
        <v>0.48185693773451677</v>
      </c>
      <c r="Q352" s="41">
        <f>Q331+Q350</f>
        <v>45556.079999999987</v>
      </c>
      <c r="R352" s="44"/>
      <c r="S352" s="280">
        <f>L352-Q352</f>
        <v>-2980.5399999999936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63327.702090221595</v>
      </c>
      <c r="G354" s="306"/>
      <c r="H354" s="304"/>
      <c r="I354" s="305"/>
      <c r="J354" s="307"/>
      <c r="K354" s="308"/>
      <c r="L354" s="305">
        <f>L315-L352</f>
        <v>71910.509999999995</v>
      </c>
      <c r="M354" s="307"/>
      <c r="N354" s="305">
        <f>L354-F354</f>
        <v>8582.8079097783993</v>
      </c>
      <c r="O354" s="307"/>
      <c r="P354" s="308"/>
      <c r="Q354" s="305">
        <f>Q315-Q352</f>
        <v>48986.670000000013</v>
      </c>
      <c r="R354" s="307"/>
      <c r="S354" s="309">
        <f>L354-Q354</f>
        <v>22923.839999999982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Juillet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8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6"/>
      <c r="H359" s="1434"/>
      <c r="I359" s="1435"/>
      <c r="J359" s="1436" t="s">
        <v>78</v>
      </c>
      <c r="K359" s="1434"/>
      <c r="L359" s="1435"/>
      <c r="M359" s="1436"/>
      <c r="N359" s="1435"/>
      <c r="O359" s="1433" t="s">
        <v>79</v>
      </c>
      <c r="P359" s="1434"/>
      <c r="Q359" s="1435"/>
      <c r="R359" s="1436" t="s">
        <v>80</v>
      </c>
      <c r="S359" s="1439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">
      <c r="B402" s="2"/>
      <c r="C402" s="25"/>
      <c r="D402" s="25"/>
      <c r="E402" s="25"/>
      <c r="F402" s="37">
        <f>F354+F290+F234</f>
        <v>97406.933471348544</v>
      </c>
      <c r="G402" s="25"/>
      <c r="H402" s="25"/>
      <c r="I402" s="25"/>
      <c r="J402" s="25"/>
      <c r="K402" s="25"/>
      <c r="L402" s="37">
        <f>L354+L290+L234</f>
        <v>111623.98999999999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>
        <f>L402/F402</f>
        <v>1.1459552828735058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Juillet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9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0" t="s">
        <v>186</v>
      </c>
      <c r="Y405" s="1431"/>
      <c r="Z405" s="1441"/>
      <c r="AA405" s="1430"/>
      <c r="AB405" s="1431"/>
      <c r="AC405" s="1441"/>
      <c r="AD405" s="1430" t="s">
        <v>78</v>
      </c>
      <c r="AE405" s="1431"/>
      <c r="AF405" s="1441"/>
      <c r="AG405" s="1430" t="s">
        <v>2441</v>
      </c>
      <c r="AH405" s="1431"/>
      <c r="AI405" s="1441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4439642.332058968</v>
      </c>
      <c r="AA407" s="387"/>
      <c r="AB407" s="387"/>
      <c r="AC407" s="388"/>
      <c r="AD407" s="389"/>
      <c r="AE407" s="390"/>
      <c r="AF407" s="390">
        <f>L5+L93+K195+K251+J315+J363</f>
        <v>5110733.7100000009</v>
      </c>
      <c r="AG407" s="389"/>
      <c r="AH407" s="390"/>
      <c r="AI407" s="391"/>
      <c r="AJ407" s="389"/>
      <c r="AK407" s="390"/>
      <c r="AL407" s="390">
        <f>Q5+Q93+P195+P251+O315+O363</f>
        <v>3552385.36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485200.76480110514</v>
      </c>
      <c r="AA408" s="81"/>
      <c r="AB408" s="81"/>
      <c r="AC408" s="82"/>
      <c r="AD408" s="83"/>
      <c r="AE408" s="84"/>
      <c r="AF408" s="84">
        <f>L27+L109+L195+L251+L315+L363</f>
        <v>479257.63999999996</v>
      </c>
      <c r="AG408" s="83"/>
      <c r="AH408" s="84">
        <f>AF408-Z408</f>
        <v>-5943.1248011051794</v>
      </c>
      <c r="AI408" s="85">
        <f>AH408/Z408</f>
        <v>-1.224879520447871E-2</v>
      </c>
      <c r="AJ408" s="83">
        <f>+AL408/AL407</f>
        <v>0.11745447290099169</v>
      </c>
      <c r="AK408" s="84"/>
      <c r="AL408" s="84">
        <f>Q27+Q109+Q195+Q251+Q315+Q363</f>
        <v>417243.54999999958</v>
      </c>
      <c r="AM408" s="86"/>
      <c r="AN408" s="84">
        <f>AF408-AL408</f>
        <v>62014.090000000375</v>
      </c>
      <c r="AO408" s="395">
        <f>IF(AL408=0,0,AN408/AL408)</f>
        <v>0.1486280375095084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942.10730903501758</v>
      </c>
      <c r="Z410" s="87">
        <f t="shared" ref="Z410:Z416" si="61">+SUMIF($C:$C,$V410,F:F)</f>
        <v>39568.506979470738</v>
      </c>
      <c r="AA410" s="397"/>
      <c r="AB410" s="403"/>
      <c r="AC410" s="87"/>
      <c r="AD410" s="404"/>
      <c r="AE410" s="403">
        <f t="shared" ref="AE410:AE415" si="62">IF(AF410=0,0,AF410/(J$13+J$97))</f>
        <v>1021.3636</v>
      </c>
      <c r="AF410" s="87">
        <f t="shared" ref="AF410:AF416" si="63">+SUMIF($C:$C,$V410,L:L)</f>
        <v>51068.18</v>
      </c>
      <c r="AG410" s="398">
        <f t="shared" ref="AG410:AG419" si="64">AE410-Y410</f>
        <v>79.256290964982441</v>
      </c>
      <c r="AH410" s="399">
        <f t="shared" ref="AH410:AH419" si="65">AF410-Z410</f>
        <v>11499.673020529262</v>
      </c>
      <c r="AI410" s="400">
        <f t="shared" ref="AI410:AI419" si="66">IF(Z410=0,0,AH410/Z410)</f>
        <v>0.29062691262259704</v>
      </c>
      <c r="AJ410" s="404"/>
      <c r="AK410" s="399">
        <f t="shared" ref="AK410:AK419" si="67">AL410/(O$13+O$97)</f>
        <v>928.81366666666668</v>
      </c>
      <c r="AL410" s="87">
        <f t="shared" ref="AL410:AL415" si="68">+SUMIF($C:$C,$V410,Q:Q)</f>
        <v>27864.41</v>
      </c>
      <c r="AM410" s="401">
        <f t="shared" ref="AM410:AM415" si="69">AE410-Y410</f>
        <v>79.256290964982441</v>
      </c>
      <c r="AN410" s="399">
        <f t="shared" ref="AN410:AN415" si="70">AF410-AL410</f>
        <v>23203.77</v>
      </c>
      <c r="AO410" s="211">
        <f t="shared" ref="AO410:AO432" si="71">IF(AL410=0,0,AN410/AL410)</f>
        <v>0.83273860813848199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475.42857142857144</v>
      </c>
      <c r="Z411" s="388">
        <f t="shared" si="61"/>
        <v>19968</v>
      </c>
      <c r="AA411" s="387"/>
      <c r="AB411" s="406"/>
      <c r="AC411" s="388"/>
      <c r="AD411" s="407"/>
      <c r="AE411" s="406">
        <f t="shared" si="62"/>
        <v>116.32080000000001</v>
      </c>
      <c r="AF411" s="388">
        <f t="shared" si="63"/>
        <v>5816.04</v>
      </c>
      <c r="AG411" s="389">
        <f t="shared" si="64"/>
        <v>-359.10777142857143</v>
      </c>
      <c r="AH411" s="390">
        <f t="shared" si="65"/>
        <v>-14151.96</v>
      </c>
      <c r="AI411" s="408">
        <f t="shared" si="66"/>
        <v>-0.70873197115384612</v>
      </c>
      <c r="AJ411" s="407"/>
      <c r="AK411" s="390">
        <f t="shared" si="67"/>
        <v>823.69333333333338</v>
      </c>
      <c r="AL411" s="388">
        <f t="shared" si="68"/>
        <v>24710.800000000003</v>
      </c>
      <c r="AM411" s="392">
        <f t="shared" si="69"/>
        <v>-359.10777142857143</v>
      </c>
      <c r="AN411" s="390">
        <f t="shared" si="70"/>
        <v>-18894.760000000002</v>
      </c>
      <c r="AO411" s="212">
        <f t="shared" si="71"/>
        <v>-0.76463570584521745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108.57142857142857</v>
      </c>
      <c r="Z412" s="87">
        <f t="shared" si="61"/>
        <v>4560</v>
      </c>
      <c r="AA412" s="397"/>
      <c r="AB412" s="403"/>
      <c r="AC412" s="87"/>
      <c r="AD412" s="404"/>
      <c r="AE412" s="403">
        <f t="shared" si="62"/>
        <v>180.27260000000001</v>
      </c>
      <c r="AF412" s="87">
        <f t="shared" si="63"/>
        <v>9013.630000000001</v>
      </c>
      <c r="AG412" s="398">
        <f t="shared" si="64"/>
        <v>71.701171428571442</v>
      </c>
      <c r="AH412" s="399">
        <f t="shared" si="65"/>
        <v>4453.630000000001</v>
      </c>
      <c r="AI412" s="400">
        <f t="shared" si="66"/>
        <v>0.97667324561403535</v>
      </c>
      <c r="AJ412" s="404"/>
      <c r="AK412" s="399">
        <f t="shared" si="67"/>
        <v>148.99933333333331</v>
      </c>
      <c r="AL412" s="87">
        <f t="shared" si="68"/>
        <v>4469.9799999999996</v>
      </c>
      <c r="AM412" s="401">
        <f t="shared" si="69"/>
        <v>71.701171428571442</v>
      </c>
      <c r="AN412" s="399">
        <f t="shared" si="70"/>
        <v>4543.6500000000015</v>
      </c>
      <c r="AO412" s="211">
        <f t="shared" si="71"/>
        <v>1.0164810580807973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63.214285714285715</v>
      </c>
      <c r="Z413" s="87">
        <f t="shared" si="61"/>
        <v>2655</v>
      </c>
      <c r="AA413" s="397"/>
      <c r="AB413" s="403"/>
      <c r="AC413" s="87"/>
      <c r="AD413" s="404"/>
      <c r="AE413" s="403">
        <f t="shared" si="62"/>
        <v>119.501</v>
      </c>
      <c r="AF413" s="87">
        <f t="shared" si="63"/>
        <v>5975.05</v>
      </c>
      <c r="AG413" s="398">
        <f t="shared" si="64"/>
        <v>56.286714285714289</v>
      </c>
      <c r="AH413" s="399">
        <f t="shared" si="65"/>
        <v>3320.05</v>
      </c>
      <c r="AI413" s="400">
        <f t="shared" si="66"/>
        <v>1.2504896421845575</v>
      </c>
      <c r="AJ413" s="404"/>
      <c r="AK413" s="399">
        <f t="shared" si="67"/>
        <v>57.684666666666665</v>
      </c>
      <c r="AL413" s="87">
        <f t="shared" si="68"/>
        <v>1730.54</v>
      </c>
      <c r="AM413" s="401">
        <f t="shared" si="69"/>
        <v>56.286714285714289</v>
      </c>
      <c r="AN413" s="399">
        <f t="shared" si="70"/>
        <v>4244.51</v>
      </c>
      <c r="AO413" s="213">
        <f t="shared" si="71"/>
        <v>2.4527084031573962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77.333333333333329</v>
      </c>
      <c r="Z414" s="388">
        <f t="shared" si="61"/>
        <v>3248</v>
      </c>
      <c r="AA414" s="387"/>
      <c r="AB414" s="406"/>
      <c r="AC414" s="388"/>
      <c r="AD414" s="407"/>
      <c r="AE414" s="406">
        <f t="shared" si="62"/>
        <v>65.207599999999999</v>
      </c>
      <c r="AF414" s="388">
        <f t="shared" si="63"/>
        <v>3260.38</v>
      </c>
      <c r="AG414" s="389">
        <f t="shared" si="64"/>
        <v>-12.125733333333329</v>
      </c>
      <c r="AH414" s="390">
        <f t="shared" si="65"/>
        <v>12.380000000000109</v>
      </c>
      <c r="AI414" s="408">
        <f t="shared" si="66"/>
        <v>3.8115763546798364E-3</v>
      </c>
      <c r="AJ414" s="407"/>
      <c r="AK414" s="390">
        <f t="shared" si="67"/>
        <v>279.80933333333337</v>
      </c>
      <c r="AL414" s="388">
        <f t="shared" si="68"/>
        <v>8394.2800000000007</v>
      </c>
      <c r="AM414" s="392">
        <f t="shared" si="69"/>
        <v>-12.125733333333329</v>
      </c>
      <c r="AN414" s="390">
        <f t="shared" si="70"/>
        <v>-5133.9000000000005</v>
      </c>
      <c r="AO414" s="212">
        <f t="shared" si="71"/>
        <v>-0.61159503852623454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135.47965367965367</v>
      </c>
      <c r="Z415" s="87">
        <f t="shared" si="61"/>
        <v>5690.1454545454535</v>
      </c>
      <c r="AA415" s="400"/>
      <c r="AB415" s="403"/>
      <c r="AC415" s="87"/>
      <c r="AD415" s="404"/>
      <c r="AE415" s="403">
        <f t="shared" si="62"/>
        <v>94.314600000000013</v>
      </c>
      <c r="AF415" s="87">
        <f t="shared" si="63"/>
        <v>4715.7300000000005</v>
      </c>
      <c r="AG415" s="398">
        <f t="shared" si="64"/>
        <v>-41.165053679653653</v>
      </c>
      <c r="AH415" s="399">
        <f t="shared" si="65"/>
        <v>-974.41545454545303</v>
      </c>
      <c r="AI415" s="400">
        <f t="shared" si="66"/>
        <v>-0.17124614165479049</v>
      </c>
      <c r="AJ415" s="404"/>
      <c r="AK415" s="399">
        <f t="shared" si="67"/>
        <v>491.91500000000002</v>
      </c>
      <c r="AL415" s="87">
        <f t="shared" si="68"/>
        <v>14757.45</v>
      </c>
      <c r="AM415" s="401">
        <f t="shared" si="69"/>
        <v>-41.165053679653653</v>
      </c>
      <c r="AN415" s="399">
        <f t="shared" si="70"/>
        <v>-10041.720000000001</v>
      </c>
      <c r="AO415" s="211">
        <f t="shared" si="71"/>
        <v>-0.68045089090594923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687.58696194936988</v>
      </c>
      <c r="Z416" s="87">
        <f t="shared" si="61"/>
        <v>28878.652401873533</v>
      </c>
      <c r="AA416" s="397"/>
      <c r="AB416" s="403"/>
      <c r="AC416" s="87"/>
      <c r="AD416" s="404"/>
      <c r="AE416" s="403">
        <f>IF(AF416=0,0,AF416/(J$13+J$13))</f>
        <v>686.79090909090917</v>
      </c>
      <c r="AF416" s="87">
        <f t="shared" si="63"/>
        <v>30218.800000000003</v>
      </c>
      <c r="AG416" s="398">
        <f t="shared" si="64"/>
        <v>-0.79605285846071183</v>
      </c>
      <c r="AH416" s="399">
        <f t="shared" si="65"/>
        <v>1340.1475981264703</v>
      </c>
      <c r="AI416" s="400">
        <f t="shared" si="66"/>
        <v>4.6406168109129869E-2</v>
      </c>
      <c r="AJ416" s="404"/>
      <c r="AK416" s="399">
        <f t="shared" si="67"/>
        <v>888.90733333333333</v>
      </c>
      <c r="AL416" s="87">
        <f>IFERROR(SUMIF($C:$C,$V416,Q:Q),0)</f>
        <v>26667.22</v>
      </c>
      <c r="AM416" s="401">
        <f>AE416-Y416</f>
        <v>-0.79605285846071183</v>
      </c>
      <c r="AN416" s="399">
        <f>AF416-AL416</f>
        <v>3551.5800000000017</v>
      </c>
      <c r="AO416" s="212">
        <f t="shared" si="71"/>
        <v>0.13318148648415551</v>
      </c>
      <c r="AP416" s="79"/>
      <c r="AQ416" s="689">
        <v>30219</v>
      </c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0.21551554000281647</v>
      </c>
      <c r="Y420" s="88"/>
      <c r="Z420" s="90">
        <f>SUM(Z410:Z419)</f>
        <v>104568.30483588972</v>
      </c>
      <c r="AA420" s="89"/>
      <c r="AB420" s="88"/>
      <c r="AC420" s="90"/>
      <c r="AD420" s="91">
        <f>AF420/AF408</f>
        <v>0.22966313067017569</v>
      </c>
      <c r="AE420" s="88"/>
      <c r="AF420" s="90">
        <f>SUM(AF410:AF419)</f>
        <v>110067.81000000001</v>
      </c>
      <c r="AG420" s="92"/>
      <c r="AH420" s="93">
        <f t="shared" ref="AH420:AH452" si="72">AF420-Z420</f>
        <v>5499.5051641102909</v>
      </c>
      <c r="AI420" s="89">
        <f>AH420/Z420</f>
        <v>5.2592467409137554E-2</v>
      </c>
      <c r="AJ420" s="91">
        <f>IF($AL$408=0,0,AL420/$AL$408)</f>
        <v>0.2602668872892106</v>
      </c>
      <c r="AK420" s="88"/>
      <c r="AL420" s="90">
        <f>SUM(AL410:AL419)</f>
        <v>108594.68000000001</v>
      </c>
      <c r="AM420" s="94"/>
      <c r="AN420" s="93">
        <f t="shared" ref="AN420:AN425" si="73">AF420-AL420</f>
        <v>1473.1300000000047</v>
      </c>
      <c r="AO420" s="395">
        <f t="shared" si="71"/>
        <v>1.3565397494610274E-2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17588.122605363984</v>
      </c>
      <c r="AA421" s="397"/>
      <c r="AB421" s="397"/>
      <c r="AC421" s="87"/>
      <c r="AD421" s="404"/>
      <c r="AE421" s="403"/>
      <c r="AF421" s="87">
        <f>SUMIFS(BV_Data_An_Cour!$O:$O,BV_Data_An_Cour!$V:$V,$V421)</f>
        <v>17950.030000000002</v>
      </c>
      <c r="AG421" s="398"/>
      <c r="AH421" s="399">
        <f t="shared" si="72"/>
        <v>361.90739463601858</v>
      </c>
      <c r="AI421" s="400">
        <f t="shared" ref="AI421:AI433" si="74">IF(Z421=0,0,AH421/Z421)</f>
        <v>2.0576806448099522E-2</v>
      </c>
      <c r="AJ421" s="404"/>
      <c r="AK421" s="397"/>
      <c r="AL421" s="87">
        <f>+INDEX('Réel 2025'!$A$2:$AO$500,MATCH($A421,'Réel 2025'!$A$2:$A$500,0),MATCH(F$2,'Réel 2025'!$A$2:$AO$2,0))</f>
        <v>13081.7</v>
      </c>
      <c r="AM421" s="401"/>
      <c r="AN421" s="399">
        <f t="shared" si="73"/>
        <v>4868.3300000000017</v>
      </c>
      <c r="AO421" s="211">
        <f t="shared" si="71"/>
        <v>0.37214811530611475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35451.725028030232</v>
      </c>
      <c r="AA422" s="397"/>
      <c r="AB422" s="397"/>
      <c r="AC422" s="87"/>
      <c r="AD422" s="404"/>
      <c r="AE422" s="403"/>
      <c r="AF422" s="87">
        <f t="shared" ref="AF422:AF433" si="76">+SUMIF($C:$C,$V422,L:L)</f>
        <v>18306.84</v>
      </c>
      <c r="AG422" s="398"/>
      <c r="AH422" s="399">
        <f t="shared" si="72"/>
        <v>-17144.885028030232</v>
      </c>
      <c r="AI422" s="400">
        <f t="shared" si="74"/>
        <v>-0.48361215186213002</v>
      </c>
      <c r="AJ422" s="404"/>
      <c r="AK422" s="397"/>
      <c r="AL422" s="87">
        <f t="shared" ref="AL422:AL430" si="77">+SUMIF($C:$C,$V422,Q:Q)</f>
        <v>31689.399999999998</v>
      </c>
      <c r="AM422" s="401"/>
      <c r="AN422" s="399">
        <f t="shared" si="73"/>
        <v>-13382.559999999998</v>
      </c>
      <c r="AO422" s="211">
        <f t="shared" si="71"/>
        <v>-0.42230398808434361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15488.606263103642</v>
      </c>
      <c r="AA423" s="387"/>
      <c r="AB423" s="387"/>
      <c r="AC423" s="388"/>
      <c r="AD423" s="407"/>
      <c r="AE423" s="406"/>
      <c r="AF423" s="388">
        <f t="shared" si="76"/>
        <v>8428.24</v>
      </c>
      <c r="AG423" s="389"/>
      <c r="AH423" s="390">
        <f t="shared" si="72"/>
        <v>-7060.3662631036423</v>
      </c>
      <c r="AI423" s="408">
        <f t="shared" si="74"/>
        <v>-0.45584258151894358</v>
      </c>
      <c r="AJ423" s="407"/>
      <c r="AK423" s="387"/>
      <c r="AL423" s="388">
        <f t="shared" si="77"/>
        <v>18496.57</v>
      </c>
      <c r="AM423" s="392"/>
      <c r="AN423" s="390">
        <f t="shared" si="73"/>
        <v>-10068.33</v>
      </c>
      <c r="AO423" s="393">
        <f t="shared" si="71"/>
        <v>-0.54433497670108566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34145.253987622178</v>
      </c>
      <c r="AA424" s="397"/>
      <c r="AB424" s="397"/>
      <c r="AC424" s="87"/>
      <c r="AD424" s="404"/>
      <c r="AE424" s="403"/>
      <c r="AF424" s="87">
        <f t="shared" si="76"/>
        <v>29469.21</v>
      </c>
      <c r="AG424" s="398"/>
      <c r="AH424" s="399">
        <f t="shared" si="72"/>
        <v>-4676.043987622179</v>
      </c>
      <c r="AI424" s="400">
        <f t="shared" si="74"/>
        <v>-0.13694564958624317</v>
      </c>
      <c r="AJ424" s="404"/>
      <c r="AK424" s="397"/>
      <c r="AL424" s="87">
        <f t="shared" si="77"/>
        <v>21781.87</v>
      </c>
      <c r="AM424" s="401"/>
      <c r="AN424" s="399">
        <f t="shared" si="73"/>
        <v>7687.34</v>
      </c>
      <c r="AO424" s="211">
        <f t="shared" si="71"/>
        <v>0.35292378478064557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15636.432950191571</v>
      </c>
      <c r="AA425" s="397"/>
      <c r="AB425" s="397"/>
      <c r="AC425" s="87"/>
      <c r="AD425" s="404"/>
      <c r="AE425" s="403"/>
      <c r="AF425" s="87">
        <f t="shared" si="76"/>
        <v>12723.46</v>
      </c>
      <c r="AG425" s="398"/>
      <c r="AH425" s="399">
        <f t="shared" si="72"/>
        <v>-2912.9729501915717</v>
      </c>
      <c r="AI425" s="400">
        <f t="shared" si="74"/>
        <v>-0.18629395588307007</v>
      </c>
      <c r="AJ425" s="404"/>
      <c r="AK425" s="397"/>
      <c r="AL425" s="87">
        <f t="shared" si="77"/>
        <v>14553.25</v>
      </c>
      <c r="AM425" s="401"/>
      <c r="AN425" s="399">
        <f t="shared" si="73"/>
        <v>-1829.7900000000009</v>
      </c>
      <c r="AO425" s="211">
        <f t="shared" si="71"/>
        <v>-0.12573067871437657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31904.474798770221</v>
      </c>
      <c r="AA429" s="387"/>
      <c r="AB429" s="387"/>
      <c r="AC429" s="388"/>
      <c r="AD429" s="407"/>
      <c r="AE429" s="406"/>
      <c r="AF429" s="388">
        <f t="shared" si="76"/>
        <v>26424.649999999998</v>
      </c>
      <c r="AG429" s="389"/>
      <c r="AH429" s="390">
        <f t="shared" si="72"/>
        <v>-5479.8247987702234</v>
      </c>
      <c r="AI429" s="408">
        <f t="shared" si="74"/>
        <v>-0.17175724826479347</v>
      </c>
      <c r="AJ429" s="407"/>
      <c r="AK429" s="387"/>
      <c r="AL429" s="388">
        <f t="shared" si="77"/>
        <v>33318.42</v>
      </c>
      <c r="AM429" s="392"/>
      <c r="AN429" s="390">
        <f t="shared" si="78"/>
        <v>-6893.77</v>
      </c>
      <c r="AO429" s="212">
        <f t="shared" si="71"/>
        <v>-0.20690566959657752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30221.450976722794</v>
      </c>
      <c r="AA430" s="397"/>
      <c r="AB430" s="397"/>
      <c r="AC430" s="87"/>
      <c r="AD430" s="404"/>
      <c r="AE430" s="403"/>
      <c r="AF430" s="87">
        <f t="shared" si="76"/>
        <v>31089.11</v>
      </c>
      <c r="AG430" s="398"/>
      <c r="AH430" s="399">
        <f t="shared" si="72"/>
        <v>867.65902327720687</v>
      </c>
      <c r="AI430" s="400">
        <f>IF(Z430=0,0,AH430/Z430)</f>
        <v>2.8710038573114719E-2</v>
      </c>
      <c r="AJ430" s="404"/>
      <c r="AK430" s="397"/>
      <c r="AL430" s="87">
        <f t="shared" si="77"/>
        <v>31440.269999999997</v>
      </c>
      <c r="AM430" s="401"/>
      <c r="AN430" s="399">
        <f t="shared" si="78"/>
        <v>-351.15999999999622</v>
      </c>
      <c r="AO430" s="211">
        <f t="shared" si="71"/>
        <v>-1.1169115277953919E-2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22028.803506530039</v>
      </c>
      <c r="AA431" s="397"/>
      <c r="AB431" s="397"/>
      <c r="AC431" s="87"/>
      <c r="AD431" s="404"/>
      <c r="AE431" s="403"/>
      <c r="AF431" s="87">
        <f t="shared" si="76"/>
        <v>16104.79</v>
      </c>
      <c r="AG431" s="398"/>
      <c r="AH431" s="399">
        <f t="shared" si="72"/>
        <v>-5924.0135065300383</v>
      </c>
      <c r="AI431" s="400">
        <f t="shared" si="74"/>
        <v>-0.26892125597170868</v>
      </c>
      <c r="AJ431" s="404"/>
      <c r="AK431" s="397"/>
      <c r="AL431" s="87">
        <f>IFERROR(SUMIF($C:$C,$V431,Q:Q),0)</f>
        <v>17861.669999999998</v>
      </c>
      <c r="AM431" s="401"/>
      <c r="AN431" s="399">
        <f t="shared" si="78"/>
        <v>-1756.8799999999974</v>
      </c>
      <c r="AO431" s="211">
        <f t="shared" si="71"/>
        <v>-9.8360343685668677E-2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5923.4043914376671</v>
      </c>
      <c r="AA432" s="397"/>
      <c r="AB432" s="397"/>
      <c r="AC432" s="87"/>
      <c r="AD432" s="404"/>
      <c r="AE432" s="403"/>
      <c r="AF432" s="87">
        <f t="shared" si="76"/>
        <v>4668.34</v>
      </c>
      <c r="AG432" s="398"/>
      <c r="AH432" s="399">
        <f t="shared" si="72"/>
        <v>-1255.0643914376669</v>
      </c>
      <c r="AI432" s="97">
        <f t="shared" si="74"/>
        <v>-0.21188227385789724</v>
      </c>
      <c r="AJ432" s="404"/>
      <c r="AK432" s="397"/>
      <c r="AL432" s="87">
        <f>IFERROR(SUMIF($C:$C,$V432,Q:Q),0)</f>
        <v>6436.9299999999994</v>
      </c>
      <c r="AM432" s="401"/>
      <c r="AN432" s="399">
        <f t="shared" si="78"/>
        <v>-1768.5899999999992</v>
      </c>
      <c r="AO432" s="212">
        <f t="shared" si="71"/>
        <v>-0.2747567551612336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0.42948875934520714</v>
      </c>
      <c r="Y434" s="88"/>
      <c r="Z434" s="90">
        <f>SUM(Z421:Z433)</f>
        <v>208388.27450777229</v>
      </c>
      <c r="AA434" s="89"/>
      <c r="AB434" s="88"/>
      <c r="AC434" s="90"/>
      <c r="AD434" s="91">
        <f>AF434/AF408</f>
        <v>0.34462605541353497</v>
      </c>
      <c r="AE434" s="98"/>
      <c r="AF434" s="90">
        <f>SUM(AF421:AF433)</f>
        <v>165164.66999999998</v>
      </c>
      <c r="AG434" s="99"/>
      <c r="AH434" s="93">
        <f t="shared" si="72"/>
        <v>-43223.60450777231</v>
      </c>
      <c r="AI434" s="89">
        <f>AH434/Z434</f>
        <v>-0.20741860169373488</v>
      </c>
      <c r="AJ434" s="91">
        <f>IF($AL$408=0,0,AL434/$AL$408)</f>
        <v>0.45215816997051278</v>
      </c>
      <c r="AK434" s="88"/>
      <c r="AL434" s="90">
        <f>SUM(AL421:AL433)</f>
        <v>188660.07999999996</v>
      </c>
      <c r="AM434" s="100"/>
      <c r="AN434" s="93">
        <f t="shared" ref="AN434:AN448" si="79">AF434-AL434</f>
        <v>-23495.409999999974</v>
      </c>
      <c r="AO434" s="395">
        <f>IF(AL434=0,0,AN434/AL434)</f>
        <v>-0.12453832310470758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3323.2611881586454</v>
      </c>
      <c r="AA435" s="411"/>
      <c r="AB435" s="411"/>
      <c r="AC435" s="237"/>
      <c r="AD435" s="412"/>
      <c r="AE435" s="413"/>
      <c r="AF435" s="237">
        <f t="shared" ref="AF435:AF452" si="81">+SUMIF($C:$C,$V435,L:L)</f>
        <v>1122.4000000000001</v>
      </c>
      <c r="AG435" s="412"/>
      <c r="AH435" s="414">
        <f t="shared" si="72"/>
        <v>-2200.8611881586453</v>
      </c>
      <c r="AI435" s="415">
        <f t="shared" ref="AI435:AI452" si="82">IF(Z435=0,0,AH435/Z435)</f>
        <v>-0.66225946850060857</v>
      </c>
      <c r="AJ435" s="412"/>
      <c r="AK435" s="411"/>
      <c r="AL435" s="237">
        <f t="shared" ref="AL435:AL449" si="83">+SUMIF($C:$C,$V435,Q:Q)</f>
        <v>7114.8</v>
      </c>
      <c r="AM435" s="416"/>
      <c r="AN435" s="414">
        <f t="shared" si="79"/>
        <v>-5992.4</v>
      </c>
      <c r="AO435" s="210">
        <f t="shared" ref="AO435:AO448" si="84">IF(AL435=0,0,AN435/AL435)</f>
        <v>-0.84224433575082913</v>
      </c>
      <c r="AP435" s="79"/>
      <c r="AQ435" s="79">
        <f>972+150</f>
        <v>1122</v>
      </c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5028.84</v>
      </c>
      <c r="AG436" s="398"/>
      <c r="AH436" s="399">
        <f t="shared" si="72"/>
        <v>653.84000000000015</v>
      </c>
      <c r="AI436" s="400">
        <f t="shared" si="82"/>
        <v>0.14944914285714289</v>
      </c>
      <c r="AJ436" s="404"/>
      <c r="AK436" s="397"/>
      <c r="AL436" s="87">
        <f t="shared" si="83"/>
        <v>4203.25</v>
      </c>
      <c r="AM436" s="401"/>
      <c r="AN436" s="399">
        <f t="shared" si="79"/>
        <v>825.59000000000015</v>
      </c>
      <c r="AO436" s="211">
        <f t="shared" si="84"/>
        <v>0.19641705822875161</v>
      </c>
      <c r="AP436" s="79"/>
      <c r="AQ436" s="79">
        <f>2112+2906+10</f>
        <v>5028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14646.769999999999</v>
      </c>
      <c r="AG437" s="389"/>
      <c r="AH437" s="390">
        <f t="shared" si="72"/>
        <v>-430.23000000000138</v>
      </c>
      <c r="AI437" s="408">
        <f t="shared" si="82"/>
        <v>-2.8535517675930315E-2</v>
      </c>
      <c r="AJ437" s="407"/>
      <c r="AK437" s="387"/>
      <c r="AL437" s="388">
        <f t="shared" si="83"/>
        <v>23145.159999999993</v>
      </c>
      <c r="AM437" s="392"/>
      <c r="AN437" s="390">
        <f t="shared" si="79"/>
        <v>-8498.389999999994</v>
      </c>
      <c r="AO437" s="393">
        <f t="shared" si="84"/>
        <v>-0.36717784625381705</v>
      </c>
      <c r="AP437" s="79"/>
      <c r="AQ437" s="808">
        <v>14647</v>
      </c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23726.239999999998</v>
      </c>
      <c r="AG438" s="398"/>
      <c r="AH438" s="399">
        <f>AF438-Z438</f>
        <v>1158.486666666664</v>
      </c>
      <c r="AI438" s="400">
        <f t="shared" si="82"/>
        <v>5.1333717165170357E-2</v>
      </c>
      <c r="AJ438" s="404"/>
      <c r="AK438" s="397"/>
      <c r="AL438" s="87">
        <f t="shared" si="83"/>
        <v>14355.36</v>
      </c>
      <c r="AM438" s="401"/>
      <c r="AN438" s="399">
        <f t="shared" si="79"/>
        <v>9370.8799999999974</v>
      </c>
      <c r="AO438" s="211">
        <f t="shared" si="84"/>
        <v>0.65277917098561078</v>
      </c>
      <c r="AP438" s="808"/>
      <c r="AQ438" s="79">
        <f>24761-2405+1000+370</f>
        <v>23726</v>
      </c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7873.1399999999994</v>
      </c>
      <c r="AG439" s="398"/>
      <c r="AH439" s="399">
        <f t="shared" si="72"/>
        <v>3714.8066666666664</v>
      </c>
      <c r="AI439" s="400">
        <f t="shared" si="82"/>
        <v>0.89334028056112225</v>
      </c>
      <c r="AJ439" s="404"/>
      <c r="AK439" s="397"/>
      <c r="AL439" s="87">
        <f t="shared" si="83"/>
        <v>2153.08</v>
      </c>
      <c r="AM439" s="401"/>
      <c r="AN439" s="399">
        <f t="shared" si="79"/>
        <v>5720.0599999999995</v>
      </c>
      <c r="AO439" s="211">
        <f t="shared" si="84"/>
        <v>2.6566871644342056</v>
      </c>
      <c r="AP439" s="808"/>
      <c r="AQ439" s="79">
        <v>7873</v>
      </c>
      <c r="AR439" s="79" t="s">
        <v>3119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9088.7133333333331</v>
      </c>
      <c r="AA440" s="397"/>
      <c r="AB440" s="397"/>
      <c r="AC440" s="87"/>
      <c r="AD440" s="404"/>
      <c r="AE440" s="403"/>
      <c r="AF440" s="87">
        <f t="shared" si="81"/>
        <v>24418.9</v>
      </c>
      <c r="AG440" s="398"/>
      <c r="AH440" s="399">
        <f t="shared" si="72"/>
        <v>15330.186666666668</v>
      </c>
      <c r="AI440" s="400">
        <f t="shared" si="82"/>
        <v>1.6867279343537445</v>
      </c>
      <c r="AJ440" s="404"/>
      <c r="AK440" s="397"/>
      <c r="AL440" s="87">
        <f t="shared" si="83"/>
        <v>8416.9</v>
      </c>
      <c r="AM440" s="401"/>
      <c r="AN440" s="399">
        <f t="shared" si="79"/>
        <v>16002.000000000002</v>
      </c>
      <c r="AO440" s="211">
        <f t="shared" si="84"/>
        <v>1.9011750169302239</v>
      </c>
      <c r="AP440" s="79"/>
      <c r="AQ440" s="808">
        <v>24419</v>
      </c>
      <c r="AR440" s="808" t="s">
        <v>3121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142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3645.85</v>
      </c>
      <c r="AG442" s="398"/>
      <c r="AH442" s="399">
        <f t="shared" si="72"/>
        <v>292.09999999999991</v>
      </c>
      <c r="AI442" s="400">
        <f t="shared" si="82"/>
        <v>8.7096533730898221E-2</v>
      </c>
      <c r="AJ442" s="404"/>
      <c r="AK442" s="397"/>
      <c r="AL442" s="87">
        <f t="shared" si="83"/>
        <v>1964.05</v>
      </c>
      <c r="AM442" s="401"/>
      <c r="AN442" s="399">
        <f t="shared" si="79"/>
        <v>1681.8</v>
      </c>
      <c r="AO442" s="211">
        <f t="shared" si="84"/>
        <v>0.85629184593060259</v>
      </c>
      <c r="AP442" s="79"/>
      <c r="AQ442" s="79">
        <v>3646</v>
      </c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1358.08</v>
      </c>
      <c r="AG443" s="398"/>
      <c r="AH443" s="399">
        <f t="shared" si="72"/>
        <v>-41.920000000000073</v>
      </c>
      <c r="AI443" s="97">
        <f t="shared" si="82"/>
        <v>-2.9942857142857195E-2</v>
      </c>
      <c r="AJ443" s="404"/>
      <c r="AK443" s="397"/>
      <c r="AL443" s="87">
        <f t="shared" si="83"/>
        <v>903.4</v>
      </c>
      <c r="AM443" s="401"/>
      <c r="AN443" s="399">
        <f t="shared" si="79"/>
        <v>454.67999999999995</v>
      </c>
      <c r="AO443" s="211">
        <f t="shared" si="84"/>
        <v>0.50329864954615888</v>
      </c>
      <c r="AP443" s="79"/>
      <c r="AQ443" s="79">
        <f>1158+200</f>
        <v>1358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2009.3400000000001</v>
      </c>
      <c r="AG444" s="398"/>
      <c r="AH444" s="399">
        <f t="shared" si="72"/>
        <v>559.34000000000015</v>
      </c>
      <c r="AI444" s="400">
        <f t="shared" si="82"/>
        <v>0.38575172413793113</v>
      </c>
      <c r="AJ444" s="404"/>
      <c r="AK444" s="397"/>
      <c r="AL444" s="87">
        <f t="shared" si="83"/>
        <v>1247.68</v>
      </c>
      <c r="AM444" s="401"/>
      <c r="AN444" s="399">
        <f t="shared" si="79"/>
        <v>761.66000000000008</v>
      </c>
      <c r="AO444" s="211">
        <f t="shared" si="84"/>
        <v>0.61046101564503719</v>
      </c>
      <c r="AP444" s="79"/>
      <c r="AQ444" s="79">
        <f>2572-675+113</f>
        <v>2010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547.63</v>
      </c>
      <c r="AG445" s="398"/>
      <c r="AH445" s="399">
        <f t="shared" si="72"/>
        <v>98.63</v>
      </c>
      <c r="AI445" s="97">
        <f t="shared" si="82"/>
        <v>0.21966592427616927</v>
      </c>
      <c r="AJ445" s="404"/>
      <c r="AK445" s="397"/>
      <c r="AL445" s="87">
        <f t="shared" si="83"/>
        <v>460.15</v>
      </c>
      <c r="AM445" s="401"/>
      <c r="AN445" s="399">
        <f t="shared" si="79"/>
        <v>87.480000000000018</v>
      </c>
      <c r="AO445" s="211">
        <f t="shared" si="84"/>
        <v>0.19011192002607849</v>
      </c>
      <c r="AP445" s="79"/>
      <c r="AQ445" s="79">
        <v>548</v>
      </c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-936.68000000000006</v>
      </c>
      <c r="AG446" s="398"/>
      <c r="AH446" s="399">
        <f t="shared" si="72"/>
        <v>-3761.6800000000003</v>
      </c>
      <c r="AI446" s="400">
        <f t="shared" si="82"/>
        <v>-1.3315681415929204</v>
      </c>
      <c r="AJ446" s="404"/>
      <c r="AK446" s="397"/>
      <c r="AL446" s="87">
        <f t="shared" si="83"/>
        <v>453.66000000000008</v>
      </c>
      <c r="AM446" s="401"/>
      <c r="AN446" s="399">
        <f t="shared" si="79"/>
        <v>-1390.3400000000001</v>
      </c>
      <c r="AO446" s="211">
        <f t="shared" si="84"/>
        <v>-3.0647180708019217</v>
      </c>
      <c r="AP446" s="79"/>
      <c r="AQ446" s="79">
        <v>-937</v>
      </c>
      <c r="AR446" s="79" t="s">
        <v>3122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1303.8500000000001</v>
      </c>
      <c r="AG447" s="398"/>
      <c r="AH447" s="399">
        <f t="shared" si="72"/>
        <v>-251.14999999999964</v>
      </c>
      <c r="AI447" s="97">
        <f t="shared" si="82"/>
        <v>-0.16151125401929239</v>
      </c>
      <c r="AJ447" s="404"/>
      <c r="AK447" s="397"/>
      <c r="AL447" s="87">
        <f t="shared" si="83"/>
        <v>2925.9899999999993</v>
      </c>
      <c r="AM447" s="401"/>
      <c r="AN447" s="399">
        <f t="shared" si="79"/>
        <v>-1622.1399999999992</v>
      </c>
      <c r="AO447" s="211">
        <f t="shared" si="84"/>
        <v>-0.55439013803874915</v>
      </c>
      <c r="AP447" s="79"/>
      <c r="AQ447" s="79">
        <v>1304</v>
      </c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3328.84</v>
      </c>
      <c r="AG448" s="398"/>
      <c r="AH448" s="399">
        <f t="shared" si="72"/>
        <v>958.1866666666665</v>
      </c>
      <c r="AI448" s="400">
        <f t="shared" si="82"/>
        <v>0.40418675020669392</v>
      </c>
      <c r="AJ448" s="404"/>
      <c r="AK448" s="397"/>
      <c r="AL448" s="87">
        <f t="shared" si="83"/>
        <v>2571.9500000000003</v>
      </c>
      <c r="AM448" s="401"/>
      <c r="AN448" s="399">
        <f t="shared" si="79"/>
        <v>756.88999999999987</v>
      </c>
      <c r="AO448" s="211">
        <f t="shared" si="84"/>
        <v>0.29428643636151552</v>
      </c>
      <c r="AP448" s="79"/>
      <c r="AQ448" s="79">
        <f>5751-2422</f>
        <v>3329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1.8131391965771891E-3</v>
      </c>
      <c r="Z449" s="87">
        <f t="shared" si="80"/>
        <v>8049.6895310394757</v>
      </c>
      <c r="AA449" s="397"/>
      <c r="AB449" s="403"/>
      <c r="AC449" s="87"/>
      <c r="AD449" s="404"/>
      <c r="AE449" s="403"/>
      <c r="AF449" s="87">
        <f t="shared" si="81"/>
        <v>8443.2199999999993</v>
      </c>
      <c r="AG449" s="398"/>
      <c r="AH449" s="399">
        <f t="shared" si="72"/>
        <v>393.53046896052365</v>
      </c>
      <c r="AI449" s="400">
        <f t="shared" si="82"/>
        <v>4.8887658019986534E-2</v>
      </c>
      <c r="AJ449" s="404"/>
      <c r="AK449" s="397"/>
      <c r="AL449" s="87">
        <f t="shared" si="83"/>
        <v>6689.16</v>
      </c>
      <c r="AM449" s="401"/>
      <c r="AN449" s="399">
        <f>AF449-AL449</f>
        <v>1754.0599999999995</v>
      </c>
      <c r="AO449" s="211">
        <f>IF(AL449=0,0,AN449/AL449)</f>
        <v>0.26222425536240718</v>
      </c>
      <c r="AP449" s="79"/>
      <c r="AQ449" s="79">
        <v>8443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0.16496914238241764</v>
      </c>
      <c r="Y453" s="88"/>
      <c r="Z453" s="90">
        <f>+SUM(Z435:Z452)</f>
        <v>80043.154052531449</v>
      </c>
      <c r="AA453" s="89"/>
      <c r="AB453" s="88"/>
      <c r="AC453" s="90"/>
      <c r="AD453" s="91">
        <f>AF453/AF408</f>
        <v>0.20138733729941172</v>
      </c>
      <c r="AE453" s="88"/>
      <c r="AF453" s="90">
        <f>+SUM(AF435:AF452)</f>
        <v>96516.420000000027</v>
      </c>
      <c r="AG453" s="99"/>
      <c r="AH453" s="93">
        <f>+SUM(AH435:AH452)</f>
        <v>16473.265947468542</v>
      </c>
      <c r="AI453" s="89">
        <f>AH453/Z453</f>
        <v>0.20580480794968822</v>
      </c>
      <c r="AJ453" s="91">
        <f>IF($AL$408=0,0,AL453/$AL$408)</f>
        <v>0.18359682252727474</v>
      </c>
      <c r="AK453" s="89"/>
      <c r="AL453" s="90">
        <f>+SUM(AL435:AL452)</f>
        <v>76604.590000000011</v>
      </c>
      <c r="AM453" s="100"/>
      <c r="AN453" s="93">
        <f>+SUM(AN435:AN452)</f>
        <v>19911.830000000002</v>
      </c>
      <c r="AO453" s="544">
        <f>IF(AL453=0,0,AN453/AL453)</f>
        <v>0.25992998591859834</v>
      </c>
      <c r="AP453" s="79"/>
      <c r="AQ453" s="101">
        <f>SUM(AQ435:AQ449)-AF453</f>
        <v>-0.4200000000273576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5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6134.96</v>
      </c>
      <c r="AG455" s="398"/>
      <c r="AH455" s="399">
        <f t="shared" si="85"/>
        <v>-211.57000000000062</v>
      </c>
      <c r="AI455" s="400">
        <f t="shared" si="86"/>
        <v>-3.333632709527893E-2</v>
      </c>
      <c r="AJ455" s="404"/>
      <c r="AK455" s="397"/>
      <c r="AL455" s="87">
        <f>+INDEX('Réel 2025'!$A$2:$AO$500,MATCH($A455,'Réel 2025'!$A$2:$A$500,0),MATCH(F$2,'Réel 2025'!$A$2:$AO$2,0))</f>
        <v>6166.78999999999</v>
      </c>
      <c r="AM455" s="401"/>
      <c r="AN455" s="399">
        <f t="shared" ref="AN455:AN462" si="88">AF455-AL455</f>
        <v>-31.829999999989923</v>
      </c>
      <c r="AO455" s="211">
        <f t="shared" si="87"/>
        <v>-5.1615183912521708E-3</v>
      </c>
      <c r="AP455" s="79"/>
      <c r="AQ455" s="1395">
        <v>6135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2629.27</v>
      </c>
      <c r="AG456" s="389"/>
      <c r="AH456" s="390">
        <f t="shared" si="85"/>
        <v>-90.670000000000528</v>
      </c>
      <c r="AI456" s="408">
        <f t="shared" si="86"/>
        <v>-3.3335294160900794E-2</v>
      </c>
      <c r="AJ456" s="407"/>
      <c r="AK456" s="387"/>
      <c r="AL456" s="388">
        <f>+INDEX('Réel 2025'!$A$2:$AO$500,MATCH($A456,'Réel 2025'!$A$2:$A$500,0),MATCH(F$2,'Réel 2025'!$A$2:$AO$2,0))</f>
        <v>2642.91</v>
      </c>
      <c r="AM456" s="392"/>
      <c r="AN456" s="390">
        <f t="shared" si="88"/>
        <v>-13.639999999999873</v>
      </c>
      <c r="AO456" s="393">
        <f t="shared" si="87"/>
        <v>-5.1609778615238026E-3</v>
      </c>
      <c r="AP456" s="79"/>
      <c r="AQ456" s="1395">
        <v>2629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5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5651.21</v>
      </c>
      <c r="AG459" s="398"/>
      <c r="AH459" s="399">
        <f t="shared" si="85"/>
        <v>-1023.79</v>
      </c>
      <c r="AI459" s="400">
        <f t="shared" si="86"/>
        <v>-0.15337677902621721</v>
      </c>
      <c r="AJ459" s="404"/>
      <c r="AK459" s="397"/>
      <c r="AL459" s="87">
        <f>+INDEX('Réel 2025'!$A$2:$AO$500,MATCH($A459,'Réel 2025'!$A$2:$A$500,0),MATCH(F$2,'Réel 2025'!$A$2:$AO$2,0))</f>
        <v>5094.8500000000004</v>
      </c>
      <c r="AM459" s="401"/>
      <c r="AN459" s="399">
        <f t="shared" si="88"/>
        <v>556.35999999999967</v>
      </c>
      <c r="AO459" s="211">
        <f t="shared" si="87"/>
        <v>0.10920046713838477</v>
      </c>
      <c r="AP459" s="79"/>
      <c r="AQ459" s="79">
        <f>4651+1000</f>
        <v>5651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1500</v>
      </c>
      <c r="AG460" s="398"/>
      <c r="AH460" s="399">
        <f t="shared" si="85"/>
        <v>-250</v>
      </c>
      <c r="AI460" s="400">
        <f t="shared" si="86"/>
        <v>-0.14285714285714285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-4807.33</v>
      </c>
      <c r="AO460" s="211">
        <f t="shared" si="87"/>
        <v>-0.76218146188640834</v>
      </c>
      <c r="AP460" s="79"/>
      <c r="AQ460" s="1395">
        <f>1500</f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746.31999999999994</v>
      </c>
      <c r="AG462" s="398"/>
      <c r="AH462" s="399">
        <f t="shared" si="85"/>
        <v>467.31999999999994</v>
      </c>
      <c r="AI462" s="417">
        <f t="shared" si="86"/>
        <v>1.6749820788530463</v>
      </c>
      <c r="AJ462" s="397"/>
      <c r="AK462" s="397"/>
      <c r="AL462" s="87">
        <f>+INDEX('Réel 2025'!$A$2:$AO$500,MATCH($A462,'Réel 2025'!$A$2:$A$500,0),MATCH(F$2,'Réel 2025'!$A$2:$AO$2,0))</f>
        <v>164</v>
      </c>
      <c r="AM462" s="401"/>
      <c r="AN462" s="399">
        <f t="shared" si="88"/>
        <v>582.31999999999994</v>
      </c>
      <c r="AO462" s="211">
        <f t="shared" si="87"/>
        <v>3.5507317073170728</v>
      </c>
      <c r="AP462" s="79"/>
      <c r="AQ462" s="79">
        <f>2046-1300</f>
        <v>746</v>
      </c>
      <c r="AR462" s="101" t="s">
        <v>3120</v>
      </c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0.14796274423865693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0.14748417990790927</v>
      </c>
      <c r="AE467" s="88"/>
      <c r="AF467" s="90">
        <f>SUM(AF454:AF466)</f>
        <v>70682.920000000013</v>
      </c>
      <c r="AG467" s="99"/>
      <c r="AH467" s="93">
        <f>SUM(AH454:AH466)</f>
        <v>-1108.7166666666683</v>
      </c>
      <c r="AI467" s="89">
        <f>IF(Z467=0,0,AH467/Z467)</f>
        <v>-1.5443535182440727E-2</v>
      </c>
      <c r="AJ467" s="91">
        <f>IF($AL$408=0,0,AL467/$AL$408)</f>
        <v>0.18126034542655023</v>
      </c>
      <c r="AK467" s="89"/>
      <c r="AL467" s="90">
        <f>SUM(AL454:AL466)</f>
        <v>75629.710000000006</v>
      </c>
      <c r="AM467" s="100"/>
      <c r="AN467" s="93">
        <f>SUM(AN454:AN466)</f>
        <v>-4946.78999999999</v>
      </c>
      <c r="AO467" s="544">
        <f t="shared" ref="AO467:AO484" si="89">IF(AL467=0,0,AN467/AL467)</f>
        <v>-6.5408025496858174E-2</v>
      </c>
      <c r="AP467" s="79"/>
      <c r="AQ467" s="101">
        <f>SUM(AQ454:AQ462)-AF467</f>
        <v>-0.92000000001280569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0.95793618596909824</v>
      </c>
      <c r="Y469" s="88"/>
      <c r="Z469" s="90">
        <f>Z420+Z434+Z453+Z467</f>
        <v>464791.37006286014</v>
      </c>
      <c r="AA469" s="89"/>
      <c r="AB469" s="88"/>
      <c r="AC469" s="90"/>
      <c r="AD469" s="91">
        <f>AF469/AF408</f>
        <v>0.92316070329103173</v>
      </c>
      <c r="AE469" s="88"/>
      <c r="AF469" s="90">
        <f>AF420+AF434+AF453+AF467</f>
        <v>442431.82000000007</v>
      </c>
      <c r="AG469" s="99"/>
      <c r="AH469" s="93">
        <f t="shared" si="90"/>
        <v>-22359.550062860071</v>
      </c>
      <c r="AI469" s="89">
        <f>AH469/Z469</f>
        <v>-4.8106637736918569E-2</v>
      </c>
      <c r="AJ469" s="91">
        <f>IF($AL$408=0,0,AL469/$AL$408)</f>
        <v>1.0772822252135483</v>
      </c>
      <c r="AK469" s="89"/>
      <c r="AL469" s="90">
        <f>AL420+AL434+AL453+AL467</f>
        <v>449489.06</v>
      </c>
      <c r="AM469" s="100"/>
      <c r="AN469" s="93">
        <f t="shared" si="91"/>
        <v>-7057.2399999999325</v>
      </c>
      <c r="AO469" s="395">
        <f t="shared" si="89"/>
        <v>-1.570058234565249E-2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1533.53</v>
      </c>
      <c r="AG470" s="240"/>
      <c r="AH470" s="399">
        <f t="shared" si="90"/>
        <v>1533.53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-19.98</v>
      </c>
      <c r="AM470" s="242"/>
      <c r="AN470" s="399">
        <f t="shared" si="91"/>
        <v>1553.51</v>
      </c>
      <c r="AO470" s="211">
        <f t="shared" si="89"/>
        <v>-77.753253253253249</v>
      </c>
      <c r="AP470" s="79" t="s">
        <v>3040</v>
      </c>
      <c r="AQ470" s="79">
        <v>1534</v>
      </c>
      <c r="AR470" s="79"/>
      <c r="AS470" s="79">
        <f>AQ470+AR470</f>
        <v>1534</v>
      </c>
      <c r="AT470" s="101">
        <f>AS470-AF470</f>
        <v>0.47000000000002728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36763.257142857146</v>
      </c>
      <c r="AA471" s="243"/>
      <c r="AB471" s="236"/>
      <c r="AC471" s="87"/>
      <c r="AD471" s="245"/>
      <c r="AE471" s="236"/>
      <c r="AF471" s="87">
        <f t="shared" ref="AF471:AF477" si="92">+SUMIF($C:$C,$V471,L:L)</f>
        <v>44158</v>
      </c>
      <c r="AG471" s="244"/>
      <c r="AH471" s="399">
        <f t="shared" si="90"/>
        <v>7394.7428571428536</v>
      </c>
      <c r="AI471" s="97">
        <f>IF(Z471=0,0,AH471/Z471)</f>
        <v>0.20114493197400499</v>
      </c>
      <c r="AJ471" s="245"/>
      <c r="AK471" s="243"/>
      <c r="AL471" s="246">
        <f>+SUMIF($C:$C,$V471,Q:Q)</f>
        <v>29948.799999999999</v>
      </c>
      <c r="AM471" s="247"/>
      <c r="AN471" s="399">
        <f t="shared" si="91"/>
        <v>14209.2</v>
      </c>
      <c r="AO471" s="211">
        <f t="shared" si="89"/>
        <v>0.47444972753499309</v>
      </c>
      <c r="AP471" s="79"/>
      <c r="AQ471" s="79">
        <v>46361</v>
      </c>
      <c r="AR471" s="79">
        <v>-2203</v>
      </c>
      <c r="AS471" s="79">
        <f>AQ471+AR471</f>
        <v>44158</v>
      </c>
      <c r="AT471" s="101">
        <f t="shared" ref="AT471:AT481" si="93">AS471-AF471</f>
        <v>0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30329.687142857147</v>
      </c>
      <c r="AA472" s="243"/>
      <c r="AB472" s="236"/>
      <c r="AC472" s="87"/>
      <c r="AD472" s="245"/>
      <c r="AE472" s="236"/>
      <c r="AF472" s="87">
        <f t="shared" si="92"/>
        <v>35427.29</v>
      </c>
      <c r="AG472" s="244"/>
      <c r="AH472" s="399">
        <f t="shared" si="90"/>
        <v>5097.6028571428542</v>
      </c>
      <c r="AI472" s="97">
        <f t="shared" ref="AI472:AI481" si="94">IF(AH472=0,0,AH472/Z472)</f>
        <v>0.16807304451023244</v>
      </c>
      <c r="AJ472" s="245"/>
      <c r="AK472" s="243"/>
      <c r="AL472" s="246">
        <f>+INDEX('Réel 2025'!$A$2:$AO$500,MATCH($A472,'Réel 2025'!$A$2:$A$500,0),MATCH(F$2,'Réel 2025'!$A$2:$AO$2,0))</f>
        <v>21262.21</v>
      </c>
      <c r="AM472" s="247"/>
      <c r="AN472" s="399">
        <f t="shared" si="91"/>
        <v>14165.080000000002</v>
      </c>
      <c r="AO472" s="211">
        <f t="shared" si="89"/>
        <v>0.66620920402912032</v>
      </c>
      <c r="AP472" s="79"/>
      <c r="AQ472" s="79">
        <v>33696</v>
      </c>
      <c r="AR472" s="79">
        <f>4558.5-1450.63-1376.88</f>
        <v>1730.9899999999998</v>
      </c>
      <c r="AS472" s="79">
        <f>AQ472+AR472</f>
        <v>35426.99</v>
      </c>
      <c r="AT472" s="101">
        <f t="shared" si="93"/>
        <v>-0.30000000000291038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4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5">AQ473+AR473</f>
        <v>0</v>
      </c>
      <c r="AT473" s="101">
        <f t="shared" si="93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4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5"/>
        <v>0</v>
      </c>
      <c r="AT474" s="101">
        <f t="shared" si="93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5250</v>
      </c>
      <c r="AA475" s="243"/>
      <c r="AB475" s="236"/>
      <c r="AC475" s="87"/>
      <c r="AD475" s="245"/>
      <c r="AE475" s="236"/>
      <c r="AF475" s="87">
        <f t="shared" si="92"/>
        <v>6800</v>
      </c>
      <c r="AG475" s="244"/>
      <c r="AH475" s="399">
        <f t="shared" si="90"/>
        <v>1550</v>
      </c>
      <c r="AI475" s="97">
        <f t="shared" si="94"/>
        <v>0.29523809523809524</v>
      </c>
      <c r="AJ475" s="245"/>
      <c r="AK475" s="243"/>
      <c r="AL475" s="246">
        <f>+INDEX('Réel 2025'!$A$2:$AO$500,MATCH($A475,'Réel 2025'!$A$2:$A$500,0),MATCH(F$2,'Réel 2025'!$A$2:$AO$2,0))</f>
        <v>5625</v>
      </c>
      <c r="AM475" s="247"/>
      <c r="AN475" s="399">
        <f t="shared" ref="AN475:AN484" si="96">AF475-AL475</f>
        <v>1175</v>
      </c>
      <c r="AO475" s="211">
        <f t="shared" si="89"/>
        <v>0.2088888888888889</v>
      </c>
      <c r="AP475" s="79"/>
      <c r="AQ475" s="79">
        <v>6800</v>
      </c>
      <c r="AR475" s="79"/>
      <c r="AS475" s="79">
        <f t="shared" si="95"/>
        <v>6800</v>
      </c>
      <c r="AT475" s="101">
        <f t="shared" si="93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-3625</v>
      </c>
      <c r="AG476" s="244"/>
      <c r="AH476" s="399">
        <f t="shared" si="90"/>
        <v>-3625</v>
      </c>
      <c r="AI476" s="97" t="e">
        <f t="shared" si="94"/>
        <v>#DIV/0!</v>
      </c>
      <c r="AJ476" s="245"/>
      <c r="AK476" s="243"/>
      <c r="AL476" s="246">
        <f>+SUMIF($C:$C,$V476,Q:Q)</f>
        <v>0</v>
      </c>
      <c r="AM476" s="247"/>
      <c r="AN476" s="399">
        <f t="shared" si="96"/>
        <v>-3625</v>
      </c>
      <c r="AO476" s="211">
        <f t="shared" si="89"/>
        <v>0</v>
      </c>
      <c r="AP476" s="79"/>
      <c r="AQ476" s="79">
        <v>-3625</v>
      </c>
      <c r="AR476" s="79"/>
      <c r="AS476" s="79">
        <f t="shared" si="95"/>
        <v>-3625</v>
      </c>
      <c r="AT476" s="101">
        <f t="shared" si="93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4"/>
        <v>0</v>
      </c>
      <c r="AJ477" s="245"/>
      <c r="AK477" s="243"/>
      <c r="AL477" s="246">
        <f>+SUMIF($C:$C,$V477,Q:Q)</f>
        <v>0</v>
      </c>
      <c r="AM477" s="247"/>
      <c r="AN477" s="399">
        <f t="shared" si="96"/>
        <v>0</v>
      </c>
      <c r="AO477" s="211">
        <f t="shared" si="89"/>
        <v>0</v>
      </c>
      <c r="AP477" s="79"/>
      <c r="AQ477" s="79"/>
      <c r="AR477" s="79"/>
      <c r="AS477" s="79">
        <f t="shared" si="95"/>
        <v>0</v>
      </c>
      <c r="AT477" s="101">
        <f t="shared" si="93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20219.791428571429</v>
      </c>
      <c r="AA478" s="243"/>
      <c r="AB478" s="236"/>
      <c r="AC478" s="87"/>
      <c r="AD478" s="245"/>
      <c r="AE478" s="236"/>
      <c r="AF478" s="87">
        <f>-SUMIFS(BV_Data_An_Cour!$O:$O,BV_Data_An_Cour!$V:$V,$V478)</f>
        <v>22650.09</v>
      </c>
      <c r="AG478" s="244"/>
      <c r="AH478" s="399">
        <f t="shared" si="90"/>
        <v>2430.2985714285714</v>
      </c>
      <c r="AI478" s="97">
        <f t="shared" si="94"/>
        <v>0.12019404750112585</v>
      </c>
      <c r="AJ478" s="245"/>
      <c r="AK478" s="243"/>
      <c r="AL478" s="246">
        <f>+INDEX('Réel 2025'!$A$2:$AO$500,MATCH($A478,'Réel 2025'!$A$2:$A$500,0),MATCH(F$2,'Réel 2025'!$A$2:$AO$2,0))</f>
        <v>17324.45</v>
      </c>
      <c r="AM478" s="247"/>
      <c r="AN478" s="399">
        <f t="shared" si="96"/>
        <v>5325.6399999999994</v>
      </c>
      <c r="AO478" s="211">
        <f t="shared" si="89"/>
        <v>0.30740600711710903</v>
      </c>
      <c r="AP478" s="79"/>
      <c r="AQ478" s="79">
        <v>21527</v>
      </c>
      <c r="AR478" s="79">
        <f>3083.85-1079.27-881.2</f>
        <v>1123.3799999999999</v>
      </c>
      <c r="AS478" s="79">
        <f t="shared" si="95"/>
        <v>22650.38</v>
      </c>
      <c r="AT478" s="101">
        <f t="shared" si="93"/>
        <v>0.29000000000087311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4"/>
        <v>0</v>
      </c>
      <c r="AJ479" s="404"/>
      <c r="AK479" s="397"/>
      <c r="AL479" s="87">
        <f>+SUMIF($C:$C,$V479,Q:Q)</f>
        <v>0</v>
      </c>
      <c r="AM479" s="247"/>
      <c r="AN479" s="399">
        <f t="shared" si="96"/>
        <v>0</v>
      </c>
      <c r="AO479" s="211">
        <f t="shared" si="89"/>
        <v>0</v>
      </c>
      <c r="AP479" s="79"/>
      <c r="AQ479" s="79"/>
      <c r="AR479" s="79"/>
      <c r="AS479" s="79">
        <f t="shared" si="95"/>
        <v>0</v>
      </c>
      <c r="AT479" s="101">
        <f t="shared" si="93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4"/>
        <v>0</v>
      </c>
      <c r="AJ480" s="404"/>
      <c r="AK480" s="397"/>
      <c r="AL480" s="87">
        <f>+SUMIF($C:$C,$V480,Q:Q)</f>
        <v>0</v>
      </c>
      <c r="AM480" s="247"/>
      <c r="AN480" s="399">
        <f t="shared" si="96"/>
        <v>0</v>
      </c>
      <c r="AO480" s="211">
        <f t="shared" si="89"/>
        <v>0</v>
      </c>
      <c r="AP480" s="79"/>
      <c r="AQ480" s="79"/>
      <c r="AR480" s="79"/>
      <c r="AS480" s="79">
        <f t="shared" si="95"/>
        <v>0</v>
      </c>
      <c r="AT480" s="101">
        <f t="shared" si="93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24383.1</v>
      </c>
      <c r="AA481" s="243"/>
      <c r="AB481" s="236"/>
      <c r="AC481" s="87"/>
      <c r="AD481" s="245"/>
      <c r="AE481" s="236"/>
      <c r="AF481" s="87">
        <f>+SUMIF($C:$C,$V481,L:L)</f>
        <v>30940</v>
      </c>
      <c r="AG481" s="244"/>
      <c r="AH481" s="399">
        <f t="shared" si="90"/>
        <v>6556.9000000000015</v>
      </c>
      <c r="AI481" s="97">
        <f t="shared" si="94"/>
        <v>0.26891166422645202</v>
      </c>
      <c r="AJ481" s="245"/>
      <c r="AK481" s="243"/>
      <c r="AL481" s="246">
        <f>+INDEX('Réel 2025'!$A$2:$AO$500,MATCH($A481,'Réel 2025'!$A$2:$A$500,0),MATCH(F$2,'Réel 2025'!$A$2:$AO$2,0))</f>
        <v>18445</v>
      </c>
      <c r="AM481" s="247"/>
      <c r="AN481" s="399">
        <f t="shared" si="96"/>
        <v>12495</v>
      </c>
      <c r="AO481" s="211">
        <f t="shared" si="89"/>
        <v>0.67741935483870963</v>
      </c>
      <c r="AP481" s="79"/>
      <c r="AQ481" s="79">
        <v>30940</v>
      </c>
      <c r="AR481" s="79"/>
      <c r="AS481" s="79">
        <f t="shared" si="95"/>
        <v>30940</v>
      </c>
      <c r="AT481" s="101">
        <f t="shared" si="93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0.24102566236107334</v>
      </c>
      <c r="Y482" s="103"/>
      <c r="Z482" s="90">
        <f>SUM(Z470:Z481)</f>
        <v>116945.83571428573</v>
      </c>
      <c r="AA482" s="89"/>
      <c r="AB482" s="103"/>
      <c r="AC482" s="90"/>
      <c r="AD482" s="89">
        <f>AF482/+AF408</f>
        <v>0.28770310265685073</v>
      </c>
      <c r="AE482" s="103"/>
      <c r="AF482" s="90">
        <f>SUM(AF470:AF481)</f>
        <v>137883.91</v>
      </c>
      <c r="AG482" s="99"/>
      <c r="AH482" s="93">
        <f t="shared" si="90"/>
        <v>20938.074285714276</v>
      </c>
      <c r="AI482" s="89">
        <f>AH482/Z482</f>
        <v>0.1790407854869564</v>
      </c>
      <c r="AJ482" s="109"/>
      <c r="AK482" s="110"/>
      <c r="AL482" s="90">
        <f>SUM(AL470:AL481)</f>
        <v>92585.48</v>
      </c>
      <c r="AM482" s="111"/>
      <c r="AN482" s="93">
        <f t="shared" si="96"/>
        <v>45298.430000000008</v>
      </c>
      <c r="AO482" s="544">
        <f t="shared" si="89"/>
        <v>0.48926062704432716</v>
      </c>
      <c r="AP482" s="79"/>
      <c r="AQ482" s="79">
        <f>SUM(AQ470:AQ481)</f>
        <v>137233</v>
      </c>
      <c r="AR482" s="79">
        <f>SUM(AR470:AR481)</f>
        <v>651.36999999999966</v>
      </c>
      <c r="AS482" s="101">
        <f>SUM(AS470:AS481)-AF482</f>
        <v>0.45999999999185093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6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20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3.0938354979787221E-2</v>
      </c>
      <c r="Z484" s="427">
        <f>Z408-Z469+Z482</f>
        <v>137355.23045253073</v>
      </c>
      <c r="AA484" s="425"/>
      <c r="AB484" s="426"/>
      <c r="AC484" s="427"/>
      <c r="AD484" s="425" t="s">
        <v>247</v>
      </c>
      <c r="AE484" s="426">
        <f>AF484/AF407</f>
        <v>3.4184862666225641E-2</v>
      </c>
      <c r="AF484" s="214">
        <f>AF408-AF469+AF482</f>
        <v>174709.72999999989</v>
      </c>
      <c r="AG484" s="428"/>
      <c r="AH484" s="214">
        <f>AF484-Z484</f>
        <v>37354.499547469168</v>
      </c>
      <c r="AI484" s="721">
        <f>AH484/Z484</f>
        <v>0.27195542116889893</v>
      </c>
      <c r="AJ484" s="429" t="s">
        <v>247</v>
      </c>
      <c r="AK484" s="426">
        <f>IF($AL$407=0,0,AL484/$AL$407)</f>
        <v>1.6985761364583369E-2</v>
      </c>
      <c r="AL484" s="214">
        <f>AL408-AL469+AL482</f>
        <v>60339.969999999579</v>
      </c>
      <c r="AM484" s="215"/>
      <c r="AN484" s="214">
        <f t="shared" si="96"/>
        <v>114369.76000000031</v>
      </c>
      <c r="AO484" s="430">
        <f t="shared" si="89"/>
        <v>1.8954228846981713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">
      <c r="A486" t="str">
        <f t="shared" ref="A486:A499" si="97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Juillet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7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20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3.7443079964802062E-2</v>
      </c>
      <c r="Z489" s="914">
        <f>Z490+Z416</f>
        <v>166233.88285440425</v>
      </c>
      <c r="AA489" s="911"/>
      <c r="AB489" s="912"/>
      <c r="AC489" s="913"/>
      <c r="AD489" s="911" t="s">
        <v>247</v>
      </c>
      <c r="AE489" s="912">
        <f>AF489/AF407</f>
        <v>4.009767317734108E-2</v>
      </c>
      <c r="AF489" s="914">
        <f>AF490+AF416</f>
        <v>204928.52999999991</v>
      </c>
      <c r="AG489" s="915"/>
      <c r="AH489" s="914">
        <f t="shared" ref="AH489" si="98">AF489-Z489</f>
        <v>38694.647145595663</v>
      </c>
      <c r="AI489" s="968">
        <f>AH489/Z489</f>
        <v>0.23277232343472554</v>
      </c>
      <c r="AJ489" s="911" t="s">
        <v>247</v>
      </c>
      <c r="AK489" s="912">
        <f>IF($AL$407=0,0,AL489/$AL$407)</f>
        <v>2.4492610227399313E-2</v>
      </c>
      <c r="AL489" s="914">
        <f>AL490+AL416</f>
        <v>87007.18999999958</v>
      </c>
      <c r="AM489" s="916"/>
      <c r="AN489" s="914">
        <f t="shared" ref="AN489" si="99">AF489-AL489</f>
        <v>117921.34000000033</v>
      </c>
      <c r="AO489" s="917">
        <f t="shared" ref="AO489" si="100">IF(AL489=0,0,AN489/AL489)</f>
        <v>1.3553056937018757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20" thickTop="1" thickBot="1">
      <c r="A490" t="str">
        <f t="shared" si="97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3.0938354979787221E-2</v>
      </c>
      <c r="Z490" s="435">
        <f>Z484</f>
        <v>137355.23045253073</v>
      </c>
      <c r="AA490" s="433"/>
      <c r="AB490" s="434"/>
      <c r="AC490" s="435"/>
      <c r="AD490" s="433" t="s">
        <v>247</v>
      </c>
      <c r="AE490" s="434">
        <f>AF490/AF407</f>
        <v>3.4184862666225641E-2</v>
      </c>
      <c r="AF490" s="435">
        <f>AF484</f>
        <v>174709.72999999989</v>
      </c>
      <c r="AG490" s="436"/>
      <c r="AH490" s="214">
        <f>AF490-Z490</f>
        <v>37354.499547469168</v>
      </c>
      <c r="AI490" s="721">
        <f>AH490/Z490</f>
        <v>0.27195542116889893</v>
      </c>
      <c r="AJ490" s="433" t="s">
        <v>247</v>
      </c>
      <c r="AK490" s="434">
        <f>IF($AL$407=0,0,AL490/$AL$407)</f>
        <v>1.6985761364583369E-2</v>
      </c>
      <c r="AL490" s="437">
        <f>AL484</f>
        <v>60339.969999999579</v>
      </c>
      <c r="AM490" s="438"/>
      <c r="AN490" s="439">
        <f>AF490-AL490</f>
        <v>114369.76000000031</v>
      </c>
      <c r="AO490" s="440">
        <f>IF(AL490=0,0,AN490/AL490)</f>
        <v>1.8954228846981713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97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97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1">AF492-Z492</f>
        <v>0</v>
      </c>
      <c r="AI492" s="97">
        <f t="shared" ref="AI492:AI498" si="102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3">AF492-AL492</f>
        <v>-15222.25</v>
      </c>
      <c r="AO492" s="211">
        <f t="shared" ref="AO492:AO499" si="104">IF(AL492=0,0,AN492/AL492)</f>
        <v>-0.78871761658031092</v>
      </c>
      <c r="AP492" s="79"/>
      <c r="AQ492" s="1395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7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1"/>
        <v>0</v>
      </c>
      <c r="AI493" s="97">
        <f t="shared" si="102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3"/>
        <v>0</v>
      </c>
      <c r="AO493" s="211">
        <f t="shared" si="104"/>
        <v>0</v>
      </c>
      <c r="AP493" s="79"/>
      <c r="AQ493" s="79"/>
      <c r="AR493" s="101">
        <f t="shared" ref="AR493:AR497" si="105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7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1"/>
        <v>0</v>
      </c>
      <c r="AI494" s="97">
        <f t="shared" si="102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3"/>
        <v>0</v>
      </c>
      <c r="AO494" s="211">
        <f t="shared" si="104"/>
        <v>0</v>
      </c>
      <c r="AP494" s="79"/>
      <c r="AQ494" s="79"/>
      <c r="AR494" s="101">
        <f t="shared" si="105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7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1"/>
        <v>0</v>
      </c>
      <c r="AI495" s="97">
        <f t="shared" si="102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3"/>
        <v>0</v>
      </c>
      <c r="AO495" s="211">
        <f t="shared" si="104"/>
        <v>0</v>
      </c>
      <c r="AP495" s="79"/>
      <c r="AQ495" s="79"/>
      <c r="AR495" s="101">
        <f t="shared" si="105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7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1"/>
        <v>0</v>
      </c>
      <c r="AI496" s="400">
        <f t="shared" si="102"/>
        <v>0</v>
      </c>
      <c r="AJ496" s="404"/>
      <c r="AK496" s="397"/>
      <c r="AL496" s="87"/>
      <c r="AM496" s="444"/>
      <c r="AN496" s="399">
        <f t="shared" si="103"/>
        <v>0</v>
      </c>
      <c r="AO496" s="211">
        <f t="shared" si="104"/>
        <v>0</v>
      </c>
      <c r="AP496" s="79"/>
      <c r="AQ496" s="79"/>
      <c r="AR496" s="101">
        <f t="shared" si="105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7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-3142.47</v>
      </c>
      <c r="AG497" s="398"/>
      <c r="AH497" s="399">
        <f t="shared" si="101"/>
        <v>-3142.47</v>
      </c>
      <c r="AI497" s="400">
        <f t="shared" si="102"/>
        <v>0</v>
      </c>
      <c r="AJ497" s="404"/>
      <c r="AK497" s="397"/>
      <c r="AL497" s="87">
        <f>+INDEX('Réel 2025'!$A$2:$AO$500,MATCH($A497,'Réel 2025'!$A$2:$A$500,0),MATCH(F$2,'Réel 2025'!$A$2:$AO$2,0))</f>
        <v>-2632.46</v>
      </c>
      <c r="AM497" s="444"/>
      <c r="AN497" s="399">
        <f t="shared" si="103"/>
        <v>-510.00999999999976</v>
      </c>
      <c r="AO497" s="211">
        <f t="shared" si="104"/>
        <v>0.19373893620415875</v>
      </c>
      <c r="AP497" s="79"/>
      <c r="AQ497" s="101">
        <v>-3142</v>
      </c>
      <c r="AR497" s="101">
        <f t="shared" si="105"/>
        <v>0.46999999999979991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7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1"/>
        <v>0</v>
      </c>
      <c r="AI498" s="400">
        <f t="shared" si="102"/>
        <v>0</v>
      </c>
      <c r="AJ498" s="404"/>
      <c r="AK498" s="397"/>
      <c r="AL498" s="87"/>
      <c r="AM498" s="444"/>
      <c r="AN498" s="399">
        <f t="shared" si="103"/>
        <v>0</v>
      </c>
      <c r="AO498" s="211">
        <f t="shared" si="104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20" thickTop="1" thickBot="1">
      <c r="A499" t="str">
        <f t="shared" si="97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3.0019868828199226E-2</v>
      </c>
      <c r="Z499" s="427">
        <f>Z490-Z492-Z493-Z494-Z498-Z497-Z495-Z496</f>
        <v>133277.48045253073</v>
      </c>
      <c r="AA499" s="425"/>
      <c r="AB499" s="426"/>
      <c r="AC499" s="427"/>
      <c r="AD499" s="425" t="s">
        <v>247</v>
      </c>
      <c r="AE499" s="426">
        <f>AF499/AF407</f>
        <v>3.4001859588180319E-2</v>
      </c>
      <c r="AF499" s="214">
        <f>AF490-AF492-AF493-AF494-AF498-AF497-AF495-AF496</f>
        <v>173774.4499999999</v>
      </c>
      <c r="AG499" s="428"/>
      <c r="AH499" s="214">
        <f t="shared" si="101"/>
        <v>40496.969547469169</v>
      </c>
      <c r="AI499" s="721">
        <f>AH499/Z499</f>
        <v>0.3038545552479357</v>
      </c>
      <c r="AJ499" s="429" t="s">
        <v>247</v>
      </c>
      <c r="AK499" s="426">
        <f>IF($AL$407=0,0,AL499/$AL$407)</f>
        <v>1.2293832333550541E-2</v>
      </c>
      <c r="AL499" s="214">
        <f>AL490-AL492-AL493-AL494-AL498-AL497-AL495-AL496</f>
        <v>43672.429999999578</v>
      </c>
      <c r="AM499" s="215"/>
      <c r="AN499" s="214">
        <f t="shared" si="103"/>
        <v>130102.02000000031</v>
      </c>
      <c r="AO499" s="445">
        <f t="shared" si="104"/>
        <v>2.9790423844059415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173774.4499999999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399">
        <v>-10600</v>
      </c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2949</v>
      </c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2950</v>
      </c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3008</v>
      </c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398">
        <f>AF499+AF508+AF509+AF510+AF511</f>
        <v>163174.4499999999</v>
      </c>
      <c r="AG512" s="101">
        <f>AF512-AF506</f>
        <v>163174.4499999999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  <mergeCell ref="D239:F239"/>
    <mergeCell ref="G239:I239"/>
    <mergeCell ref="J239:L239"/>
    <mergeCell ref="M239:N239"/>
    <mergeCell ref="G171:I171"/>
    <mergeCell ref="J171:L171"/>
    <mergeCell ref="M171:N171"/>
    <mergeCell ref="O239:Q239"/>
    <mergeCell ref="R239:S239"/>
    <mergeCell ref="G359:I359"/>
    <mergeCell ref="J359:L359"/>
    <mergeCell ref="M359:N359"/>
    <mergeCell ref="O359:Q359"/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334" priority="26" stopIfTrue="1">
      <formula>"esterreur(reference)"</formula>
    </cfRule>
  </conditionalFormatting>
  <conditionalFormatting sqref="E103:E105">
    <cfRule type="expression" dxfId="333" priority="2" stopIfTrue="1">
      <formula>"esterreur(reference)"</formula>
    </cfRule>
  </conditionalFormatting>
  <conditionalFormatting sqref="F5">
    <cfRule type="expression" dxfId="332" priority="288" stopIfTrue="1">
      <formula>"esterreur(reference)"</formula>
    </cfRule>
  </conditionalFormatting>
  <conditionalFormatting sqref="F185">
    <cfRule type="expression" dxfId="331" priority="364" stopIfTrue="1">
      <formula>"esterreur(reference)"</formula>
    </cfRule>
  </conditionalFormatting>
  <conditionalFormatting sqref="G31:G32">
    <cfRule type="expression" dxfId="330" priority="30" stopIfTrue="1">
      <formula>"esterreur(reference)"</formula>
    </cfRule>
  </conditionalFormatting>
  <conditionalFormatting sqref="G113:G114">
    <cfRule type="expression" dxfId="329" priority="27" stopIfTrue="1">
      <formula>"esterreur(reference)"</formula>
    </cfRule>
  </conditionalFormatting>
  <conditionalFormatting sqref="H137:H153">
    <cfRule type="expression" dxfId="328" priority="78" stopIfTrue="1">
      <formula>"esterreur(reference)"</formula>
    </cfRule>
  </conditionalFormatting>
  <conditionalFormatting sqref="H361">
    <cfRule type="expression" dxfId="327" priority="640" stopIfTrue="1">
      <formula>"esterreur(reference)"</formula>
    </cfRule>
  </conditionalFormatting>
  <conditionalFormatting sqref="H198:L198">
    <cfRule type="expression" dxfId="326" priority="646" stopIfTrue="1">
      <formula>"esterreur(reference)"</formula>
    </cfRule>
  </conditionalFormatting>
  <conditionalFormatting sqref="H397:L400">
    <cfRule type="expression" dxfId="325" priority="637" stopIfTrue="1">
      <formula>"esterreur(reference)"</formula>
    </cfRule>
  </conditionalFormatting>
  <conditionalFormatting sqref="I378:L378 H379:H396">
    <cfRule type="expression" dxfId="324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3" priority="614" stopIfTrue="1">
      <formula>"esterreur(reference)"</formula>
    </cfRule>
  </conditionalFormatting>
  <conditionalFormatting sqref="J49:L72">
    <cfRule type="expression" dxfId="322" priority="84" stopIfTrue="1">
      <formula>"esterreur(reference)"</formula>
    </cfRule>
  </conditionalFormatting>
  <conditionalFormatting sqref="J103:L105">
    <cfRule type="expression" dxfId="321" priority="548" stopIfTrue="1">
      <formula>"esterreur(reference)"</formula>
    </cfRule>
  </conditionalFormatting>
  <conditionalFormatting sqref="J150:L153">
    <cfRule type="expression" dxfId="320" priority="77" stopIfTrue="1">
      <formula>"esterreur(reference)"</formula>
    </cfRule>
  </conditionalFormatting>
  <conditionalFormatting sqref="J296:L304">
    <cfRule type="expression" dxfId="319" priority="448" stopIfTrue="1">
      <formula>"esterreur(reference)"</formula>
    </cfRule>
  </conditionalFormatting>
  <conditionalFormatting sqref="J308:L309">
    <cfRule type="expression" dxfId="318" priority="389" stopIfTrue="1">
      <formula>"esterreur(reference)"</formula>
    </cfRule>
  </conditionalFormatting>
  <conditionalFormatting sqref="J361:L361">
    <cfRule type="expression" dxfId="317" priority="360" stopIfTrue="1">
      <formula>"esterreur(reference)"</formula>
    </cfRule>
  </conditionalFormatting>
  <conditionalFormatting sqref="J366:L377">
    <cfRule type="expression" dxfId="316" priority="376" stopIfTrue="1">
      <formula>"esterreur(reference)"</formula>
    </cfRule>
  </conditionalFormatting>
  <conditionalFormatting sqref="J379:L395">
    <cfRule type="expression" dxfId="315" priority="374" stopIfTrue="1">
      <formula>"esterreur(reference)"</formula>
    </cfRule>
  </conditionalFormatting>
  <conditionalFormatting sqref="J313:M313">
    <cfRule type="expression" dxfId="314" priority="382" stopIfTrue="1">
      <formula>"esterreur(reference)"</formula>
    </cfRule>
  </conditionalFormatting>
  <conditionalFormatting sqref="J113:Q122">
    <cfRule type="expression" dxfId="313" priority="28" stopIfTrue="1">
      <formula>"esterreur(reference)"</formula>
    </cfRule>
  </conditionalFormatting>
  <conditionalFormatting sqref="J124:Q135">
    <cfRule type="expression" dxfId="312" priority="206" stopIfTrue="1">
      <formula>"esterreur(reference)"</formula>
    </cfRule>
  </conditionalFormatting>
  <conditionalFormatting sqref="K5">
    <cfRule type="expression" dxfId="311" priority="434" stopIfTrue="1">
      <formula>"esterreur(reference)"</formula>
    </cfRule>
  </conditionalFormatting>
  <conditionalFormatting sqref="K176">
    <cfRule type="expression" dxfId="310" priority="401" stopIfTrue="1">
      <formula>"esterreur(reference)"</formula>
    </cfRule>
  </conditionalFormatting>
  <conditionalFormatting sqref="K184:K185">
    <cfRule type="expression" dxfId="309" priority="423" stopIfTrue="1">
      <formula>"esterreur(reference)"</formula>
    </cfRule>
  </conditionalFormatting>
  <conditionalFormatting sqref="K288">
    <cfRule type="expression" dxfId="308" priority="352" stopIfTrue="1">
      <formula>"esterreur(reference)"</formula>
    </cfRule>
  </conditionalFormatting>
  <conditionalFormatting sqref="K396">
    <cfRule type="expression" dxfId="307" priority="641" stopIfTrue="1">
      <formula>"esterreur(reference)"</formula>
    </cfRule>
  </conditionalFormatting>
  <conditionalFormatting sqref="K93:L96">
    <cfRule type="expression" dxfId="306" priority="373" stopIfTrue="1">
      <formula>"esterreur(reference)"</formula>
    </cfRule>
  </conditionalFormatting>
  <conditionalFormatting sqref="K100:L101">
    <cfRule type="expression" dxfId="305" priority="552" stopIfTrue="1">
      <formula>"esterreur(reference)"</formula>
    </cfRule>
  </conditionalFormatting>
  <conditionalFormatting sqref="K172:L174">
    <cfRule type="expression" dxfId="304" priority="402" stopIfTrue="1">
      <formula>"esterreur(reference)"</formula>
    </cfRule>
  </conditionalFormatting>
  <conditionalFormatting sqref="K177:L183">
    <cfRule type="expression" dxfId="303" priority="398" stopIfTrue="1">
      <formula>"esterreur(reference)"</formula>
    </cfRule>
  </conditionalFormatting>
  <conditionalFormatting sqref="K186:L197">
    <cfRule type="expression" dxfId="302" priority="383" stopIfTrue="1">
      <formula>"esterreur(reference)"</formula>
    </cfRule>
  </conditionalFormatting>
  <conditionalFormatting sqref="K240:L242">
    <cfRule type="expression" dxfId="301" priority="365" stopIfTrue="1">
      <formula>"esterreur(reference)"</formula>
    </cfRule>
  </conditionalFormatting>
  <conditionalFormatting sqref="K245:L245">
    <cfRule type="expression" dxfId="300" priority="393" stopIfTrue="1">
      <formula>"esterreur(reference)"</formula>
    </cfRule>
  </conditionalFormatting>
  <conditionalFormatting sqref="K248:L248">
    <cfRule type="expression" dxfId="299" priority="391" stopIfTrue="1">
      <formula>"esterreur(reference)"</formula>
    </cfRule>
  </conditionalFormatting>
  <conditionalFormatting sqref="L16:L24 Q16:Q24 O18:O24 D31:D32 L99 O99 Q99">
    <cfRule type="expression" dxfId="298" priority="31" stopIfTrue="1">
      <formula>"esterreur(reference)"</formula>
    </cfRule>
  </conditionalFormatting>
  <conditionalFormatting sqref="L42:L48">
    <cfRule type="expression" dxfId="297" priority="588" stopIfTrue="1">
      <formula>"esterreur(reference)"</formula>
    </cfRule>
  </conditionalFormatting>
  <conditionalFormatting sqref="L75:L82">
    <cfRule type="expression" dxfId="296" priority="291" stopIfTrue="1">
      <formula>"esterreur(reference)"</formula>
    </cfRule>
  </conditionalFormatting>
  <conditionalFormatting sqref="L137:L148">
    <cfRule type="expression" dxfId="295" priority="299" stopIfTrue="1">
      <formula>"esterreur(reference)"</formula>
    </cfRule>
  </conditionalFormatting>
  <conditionalFormatting sqref="L175:L176">
    <cfRule type="expression" dxfId="294" priority="496" stopIfTrue="1">
      <formula>"esterreur(reference)"</formula>
    </cfRule>
  </conditionalFormatting>
  <conditionalFormatting sqref="L199:L210">
    <cfRule type="expression" dxfId="293" priority="481" stopIfTrue="1">
      <formula>"esterreur(reference)"</formula>
    </cfRule>
  </conditionalFormatting>
  <conditionalFormatting sqref="L212:L229">
    <cfRule type="expression" dxfId="292" priority="297" stopIfTrue="1">
      <formula>"esterreur(reference)"</formula>
    </cfRule>
  </conditionalFormatting>
  <conditionalFormatting sqref="L255:L266">
    <cfRule type="expression" dxfId="291" priority="462" stopIfTrue="1">
      <formula>"esterreur(reference)"</formula>
    </cfRule>
  </conditionalFormatting>
  <conditionalFormatting sqref="L268:L285">
    <cfRule type="expression" dxfId="290" priority="295" stopIfTrue="1">
      <formula>"esterreur(reference)"</formula>
    </cfRule>
  </conditionalFormatting>
  <conditionalFormatting sqref="L319:L330">
    <cfRule type="expression" dxfId="289" priority="438" stopIfTrue="1">
      <formula>"esterreur(reference)"</formula>
    </cfRule>
  </conditionalFormatting>
  <conditionalFormatting sqref="L332">
    <cfRule type="expression" dxfId="288" priority="293" stopIfTrue="1">
      <formula>"esterreur(reference)"</formula>
    </cfRule>
  </conditionalFormatting>
  <conditionalFormatting sqref="L335:L344 L346:L349">
    <cfRule type="expression" dxfId="287" priority="436" stopIfTrue="1">
      <formula>"esterreur(reference)"</formula>
    </cfRule>
  </conditionalFormatting>
  <conditionalFormatting sqref="L357:L358 H358:I358 K358 J358:J359 H360:L360">
    <cfRule type="expression" dxfId="286" priority="636" stopIfTrue="1">
      <formula>"esterreur(reference)"</formula>
    </cfRule>
  </conditionalFormatting>
  <conditionalFormatting sqref="L5:Q14">
    <cfRule type="expression" dxfId="285" priority="256" stopIfTrue="1">
      <formula>"esterreur(reference)"</formula>
    </cfRule>
  </conditionalFormatting>
  <conditionalFormatting sqref="L157:Q163">
    <cfRule type="expression" dxfId="284" priority="74" stopIfTrue="1">
      <formula>"esterreur(reference)"</formula>
    </cfRule>
  </conditionalFormatting>
  <conditionalFormatting sqref="M95:M97">
    <cfRule type="expression" dxfId="283" priority="615" stopIfTrue="1">
      <formula>"esterreur(reference)"</formula>
    </cfRule>
  </conditionalFormatting>
  <conditionalFormatting sqref="O13:O14 O16 O83:Q85">
    <cfRule type="expression" dxfId="282" priority="283" stopIfTrue="1">
      <formula>"esterreur(reference)"</formula>
    </cfRule>
  </conditionalFormatting>
  <conditionalFormatting sqref="O173:O197 Q184 O199:P230 O233:Q233 O234:P234">
    <cfRule type="expression" dxfId="281" priority="171" stopIfTrue="1">
      <formula>"esterreur(reference)"</formula>
    </cfRule>
  </conditionalFormatting>
  <conditionalFormatting sqref="O319:P349 O350:Q350 O353:Q353 O354:P354">
    <cfRule type="expression" dxfId="280" priority="112" stopIfTrue="1">
      <formula>"esterreur(reference)"</formula>
    </cfRule>
  </conditionalFormatting>
  <conditionalFormatting sqref="O25:Q72">
    <cfRule type="expression" dxfId="279" priority="29" stopIfTrue="1">
      <formula>"esterreur(reference)"</formula>
    </cfRule>
  </conditionalFormatting>
  <conditionalFormatting sqref="O97:Q99 O123:Q123 O157:P158 O165:Q165 O166:P166">
    <cfRule type="expression" dxfId="278" priority="247" stopIfTrue="1">
      <formula>"esterreur(reference)"</formula>
    </cfRule>
  </conditionalFormatting>
  <conditionalFormatting sqref="O102:Q112">
    <cfRule type="expression" dxfId="277" priority="1" stopIfTrue="1">
      <formula>"esterreur(reference)"</formula>
    </cfRule>
  </conditionalFormatting>
  <conditionalFormatting sqref="O136:Q154">
    <cfRule type="expression" dxfId="276" priority="75" stopIfTrue="1">
      <formula>"esterreur(reference)"</formula>
    </cfRule>
  </conditionalFormatting>
  <conditionalFormatting sqref="O198:Q198">
    <cfRule type="expression" dxfId="275" priority="173" stopIfTrue="1">
      <formula>"esterreur(reference)"</formula>
    </cfRule>
  </conditionalFormatting>
  <conditionalFormatting sqref="O244:Q244 O253:Q254 O255:P285 O286:Q286 O289:Q289 O290:P290">
    <cfRule type="expression" dxfId="274" priority="140" stopIfTrue="1">
      <formula>"esterreur(reference)"</formula>
    </cfRule>
  </conditionalFormatting>
  <conditionalFormatting sqref="O296:Q318">
    <cfRule type="expression" dxfId="273" priority="97" stopIfTrue="1">
      <formula>"esterreur(reference)"</formula>
    </cfRule>
  </conditionalFormatting>
  <conditionalFormatting sqref="O360:Q395">
    <cfRule type="expression" dxfId="272" priority="86" stopIfTrue="1">
      <formula>"esterreur(reference)"</formula>
    </cfRule>
  </conditionalFormatting>
  <conditionalFormatting sqref="O397:Q400">
    <cfRule type="expression" dxfId="271" priority="93" stopIfTrue="1">
      <formula>"esterreur(reference)"</formula>
    </cfRule>
  </conditionalFormatting>
  <conditionalFormatting sqref="P5">
    <cfRule type="expression" dxfId="270" priority="257" stopIfTrue="1">
      <formula>"esterreur(reference)"</formula>
    </cfRule>
  </conditionalFormatting>
  <conditionalFormatting sqref="P176">
    <cfRule type="expression" dxfId="269" priority="148" stopIfTrue="1">
      <formula>"esterreur(reference)"</formula>
    </cfRule>
  </conditionalFormatting>
  <conditionalFormatting sqref="P184:P185">
    <cfRule type="expression" dxfId="268" priority="150" stopIfTrue="1">
      <formula>"esterreur(reference)"</formula>
    </cfRule>
  </conditionalFormatting>
  <conditionalFormatting sqref="P288">
    <cfRule type="expression" dxfId="267" priority="115" stopIfTrue="1">
      <formula>"esterreur(reference)"</formula>
    </cfRule>
  </conditionalFormatting>
  <conditionalFormatting sqref="P396">
    <cfRule type="expression" dxfId="266" priority="95" stopIfTrue="1">
      <formula>"esterreur(reference)"</formula>
    </cfRule>
  </conditionalFormatting>
  <conditionalFormatting sqref="P93:Q96">
    <cfRule type="expression" dxfId="265" priority="207" stopIfTrue="1">
      <formula>"esterreur(reference)"</formula>
    </cfRule>
  </conditionalFormatting>
  <conditionalFormatting sqref="P100:Q101">
    <cfRule type="expression" dxfId="264" priority="244" stopIfTrue="1">
      <formula>"esterreur(reference)"</formula>
    </cfRule>
  </conditionalFormatting>
  <conditionalFormatting sqref="P173:Q174">
    <cfRule type="expression" dxfId="263" priority="149" stopIfTrue="1">
      <formula>"esterreur(reference)"</formula>
    </cfRule>
  </conditionalFormatting>
  <conditionalFormatting sqref="P177:Q183">
    <cfRule type="expression" dxfId="262" priority="146" stopIfTrue="1">
      <formula>"esterreur(reference)"</formula>
    </cfRule>
  </conditionalFormatting>
  <conditionalFormatting sqref="P186:Q197">
    <cfRule type="expression" dxfId="261" priority="144" stopIfTrue="1">
      <formula>"esterreur(reference)"</formula>
    </cfRule>
  </conditionalFormatting>
  <conditionalFormatting sqref="P242:Q242">
    <cfRule type="expression" dxfId="260" priority="116" stopIfTrue="1">
      <formula>"esterreur(reference)"</formula>
    </cfRule>
  </conditionalFormatting>
  <conditionalFormatting sqref="P245:Q245">
    <cfRule type="expression" dxfId="259" priority="118" stopIfTrue="1">
      <formula>"esterreur(reference)"</formula>
    </cfRule>
  </conditionalFormatting>
  <conditionalFormatting sqref="P248:Q248">
    <cfRule type="expression" dxfId="258" priority="117" stopIfTrue="1">
      <formula>"esterreur(reference)"</formula>
    </cfRule>
  </conditionalFormatting>
  <conditionalFormatting sqref="Q75:Q82">
    <cfRule type="expression" dxfId="257" priority="261" stopIfTrue="1">
      <formula>"esterreur(reference)"</formula>
    </cfRule>
  </conditionalFormatting>
  <conditionalFormatting sqref="Q175:Q176">
    <cfRule type="expression" dxfId="256" priority="169" stopIfTrue="1">
      <formula>"esterreur(reference)"</formula>
    </cfRule>
  </conditionalFormatting>
  <conditionalFormatting sqref="Q199:Q210">
    <cfRule type="expression" dxfId="255" priority="155" stopIfTrue="1">
      <formula>"esterreur(reference)"</formula>
    </cfRule>
  </conditionalFormatting>
  <conditionalFormatting sqref="Q212:Q229">
    <cfRule type="expression" dxfId="254" priority="143" stopIfTrue="1">
      <formula>"esterreur(reference)"</formula>
    </cfRule>
  </conditionalFormatting>
  <conditionalFormatting sqref="Q255:Q266">
    <cfRule type="expression" dxfId="253" priority="127" stopIfTrue="1">
      <formula>"esterreur(reference)"</formula>
    </cfRule>
  </conditionalFormatting>
  <conditionalFormatting sqref="Q268:Q285">
    <cfRule type="expression" dxfId="252" priority="114" stopIfTrue="1">
      <formula>"esterreur(reference)"</formula>
    </cfRule>
  </conditionalFormatting>
  <conditionalFormatting sqref="Q319:Q330">
    <cfRule type="expression" dxfId="251" priority="100" stopIfTrue="1">
      <formula>"esterreur(reference)"</formula>
    </cfRule>
  </conditionalFormatting>
  <conditionalFormatting sqref="Q332:Q349">
    <cfRule type="expression" dxfId="250" priority="96" stopIfTrue="1">
      <formula>"esterreur(reference)"</formula>
    </cfRule>
  </conditionalFormatting>
  <conditionalFormatting sqref="R313">
    <cfRule type="expression" dxfId="249" priority="623" stopIfTrue="1">
      <formula>"esterreur(reference)"</formula>
    </cfRule>
  </conditionalFormatting>
  <conditionalFormatting sqref="S187">
    <cfRule type="expression" dxfId="248" priority="358" stopIfTrue="1">
      <formula>"esterreur(reference)"</formula>
    </cfRule>
  </conditionalFormatting>
  <conditionalFormatting sqref="Z426:Z428">
    <cfRule type="cellIs" dxfId="247" priority="20" operator="greaterThan">
      <formula>0</formula>
    </cfRule>
  </conditionalFormatting>
  <conditionalFormatting sqref="Z433">
    <cfRule type="cellIs" dxfId="246" priority="17" operator="greaterThan">
      <formula>0</formula>
    </cfRule>
  </conditionalFormatting>
  <conditionalFormatting sqref="Z450:Z452">
    <cfRule type="cellIs" dxfId="245" priority="13" operator="greaterThan">
      <formula>0</formula>
    </cfRule>
  </conditionalFormatting>
  <conditionalFormatting sqref="Z464:Z466">
    <cfRule type="cellIs" dxfId="244" priority="9" operator="greaterThan">
      <formula>0</formula>
    </cfRule>
  </conditionalFormatting>
  <conditionalFormatting sqref="Z479:Z480">
    <cfRule type="cellIs" dxfId="243" priority="6" operator="greaterThan">
      <formula>0</formula>
    </cfRule>
  </conditionalFormatting>
  <conditionalFormatting sqref="Z496:Z498">
    <cfRule type="cellIs" dxfId="242" priority="3" operator="greaterThan">
      <formula>0</formula>
    </cfRule>
  </conditionalFormatting>
  <conditionalFormatting sqref="AC426:AC428">
    <cfRule type="cellIs" dxfId="241" priority="21" operator="greaterThan">
      <formula>0</formula>
    </cfRule>
  </conditionalFormatting>
  <conditionalFormatting sqref="AC433">
    <cfRule type="cellIs" dxfId="240" priority="18" operator="greaterThan">
      <formula>0</formula>
    </cfRule>
  </conditionalFormatting>
  <conditionalFormatting sqref="AC450:AC452">
    <cfRule type="cellIs" dxfId="239" priority="14" operator="greaterThan">
      <formula>0</formula>
    </cfRule>
  </conditionalFormatting>
  <conditionalFormatting sqref="AC464:AC466">
    <cfRule type="cellIs" dxfId="238" priority="10" operator="greaterThan">
      <formula>0</formula>
    </cfRule>
  </conditionalFormatting>
  <conditionalFormatting sqref="AC479:AC480">
    <cfRule type="cellIs" dxfId="237" priority="7" operator="greaterThan">
      <formula>0</formula>
    </cfRule>
  </conditionalFormatting>
  <conditionalFormatting sqref="AC496:AC498">
    <cfRule type="cellIs" dxfId="236" priority="4" operator="greaterThan">
      <formula>0</formula>
    </cfRule>
  </conditionalFormatting>
  <conditionalFormatting sqref="AG410:AI419">
    <cfRule type="cellIs" dxfId="235" priority="23" operator="greaterThan">
      <formula>0</formula>
    </cfRule>
  </conditionalFormatting>
  <conditionalFormatting sqref="AH450:AH453">
    <cfRule type="cellIs" dxfId="234" priority="15" operator="greaterThan">
      <formula>0</formula>
    </cfRule>
  </conditionalFormatting>
  <conditionalFormatting sqref="AH462:AH467">
    <cfRule type="cellIs" dxfId="233" priority="11" operator="greaterThan">
      <formula>0</formula>
    </cfRule>
  </conditionalFormatting>
  <conditionalFormatting sqref="AH421:AI449">
    <cfRule type="cellIs" dxfId="232" priority="19" operator="greaterThan">
      <formula>0</formula>
    </cfRule>
  </conditionalFormatting>
  <conditionalFormatting sqref="AH454:AI461 AH468:AI469">
    <cfRule type="cellIs" dxfId="231" priority="24" operator="greaterThan">
      <formula>0</formula>
    </cfRule>
  </conditionalFormatting>
  <conditionalFormatting sqref="AH470:AI478 AH481:AI481">
    <cfRule type="cellIs" dxfId="230" priority="25" operator="lessThan">
      <formula>0</formula>
    </cfRule>
  </conditionalFormatting>
  <conditionalFormatting sqref="AH479:AI480">
    <cfRule type="cellIs" dxfId="229" priority="8" operator="greaterThan">
      <formula>0</formula>
    </cfRule>
  </conditionalFormatting>
  <conditionalFormatting sqref="AH492:AI498">
    <cfRule type="cellIs" dxfId="228" priority="5" operator="greaterThan">
      <formula>0</formula>
    </cfRule>
  </conditionalFormatting>
  <conditionalFormatting sqref="AI450:AI452">
    <cfRule type="cellIs" dxfId="227" priority="16" operator="greaterThan">
      <formula>0</formula>
    </cfRule>
  </conditionalFormatting>
  <conditionalFormatting sqref="AI464:AI466">
    <cfRule type="cellIs" dxfId="226" priority="12" operator="greaterThan">
      <formula>0</formula>
    </cfRule>
  </conditionalFormatting>
  <conditionalFormatting sqref="AO410:AO419">
    <cfRule type="cellIs" dxfId="225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R462" zoomScale="70" zoomScaleNormal="70" workbookViewId="0">
      <selection activeCell="AE513" sqref="AE513"/>
    </sheetView>
  </sheetViews>
  <sheetFormatPr baseColWidth="10" defaultColWidth="12.6640625" defaultRowHeight="15" customHeight="1" outlineLevelRow="1"/>
  <cols>
    <col min="1" max="1" width="24.1640625" customWidth="1"/>
    <col min="2" max="2" width="23.1640625" customWidth="1"/>
    <col min="3" max="3" width="34.6640625" customWidth="1"/>
    <col min="4" max="4" width="16.33203125" customWidth="1"/>
    <col min="5" max="5" width="15.6640625" customWidth="1"/>
    <col min="6" max="6" width="16.83203125" customWidth="1"/>
    <col min="7" max="7" width="17.6640625" hidden="1" customWidth="1"/>
    <col min="8" max="8" width="15.6640625" hidden="1" customWidth="1"/>
    <col min="9" max="9" width="15.83203125" hidden="1" customWidth="1"/>
    <col min="10" max="10" width="16.6640625" customWidth="1"/>
    <col min="11" max="11" width="14.5" customWidth="1"/>
    <col min="12" max="12" width="15.83203125" customWidth="1"/>
    <col min="13" max="13" width="12" customWidth="1"/>
    <col min="14" max="14" width="18.6640625" customWidth="1"/>
    <col min="15" max="15" width="16.33203125" customWidth="1"/>
    <col min="16" max="16" width="15.6640625" customWidth="1"/>
    <col min="17" max="17" width="16.33203125" customWidth="1"/>
    <col min="18" max="18" width="13.83203125" customWidth="1"/>
    <col min="19" max="19" width="18.6640625" customWidth="1"/>
    <col min="20" max="20" width="3" customWidth="1"/>
    <col min="21" max="21" width="4" customWidth="1"/>
    <col min="22" max="22" width="28.6640625" customWidth="1"/>
    <col min="23" max="23" width="12.1640625" customWidth="1"/>
    <col min="24" max="24" width="10.83203125" customWidth="1"/>
    <col min="25" max="25" width="10" customWidth="1"/>
    <col min="26" max="26" width="17.33203125" customWidth="1"/>
    <col min="27" max="27" width="10.83203125" hidden="1" customWidth="1"/>
    <col min="28" max="28" width="10" hidden="1" customWidth="1"/>
    <col min="29" max="29" width="17.5" hidden="1" customWidth="1"/>
    <col min="30" max="30" width="10.83203125" customWidth="1"/>
    <col min="31" max="31" width="12" customWidth="1"/>
    <col min="32" max="32" width="18.83203125" customWidth="1"/>
    <col min="33" max="33" width="10.83203125" customWidth="1"/>
    <col min="34" max="34" width="16.1640625" customWidth="1"/>
    <col min="35" max="35" width="12.33203125" customWidth="1"/>
    <col min="36" max="36" width="10.83203125" customWidth="1"/>
    <col min="37" max="37" width="10" customWidth="1"/>
    <col min="38" max="38" width="17.5" customWidth="1"/>
    <col min="39" max="39" width="10.83203125" customWidth="1"/>
    <col min="40" max="40" width="16" customWidth="1"/>
    <col min="41" max="41" width="12.33203125" customWidth="1"/>
    <col min="42" max="42" width="11.6640625" bestFit="1" customWidth="1"/>
    <col min="43" max="62" width="11" customWidth="1"/>
  </cols>
  <sheetData>
    <row r="1" spans="1:40" ht="3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Juillet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33" t="s">
        <v>77</v>
      </c>
      <c r="E3" s="1434"/>
      <c r="F3" s="1435"/>
      <c r="G3" s="1436"/>
      <c r="H3" s="1434"/>
      <c r="I3" s="1435"/>
      <c r="J3" s="1436" t="s">
        <v>78</v>
      </c>
      <c r="K3" s="1434"/>
      <c r="L3" s="1435"/>
      <c r="M3" s="1436" t="s">
        <v>2441</v>
      </c>
      <c r="N3" s="1435"/>
      <c r="O3" s="1433" t="s">
        <v>79</v>
      </c>
      <c r="P3" s="1434"/>
      <c r="Q3" s="1435"/>
      <c r="R3" s="1437" t="s">
        <v>2445</v>
      </c>
      <c r="S3" s="143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17670877.156862747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18178155.689999998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14734615.259999979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49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230357.64705882355</v>
      </c>
      <c r="G6" s="181"/>
      <c r="H6" s="178"/>
      <c r="I6" s="178"/>
      <c r="J6" s="181">
        <f>-SUMIFS(BV_Data_An_Cour!$P:$P,BV_Data_An_Cour!$U:$U,$B6,BV_Data_An_Cour!$V:$V,$C6,BV_Data_An_Cour!$W:$W,J$2)</f>
        <v>52</v>
      </c>
      <c r="K6" s="178">
        <f>IF(J6=0,0,L6/J6)</f>
        <v>5545.9394230769431</v>
      </c>
      <c r="L6" s="472">
        <f>-SUMIFS(BV_Data_An_Cour!$P:$P,BV_Data_An_Cour!$U:$U,$B6,BV_Data_An_Cour!$V:$V,$C6,BV_Data_An_Cour!$W:$W,L$2)</f>
        <v>288388.85000000102</v>
      </c>
      <c r="M6" s="181">
        <f t="shared" ref="M6:M12" si="3">J6-D6</f>
        <v>3</v>
      </c>
      <c r="N6" s="179">
        <f t="shared" ref="N6:N12" si="4">L6-F6</f>
        <v>58031.202941177471</v>
      </c>
      <c r="O6" s="181" cm="1">
        <f t="array" ref="O6">+SUMPRODUCT(('Réel 2025'!$A$8:$A$500=$A6)*('Réel 2025'!$C$3:$AO$3=O$2),'Réel 2025'!$C$8:$AO$500)</f>
        <v>49</v>
      </c>
      <c r="P6" s="178">
        <f t="shared" ref="P6:P12" si="5">IF(O6=0,0,Q6/O6)</f>
        <v>5285.0142857142791</v>
      </c>
      <c r="Q6" s="472" cm="1">
        <f t="array" ref="Q6">+SUMPRODUCT(('Réel 2025'!$A$8:$A$500=$A6)*('Réel 2025'!$C$3:$AO$3=Q$2),'Réel 2025'!$C$8:$AO$500)</f>
        <v>258965.69999999969</v>
      </c>
      <c r="R6" s="181">
        <f>J6-O6</f>
        <v>3</v>
      </c>
      <c r="S6" s="344">
        <f>L6-Q6</f>
        <v>29423.150000001333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117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459634.5</v>
      </c>
      <c r="G7" s="181"/>
      <c r="H7" s="178"/>
      <c r="I7" s="178"/>
      <c r="J7" s="181">
        <f>-SUMIFS(BV_Data_An_Cour!$P:$P,BV_Data_An_Cour!$U:$U,$B7,BV_Data_An_Cour!$V:$V,$C7,BV_Data_An_Cour!$W:$W,J$2)</f>
        <v>88</v>
      </c>
      <c r="K7" s="178">
        <f t="shared" ref="K7:K12" si="6">IF(J7=0,0,L7/J7)</f>
        <v>3935.8829545454228</v>
      </c>
      <c r="L7" s="472">
        <f>-SUMIFS(BV_Data_An_Cour!$P:$P,BV_Data_An_Cour!$U:$U,$B7,BV_Data_An_Cour!$V:$V,$C7,BV_Data_An_Cour!$W:$W,L$2)</f>
        <v>346357.69999999722</v>
      </c>
      <c r="M7" s="181">
        <f t="shared" si="3"/>
        <v>-29</v>
      </c>
      <c r="N7" s="179">
        <f t="shared" si="4"/>
        <v>-113276.80000000278</v>
      </c>
      <c r="O7" s="181" cm="1">
        <f t="array" ref="O7">+SUMPRODUCT(('Réel 2025'!$A$8:$A$500=$A7)*('Réel 2025'!$C$3:$AO$3=O$2),'Réel 2025'!$C$8:$AO$500)</f>
        <v>82</v>
      </c>
      <c r="P7" s="178">
        <f t="shared" si="5"/>
        <v>4125.034512195115</v>
      </c>
      <c r="Q7" s="472" cm="1">
        <f t="array" ref="Q7">+SUMPRODUCT(('Réel 2025'!$A$8:$A$500=$A7)*('Réel 2025'!$C$3:$AO$3=Q$2),'Réel 2025'!$C$8:$AO$500)</f>
        <v>338252.82999999943</v>
      </c>
      <c r="R7" s="181">
        <f t="shared" ref="R7:R12" si="7">J7-O7</f>
        <v>6</v>
      </c>
      <c r="S7" s="344">
        <f t="shared" ref="S7:S12" si="8">L7-Q7</f>
        <v>8104.8699999977835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166</v>
      </c>
      <c r="E13" s="345">
        <f>IF(D13&lt;=0,0,F13/D13)</f>
        <v>4156.5791991495398</v>
      </c>
      <c r="F13" s="346">
        <f t="shared" ref="F13" si="9">+SUM(F6:F12)</f>
        <v>689992.14705882361</v>
      </c>
      <c r="G13" s="347"/>
      <c r="H13" s="345"/>
      <c r="I13" s="346"/>
      <c r="J13" s="347">
        <f>+SUM(J6:J12)</f>
        <v>140</v>
      </c>
      <c r="K13" s="345">
        <f>IF(J13&lt;=0,0,L13/J13)</f>
        <v>4533.9039285714152</v>
      </c>
      <c r="L13" s="346">
        <f>+SUM(L6:L12)</f>
        <v>634746.54999999818</v>
      </c>
      <c r="M13" s="347">
        <f>+SUM(M6:M12)</f>
        <v>-26</v>
      </c>
      <c r="N13" s="346">
        <f t="shared" ref="N13" si="10">+SUM(N6:N12)</f>
        <v>-55245.597058825311</v>
      </c>
      <c r="O13" s="347">
        <f>+SUM(O6:O12)</f>
        <v>131</v>
      </c>
      <c r="P13" s="345">
        <f>IF(O13&lt;=0,0,Q13/O13)</f>
        <v>4558.9200763358713</v>
      </c>
      <c r="Q13" s="346">
        <f t="shared" ref="Q13" si="11">+SUM(Q6:Q12)</f>
        <v>597218.5299999991</v>
      </c>
      <c r="R13" s="347">
        <f>+SUM(R6:R12)</f>
        <v>9</v>
      </c>
      <c r="S13" s="348">
        <f>+SUM(S6:S12)</f>
        <v>37528.019999999116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-0.15662650602409639</v>
      </c>
      <c r="N14" s="233">
        <f>IF(F13=0,0,N13/F13)</f>
        <v>-8.0066993942346246E-2</v>
      </c>
      <c r="O14" s="222"/>
      <c r="P14" s="178"/>
      <c r="Q14" s="264"/>
      <c r="R14" s="234">
        <f>R13/O13</f>
        <v>6.8702290076335881E-2</v>
      </c>
      <c r="S14" s="261">
        <f>IF(Q13=0,0,(S13/Q13))</f>
        <v>6.2838003368715256E-2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27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32400</v>
      </c>
      <c r="G15" s="182"/>
      <c r="H15" s="351"/>
      <c r="I15" s="349"/>
      <c r="J15" s="465">
        <f>-SUMIFS(BV_Data_An_Cour!$P:$P,BV_Data_An_Cour!$U:$U,$B15,BV_Data_An_Cour!$V:$V,$C15,BV_Data_An_Cour!$W:$W,J$2)</f>
        <v>30</v>
      </c>
      <c r="K15" s="466">
        <f>IF(J15=0,0,L15/J15)</f>
        <v>655.17366666665964</v>
      </c>
      <c r="L15" s="466">
        <f>-SUMIFS(BV_Data_An_Cour!$P:$P,BV_Data_An_Cour!$U:$U,$B15,BV_Data_An_Cour!$V:$V,$C15,BV_Data_An_Cour!$W:$W,L$2)</f>
        <v>19655.209999999788</v>
      </c>
      <c r="M15" s="350">
        <f>J15-D15</f>
        <v>3</v>
      </c>
      <c r="N15" s="349">
        <f>L15-F15</f>
        <v>-12744.790000000212</v>
      </c>
      <c r="O15" s="465" cm="1">
        <f t="array" ref="O15">+SUMPRODUCT(('Réel 2025'!$A$8:$A$500=$A15)*('Réel 2025'!$C$3:$AO$3=O$2),'Réel 2025'!$C$8:$AO$500)</f>
        <v>30</v>
      </c>
      <c r="P15" s="466">
        <f>IF(O15=0,0,Q15/O15)</f>
        <v>2669.1393333333249</v>
      </c>
      <c r="Q15" s="466" cm="1">
        <f t="array" ref="Q15">+SUMPRODUCT(('Réel 2025'!$A$8:$A$500=$A15)*('Réel 2025'!$C$3:$AO$3=Q$2),'Réel 2025'!$C$8:$AO$500)</f>
        <v>80074.179999999746</v>
      </c>
      <c r="R15" s="350">
        <f>J15-O15</f>
        <v>0</v>
      </c>
      <c r="S15" s="371">
        <f>L15-Q15</f>
        <v>-60418.969999999958</v>
      </c>
      <c r="T15" s="25"/>
      <c r="U15" s="25"/>
      <c r="V15" s="24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11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8250</v>
      </c>
      <c r="G17" s="181"/>
      <c r="H17" s="178"/>
      <c r="I17" s="178"/>
      <c r="J17" s="350">
        <f>-SUMIFS(BV_Data_An_Cour!$P:$P,BV_Data_An_Cour!$U:$U,$B17,BV_Data_An_Cour!$V:$V,$C17,BV_Data_An_Cour!$W:$W,J$2)</f>
        <v>19</v>
      </c>
      <c r="K17" s="178">
        <f>IF(J17=0,0,L17/J17)</f>
        <v>2358.5568421052703</v>
      </c>
      <c r="L17" s="179">
        <f>-SUMIFS(BV_Data_An_Cour!$P:$P,BV_Data_An_Cour!$U:$U,$B17,BV_Data_An_Cour!$V:$V,$C17,BV_Data_An_Cour!$W:$W,L$2)</f>
        <v>44812.580000000133</v>
      </c>
      <c r="M17" s="350">
        <f>J17-D17</f>
        <v>8</v>
      </c>
      <c r="N17" s="179">
        <f>L17-F17</f>
        <v>36562.580000000133</v>
      </c>
      <c r="O17" s="350" cm="1">
        <f t="array" ref="O17">+SUMPRODUCT(('Réel 2025'!$A$8:$A$500=$A17)*('Réel 2025'!$C$3:$AO$3=O$2),'Réel 2025'!$C$8:$AO$500)</f>
        <v>1</v>
      </c>
      <c r="P17" s="178">
        <f>IF(O17=0,0,Q17/O17)</f>
        <v>2881.0099999999902</v>
      </c>
      <c r="Q17" s="179" cm="1">
        <f t="array" ref="Q17">+SUMPRODUCT(('Réel 2025'!$A$8:$A$500=$A17)*('Réel 2025'!$C$3:$AO$3=Q$2),'Réel 2025'!$C$8:$AO$500)</f>
        <v>2881.0099999999902</v>
      </c>
      <c r="R17" s="181">
        <f>J17-O17</f>
        <v>18</v>
      </c>
      <c r="S17" s="344">
        <f>L17-Q17</f>
        <v>41931.570000000145</v>
      </c>
      <c r="T17" s="25"/>
      <c r="U17" s="25"/>
      <c r="V17" s="806" t="s">
        <v>3069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1351</v>
      </c>
      <c r="G21" s="222"/>
      <c r="H21" s="178"/>
      <c r="I21" s="178"/>
      <c r="J21" s="181"/>
      <c r="K21" s="178">
        <f>IF(J13=0,0,L21/(J13+J15))</f>
        <v>24.621588235294119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2834.67</v>
      </c>
      <c r="O21" s="181"/>
      <c r="P21" s="178">
        <f>IF(O13=0,0,Q21/(O13+O15))</f>
        <v>21.837515527950309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-24.621588235294119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221950</v>
      </c>
      <c r="G22" s="222"/>
      <c r="H22" s="178"/>
      <c r="I22" s="178"/>
      <c r="J22" s="181"/>
      <c r="K22" s="178">
        <f>IF(J13=0,0,L22/(J13+J15))</f>
        <v>633.69541176470568</v>
      </c>
      <c r="L22" s="179">
        <f>-SUMIFS(BV_Data_An_Cour!$P:$P,BV_Data_An_Cour!$U:$U,$B22,BV_Data_An_Cour!$V:$V,$C22,BV_Data_An_Cour!$W:$W,L$2)</f>
        <v>107728.21999999997</v>
      </c>
      <c r="M22" s="181"/>
      <c r="N22" s="179">
        <f>L22-F22</f>
        <v>-114221.78000000003</v>
      </c>
      <c r="O22" s="181"/>
      <c r="P22" s="178">
        <f>IF(O13=0,0,Q22/(O13+O15))</f>
        <v>1322.3015527950311</v>
      </c>
      <c r="Q22" s="179" cm="1">
        <f t="array" ref="Q22">+SUMPRODUCT(('Réel 2025'!$A$8:$A$500=$A22)*('Réel 2025'!$C$3:$AO$3=Q$2),'Réel 2025'!$C$8:$AO$500)</f>
        <v>212890.55</v>
      </c>
      <c r="R22" s="181">
        <f>O22-K22</f>
        <v>-633.69541176470568</v>
      </c>
      <c r="S22" s="344">
        <f>L22-Q22</f>
        <v>-105162.33000000002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85499</v>
      </c>
      <c r="G23" s="222"/>
      <c r="H23" s="178"/>
      <c r="I23" s="178"/>
      <c r="J23" s="181"/>
      <c r="K23" s="178">
        <f>IF(J13=0,0,L23/(J13+J15))</f>
        <v>458.83441176470581</v>
      </c>
      <c r="L23" s="179">
        <f>-SUMIFS(BV_Data_An_Cour!$P:$P,BV_Data_An_Cour!$U:$U,$B23,BV_Data_An_Cour!$V:$V,$C23,BV_Data_An_Cour!$W:$W,L$2)</f>
        <v>78001.849999999991</v>
      </c>
      <c r="M23" s="350"/>
      <c r="N23" s="179">
        <f>L23-F23</f>
        <v>-7497.1500000000087</v>
      </c>
      <c r="O23" s="181"/>
      <c r="P23" s="178">
        <f>IF(O13=0,0,Q23/(O13+O15))</f>
        <v>725.52105590062115</v>
      </c>
      <c r="Q23" s="179" cm="1">
        <f t="array" ref="Q23">+SUMPRODUCT(('Réel 2025'!$A$8:$A$500=$A23)*('Réel 2025'!$C$3:$AO$3=Q$2),'Réel 2025'!$C$8:$AO$500)</f>
        <v>116808.89</v>
      </c>
      <c r="R23" s="181">
        <f>O23-K23</f>
        <v>-458.83441176470581</v>
      </c>
      <c r="S23" s="344">
        <f>L23-Q23</f>
        <v>-38807.040000000008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193</v>
      </c>
      <c r="E24" s="345">
        <f>IF(D24&lt;=0,0,F24/D24)</f>
        <v>1600</v>
      </c>
      <c r="F24" s="346">
        <f>F21+F22+F23</f>
        <v>308800</v>
      </c>
      <c r="G24" s="347"/>
      <c r="H24" s="345"/>
      <c r="I24" s="346"/>
      <c r="J24" s="347">
        <f>+J15+J13</f>
        <v>170</v>
      </c>
      <c r="K24" s="345">
        <f>IF(J24&lt;=0,0,L24/J24)</f>
        <v>1117.1514117647057</v>
      </c>
      <c r="L24" s="346">
        <f>L21+L22+L23</f>
        <v>189915.73999999996</v>
      </c>
      <c r="M24" s="375">
        <f>J24-D24</f>
        <v>-23</v>
      </c>
      <c r="N24" s="346">
        <f>L24-F24</f>
        <v>-118884.26000000004</v>
      </c>
      <c r="O24" s="347">
        <f>+O15+O13</f>
        <v>161</v>
      </c>
      <c r="P24" s="345">
        <f>IF(O24&lt;=0,0,Q24/O24)</f>
        <v>2069.6601242236025</v>
      </c>
      <c r="Q24" s="346">
        <f>Q21+Q22+Q23</f>
        <v>333215.27999999997</v>
      </c>
      <c r="R24" s="355"/>
      <c r="S24" s="348">
        <f>L24-Q24</f>
        <v>-143299.54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-0.38498788860103639</v>
      </c>
      <c r="O25" s="222"/>
      <c r="P25" s="177"/>
      <c r="Q25" s="224"/>
      <c r="R25" s="223"/>
      <c r="S25" s="261">
        <f>IF(Q24=0,0,(S24/Q24))</f>
        <v>-0.4300509268362484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204</v>
      </c>
      <c r="E27" s="27">
        <f>IF(D27&lt;=0,0,F27/D27)</f>
        <v>5095.3046424452141</v>
      </c>
      <c r="F27" s="28">
        <f>F13+F17+F24+F15</f>
        <v>1039442.1470588236</v>
      </c>
      <c r="G27" s="29"/>
      <c r="H27" s="30"/>
      <c r="I27" s="28"/>
      <c r="J27" s="29">
        <f>+J13+J15+J17</f>
        <v>189</v>
      </c>
      <c r="K27" s="30">
        <f>IF(J27&lt;=0,0,L27/J27)</f>
        <v>4704.3919576719472</v>
      </c>
      <c r="L27" s="28">
        <f>L13+L17+L24+L15</f>
        <v>889130.07999999798</v>
      </c>
      <c r="M27" s="29">
        <f>J27-D27</f>
        <v>-15</v>
      </c>
      <c r="N27" s="28">
        <f>L27-F27</f>
        <v>-150312.06705882563</v>
      </c>
      <c r="O27" s="29">
        <f>+O13+O15+O17</f>
        <v>162</v>
      </c>
      <c r="P27" s="30">
        <f>IF(O27&lt;=0,0,Q27/O27)</f>
        <v>6255.4876543209803</v>
      </c>
      <c r="Q27" s="28">
        <f>Q13+Q17+Q24+Q15</f>
        <v>1013388.9999999988</v>
      </c>
      <c r="R27" s="29">
        <f>J27-O27</f>
        <v>27</v>
      </c>
      <c r="S27" s="320">
        <f>L27-Q27</f>
        <v>-124258.92000000086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-7.3529411764705885E-2</v>
      </c>
      <c r="N28" s="34">
        <f>N27/F27</f>
        <v>-0.144608401231511</v>
      </c>
      <c r="O28" s="31"/>
      <c r="P28" s="322"/>
      <c r="Q28" s="32"/>
      <c r="R28" s="33">
        <f>R27/O27</f>
        <v>0.16666666666666666</v>
      </c>
      <c r="S28" s="258">
        <f>IF(Q27=0,0,S27/Q27)</f>
        <v>-0.12261719833154001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1054.9880311610677</v>
      </c>
      <c r="F31" s="178" cm="1">
        <f t="array" ref="F31">+SUMPRODUCT(('Budget original'!$A$8:$A$501=$A31)*('Budget original'!$C$3:$AO$3=F$2),'Budget original'!$C$8:$AO$501)</f>
        <v>203612.69001408608</v>
      </c>
      <c r="G31" s="292"/>
      <c r="H31" s="194"/>
      <c r="I31" s="178"/>
      <c r="J31" s="292">
        <f>L31/(L13+L15)</f>
        <v>0.29014814996830174</v>
      </c>
      <c r="K31" s="194">
        <f t="shared" ref="K31:K40" si="13">IF(L31=0,0,L31/J$24)</f>
        <v>1116.9027058823528</v>
      </c>
      <c r="L31" s="178">
        <f>SUMIFS(BV_Data_An_Cour!$P:$P,BV_Data_An_Cour!$U:$U,$B31,BV_Data_An_Cour!$V:$V,$C31,BV_Data_An_Cour!$W:$W,L$2)</f>
        <v>189873.46</v>
      </c>
      <c r="M31" s="222"/>
      <c r="N31" s="224">
        <f t="shared" ref="N31:N53" si="14">L31-F31</f>
        <v>-13739.23001408609</v>
      </c>
      <c r="O31" s="292"/>
      <c r="P31" s="194">
        <f t="shared" ref="P31:P40" si="15">Q31/O$24</f>
        <v>1090.5240372670808</v>
      </c>
      <c r="Q31" s="179" cm="1">
        <f t="array" ref="Q31">+SUMPRODUCT(('Réel 2025'!$A$8:$A$500=$A31)*('Réel 2025'!$C$3:$AO$3=Q$2),'Réel 2025'!$C$8:$AO$500)</f>
        <v>175574.37</v>
      </c>
      <c r="R31" s="222"/>
      <c r="S31" s="196">
        <f t="shared" ref="S31:S41" si="16">L31-Q31</f>
        <v>14299.089999999997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94184</v>
      </c>
      <c r="G32" s="319"/>
      <c r="H32" s="187"/>
      <c r="I32" s="176"/>
      <c r="J32" s="319">
        <f>L32/L24</f>
        <v>0.25194315121011041</v>
      </c>
      <c r="K32" s="357">
        <f t="shared" si="13"/>
        <v>281.45864705882354</v>
      </c>
      <c r="L32" s="176">
        <f>SUMIFS(BV_Data_An_Cour!$P:$P,BV_Data_An_Cour!$U:$U,$B32,BV_Data_An_Cour!$V:$V,$C32,BV_Data_An_Cour!$W:$W,L$2)</f>
        <v>47847.97</v>
      </c>
      <c r="M32" s="277"/>
      <c r="N32" s="278">
        <f t="shared" si="14"/>
        <v>-46336.03</v>
      </c>
      <c r="O32" s="319"/>
      <c r="P32" s="357">
        <f t="shared" si="15"/>
        <v>652.80658385093159</v>
      </c>
      <c r="Q32" s="176" cm="1">
        <f t="array" ref="Q32">+SUMPRODUCT(('Réel 2025'!$A$8:$A$500=$A32)*('Réel 2025'!$C$3:$AO$3=Q$2),'Réel 2025'!$C$8:$AO$500)</f>
        <v>105101.85999999999</v>
      </c>
      <c r="R32" s="277"/>
      <c r="S32" s="199">
        <f t="shared" si="16"/>
        <v>-57253.889999999985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23160</v>
      </c>
      <c r="G33" s="268"/>
      <c r="H33" s="194"/>
      <c r="I33" s="178"/>
      <c r="J33" s="222"/>
      <c r="K33" s="194">
        <f t="shared" si="13"/>
        <v>170.35011764705882</v>
      </c>
      <c r="L33" s="178">
        <f>SUMIFS(BV_Data_An_Cour!$P:$P,BV_Data_An_Cour!$U:$U,$B33,BV_Data_An_Cour!$V:$V,$C33,BV_Data_An_Cour!$W:$W,L$2)</f>
        <v>28959.52</v>
      </c>
      <c r="M33" s="222"/>
      <c r="N33" s="224">
        <f t="shared" si="14"/>
        <v>5799.52</v>
      </c>
      <c r="O33" s="222"/>
      <c r="P33" s="194">
        <f t="shared" si="15"/>
        <v>104.29801242236024</v>
      </c>
      <c r="Q33" s="179" cm="1">
        <f t="array" ref="Q33">+SUMPRODUCT(('Réel 2025'!$A$8:$A$500=$A33)*('Réel 2025'!$C$3:$AO$3=Q$2),'Réel 2025'!$C$8:$AO$500)</f>
        <v>16791.98</v>
      </c>
      <c r="R33" s="222"/>
      <c r="S33" s="196">
        <f t="shared" si="16"/>
        <v>12167.54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6755</v>
      </c>
      <c r="G34" s="268"/>
      <c r="H34" s="194"/>
      <c r="I34" s="178"/>
      <c r="J34" s="222"/>
      <c r="K34" s="194">
        <f t="shared" si="13"/>
        <v>48.184529411764707</v>
      </c>
      <c r="L34" s="178">
        <f>SUMIFS(BV_Data_An_Cour!$P:$P,BV_Data_An_Cour!$U:$U,$B34,BV_Data_An_Cour!$V:$V,$C34,BV_Data_An_Cour!$W:$W,L$2)</f>
        <v>8191.37</v>
      </c>
      <c r="M34" s="222"/>
      <c r="N34" s="224">
        <f t="shared" si="14"/>
        <v>1436.37</v>
      </c>
      <c r="O34" s="222"/>
      <c r="P34" s="194">
        <f t="shared" si="15"/>
        <v>30.686832298136647</v>
      </c>
      <c r="Q34" s="179" cm="1">
        <f t="array" ref="Q34">+SUMPRODUCT(('Réel 2025'!$A$8:$A$500=$A34)*('Réel 2025'!$C$3:$AO$3=Q$2),'Réel 2025'!$C$8:$AO$500)</f>
        <v>4940.58</v>
      </c>
      <c r="R34" s="222"/>
      <c r="S34" s="196">
        <f t="shared" si="16"/>
        <v>3250.79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97.611398963730565</v>
      </c>
      <c r="F35" s="176" cm="1">
        <f t="array" ref="F35">+SUMPRODUCT(('Budget original'!$A$8:$A$501=$A35)*('Budget original'!$C$3:$AO$3=F$2),'Budget original'!$C$8:$AO$501)</f>
        <v>18839</v>
      </c>
      <c r="G35" s="276"/>
      <c r="H35" s="187"/>
      <c r="I35" s="176"/>
      <c r="J35" s="277"/>
      <c r="K35" s="357">
        <f t="shared" si="13"/>
        <v>108.40435294117648</v>
      </c>
      <c r="L35" s="176">
        <f>SUMIFS(BV_Data_An_Cour!$P:$P,BV_Data_An_Cour!$U:$U,$B35,BV_Data_An_Cour!$V:$V,$C35,BV_Data_An_Cour!$W:$W,L$2)</f>
        <v>18428.740000000002</v>
      </c>
      <c r="M35" s="277"/>
      <c r="N35" s="278">
        <f t="shared" si="14"/>
        <v>-410.2599999999984</v>
      </c>
      <c r="O35" s="277"/>
      <c r="P35" s="357">
        <f t="shared" si="15"/>
        <v>80.92720496894411</v>
      </c>
      <c r="Q35" s="179" cm="1">
        <f t="array" ref="Q35">+SUMPRODUCT(('Réel 2025'!$A$8:$A$500=$A35)*('Réel 2025'!$C$3:$AO$3=Q$2),'Réel 2025'!$C$8:$AO$500)</f>
        <v>13029.28</v>
      </c>
      <c r="R35" s="277"/>
      <c r="S35" s="199">
        <f t="shared" si="16"/>
        <v>5399.4600000000009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234.88787878787875</v>
      </c>
      <c r="F36" s="178" cm="1">
        <f t="array" ref="F36">+SUMPRODUCT(('Budget original'!$A$8:$A$501=$A36)*('Budget original'!$C$3:$AO$3=F$2),'Budget original'!$C$8:$AO$501)</f>
        <v>45333.360606060596</v>
      </c>
      <c r="G36" s="268"/>
      <c r="H36" s="194"/>
      <c r="I36" s="178"/>
      <c r="J36" s="222"/>
      <c r="K36" s="194">
        <f t="shared" si="13"/>
        <v>198.2175882352941</v>
      </c>
      <c r="L36" s="539">
        <f>SUMIFS(BV_Data_An_Cour!$P:$P,BV_Data_An_Cour!$U:$U,$B36,BV_Data_An_Cour!$V:$V,$C36,BV_Data_An_Cour!$W:$W,L$2)</f>
        <v>33696.99</v>
      </c>
      <c r="M36" s="177"/>
      <c r="N36" s="224">
        <f t="shared" si="14"/>
        <v>-11636.370606060598</v>
      </c>
      <c r="O36" s="222"/>
      <c r="P36" s="194">
        <f t="shared" si="15"/>
        <v>560.90875776397513</v>
      </c>
      <c r="Q36" s="373" cm="1">
        <f t="array" ref="Q36">+SUMPRODUCT(('Réel 2025'!$A$8:$A$500=$A36)*('Réel 2025'!$C$3:$AO$3=Q$2),'Réel 2025'!$C$8:$AO$500)</f>
        <v>90306.31</v>
      </c>
      <c r="R36" s="222"/>
      <c r="S36" s="196">
        <f t="shared" si="16"/>
        <v>-56609.32</v>
      </c>
      <c r="T36" s="25"/>
      <c r="U36" s="25"/>
      <c r="V36" s="24"/>
      <c r="W36" s="24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814.44851124243121</v>
      </c>
      <c r="F37" s="178" cm="1">
        <f t="array" ref="F37">+SUMPRODUCT(('Budget original'!$A$8:$A$501=$A37)*('Budget original'!$C$3:$AO$3=F$2),'Budget original'!$C$8:$AO$501)</f>
        <v>157188.56266978921</v>
      </c>
      <c r="G37" s="268"/>
      <c r="H37" s="194"/>
      <c r="I37" s="178"/>
      <c r="J37" s="222"/>
      <c r="K37" s="194">
        <f t="shared" si="13"/>
        <v>875.49705882352941</v>
      </c>
      <c r="L37" s="540">
        <f>SUMIFS(BV_Data_An_Cour!$P:$P,BV_Data_An_Cour!$U:$U,$B37,BV_Data_An_Cour!$V:$V,$C37,BV_Data_An_Cour!$W:$W,L$2)</f>
        <v>148834.5</v>
      </c>
      <c r="M37" s="177"/>
      <c r="N37" s="224">
        <f t="shared" si="14"/>
        <v>-8354.0626697892149</v>
      </c>
      <c r="O37" s="222"/>
      <c r="P37" s="194">
        <f t="shared" si="15"/>
        <v>1021.0270186335403</v>
      </c>
      <c r="Q37" s="179" cm="1">
        <f t="array" ref="Q37">+SUMPRODUCT(('Réel 2025'!$A$8:$A$500=$A37)*('Réel 2025'!$C$3:$AO$3=Q$2),'Réel 2025'!$C$8:$AO$500)</f>
        <v>164385.34999999998</v>
      </c>
      <c r="R37" s="222"/>
      <c r="S37" s="196">
        <f>L37-Q37</f>
        <v>-15550.849999999977</v>
      </c>
      <c r="T37" s="25"/>
      <c r="U37" s="25"/>
      <c r="V37" s="80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0.52823778104782104</v>
      </c>
      <c r="F41" s="41">
        <f>SUM(F31:F40)</f>
        <v>549072.61328993586</v>
      </c>
      <c r="G41" s="42"/>
      <c r="H41" s="40"/>
      <c r="I41" s="41"/>
      <c r="J41" s="42" t="s">
        <v>108</v>
      </c>
      <c r="K41" s="40">
        <f>L41/L$27</f>
        <v>0.53516640669720794</v>
      </c>
      <c r="L41" s="41">
        <f>SUM(L31:L40)</f>
        <v>475832.55</v>
      </c>
      <c r="M41" s="504"/>
      <c r="N41" s="41">
        <f t="shared" si="14"/>
        <v>-73240.063289935875</v>
      </c>
      <c r="O41" s="42" t="s">
        <v>108</v>
      </c>
      <c r="P41" s="40">
        <f>Q41/Q$27</f>
        <v>0.56259711719783878</v>
      </c>
      <c r="Q41" s="503">
        <f>SUM(Q31:Q40)</f>
        <v>570129.73</v>
      </c>
      <c r="R41" s="44"/>
      <c r="S41" s="284">
        <f t="shared" si="16"/>
        <v>-94297.18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87216.241663929948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66290.5</v>
      </c>
      <c r="M42" s="222"/>
      <c r="N42" s="224">
        <f t="shared" si="14"/>
        <v>-20925.741663929948</v>
      </c>
      <c r="O42" s="222"/>
      <c r="P42" s="177"/>
      <c r="Q42" s="179" cm="1">
        <f t="array" ref="Q42">+SUMPRODUCT(('Réel 2025'!$A$8:$A$500=$A42)*('Réel 2025'!$C$3:$AO$3=Q$2),'Réel 2025'!$C$8:$AO$500)</f>
        <v>92486.24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35451.135877394634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30491.77</v>
      </c>
      <c r="M43" s="222"/>
      <c r="N43" s="224">
        <f t="shared" si="14"/>
        <v>-4959.3658773946336</v>
      </c>
      <c r="O43" s="222"/>
      <c r="P43" s="177"/>
      <c r="Q43" s="179" cm="1">
        <f t="array" ref="Q43">+SUMPRODUCT(('Réel 2025'!$A$8:$A$500=$A43)*('Réel 2025'!$C$3:$AO$3=Q$2),'Réel 2025'!$C$8:$AO$500)</f>
        <v>65467.22</v>
      </c>
      <c r="R43" s="222"/>
      <c r="S43" s="196">
        <f t="shared" ref="S43:S53" si="17">L43-Q43</f>
        <v>-34975.449999999997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655</v>
      </c>
      <c r="M44" s="272"/>
      <c r="N44" s="273">
        <f t="shared" si="14"/>
        <v>655</v>
      </c>
      <c r="O44" s="272"/>
      <c r="P44" s="270"/>
      <c r="Q44" s="180" cm="1">
        <f t="array" ref="Q44">+SUMPRODUCT(('Réel 2025'!$A$8:$A$500=$A44)*('Réel 2025'!$C$3:$AO$3=Q$2),'Réel 2025'!$C$8:$AO$500)</f>
        <v>2394</v>
      </c>
      <c r="R44" s="272"/>
      <c r="S44" s="198">
        <f t="shared" si="17"/>
        <v>-1739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59355.608281457215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45207.1</v>
      </c>
      <c r="M49" s="222"/>
      <c r="N49" s="224">
        <f t="shared" si="14"/>
        <v>-14148.508281457216</v>
      </c>
      <c r="O49" s="222"/>
      <c r="P49" s="177"/>
      <c r="Q49" s="176" cm="1">
        <f t="array" ref="Q49">+SUMPRODUCT(('Réel 2025'!$A$8:$A$500=$A49)*('Réel 2025'!$C$3:$AO$3=Q$2),'Réel 2025'!$C$8:$AO$500)</f>
        <v>64256.760000000009</v>
      </c>
      <c r="R49" s="222"/>
      <c r="S49" s="196">
        <f t="shared" si="17"/>
        <v>-19049.660000000011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62505.128156384875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54830.35</v>
      </c>
      <c r="M50" s="272"/>
      <c r="N50" s="273">
        <f t="shared" si="14"/>
        <v>-7674.7781563848766</v>
      </c>
      <c r="O50" s="272"/>
      <c r="P50" s="270"/>
      <c r="Q50" s="179" cm="1">
        <f t="array" ref="Q50">+SUMPRODUCT(('Réel 2025'!$A$8:$A$500=$A50)*('Réel 2025'!$C$3:$AO$3=Q$2),'Réel 2025'!$C$8:$AO$500)</f>
        <v>76877.26999999999</v>
      </c>
      <c r="R50" s="272"/>
      <c r="S50" s="198">
        <f t="shared" si="17"/>
        <v>-22046.919999999991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40888.489052860881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27875.63</v>
      </c>
      <c r="M51" s="222"/>
      <c r="N51" s="224">
        <f t="shared" si="14"/>
        <v>-13012.85905286088</v>
      </c>
      <c r="O51" s="222"/>
      <c r="P51" s="177"/>
      <c r="Q51" s="179" cm="1">
        <f t="array" ref="Q51">+SUMPRODUCT(('Réel 2025'!$A$8:$A$500=$A51)*('Réel 2025'!$C$3:$AO$3=Q$2),'Réel 2025'!$C$8:$AO$500)</f>
        <v>33635.51</v>
      </c>
      <c r="R51" s="222"/>
      <c r="S51" s="196">
        <f t="shared" si="17"/>
        <v>-5759.880000000001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11448.776934801048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8862.2800000000007</v>
      </c>
      <c r="M52" s="222"/>
      <c r="N52" s="224">
        <f t="shared" si="14"/>
        <v>-2586.4969348010472</v>
      </c>
      <c r="O52" s="222"/>
      <c r="P52" s="177"/>
      <c r="Q52" s="179" cm="1">
        <f t="array" ref="Q52">+SUMPRODUCT(('Réel 2025'!$A$8:$A$500=$A52)*('Réel 2025'!$C$3:$AO$3=Q$2),'Réel 2025'!$C$8:$AO$500)</f>
        <v>13011.02</v>
      </c>
      <c r="R52" s="222"/>
      <c r="S52" s="196">
        <f t="shared" si="17"/>
        <v>-4148.74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0.28560067609999323</v>
      </c>
      <c r="F54" s="41">
        <f>+SUM(F42:F53)</f>
        <v>296865.37996682862</v>
      </c>
      <c r="G54" s="42"/>
      <c r="H54" s="40"/>
      <c r="I54" s="41"/>
      <c r="J54" s="42" t="s">
        <v>108</v>
      </c>
      <c r="K54" s="40">
        <f>L54/L$27</f>
        <v>0.26341773298233317</v>
      </c>
      <c r="L54" s="41">
        <f>+SUM(L42:L53)</f>
        <v>234212.63</v>
      </c>
      <c r="M54" s="44"/>
      <c r="N54" s="41">
        <f>+SUM(N42:N53)</f>
        <v>-62652.749966828604</v>
      </c>
      <c r="O54" s="42" t="s">
        <v>108</v>
      </c>
      <c r="P54" s="40">
        <f>Q54/Q$27</f>
        <v>0.34352851669003753</v>
      </c>
      <c r="Q54" s="41">
        <f>+SUM(Q42:Q53)</f>
        <v>348128.02</v>
      </c>
      <c r="R54" s="44"/>
      <c r="S54" s="284">
        <f>+SUM(S42:S53)</f>
        <v>-87719.650000000009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14255.5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9099.3700000000008</v>
      </c>
      <c r="M57" s="277"/>
      <c r="N57" s="193">
        <f t="shared" si="18"/>
        <v>-5156.1299999999992</v>
      </c>
      <c r="O57" s="277"/>
      <c r="P57" s="275"/>
      <c r="Q57" s="176" cm="1">
        <f t="array" ref="Q57">+SUMPRODUCT(('Réel 2025'!$A$8:$A$500=$A57)*('Réel 2025'!$C$3:$AO$3=Q$2),'Réel 2025'!$C$8:$AO$500)</f>
        <v>58668.6</v>
      </c>
      <c r="R57" s="277"/>
      <c r="S57" s="199">
        <f t="shared" si="19"/>
        <v>-49569.229999999996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64367.465166666661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64075.74</v>
      </c>
      <c r="M58" s="222"/>
      <c r="N58" s="224">
        <f t="shared" si="18"/>
        <v>-291.72516666666343</v>
      </c>
      <c r="O58" s="222"/>
      <c r="P58" s="177"/>
      <c r="Q58" s="179" cm="1">
        <f t="array" ref="Q58">+SUMPRODUCT(('Réel 2025'!$A$8:$A$500=$A58)*('Réel 2025'!$C$3:$AO$3=Q$2),'Réel 2025'!$C$8:$AO$500)</f>
        <v>35264.559999999998</v>
      </c>
      <c r="R58" s="222"/>
      <c r="S58" s="196">
        <f t="shared" si="19"/>
        <v>28811.18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9310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15896.63</v>
      </c>
      <c r="M59" s="222"/>
      <c r="N59" s="224">
        <f t="shared" si="18"/>
        <v>6586.6299999999992</v>
      </c>
      <c r="O59" s="222"/>
      <c r="P59" s="177"/>
      <c r="Q59" s="179" cm="1">
        <f t="array" ref="Q59">+SUMPRODUCT(('Réel 2025'!$A$8:$A$500=$A59)*('Réel 2025'!$C$3:$AO$3=Q$2),'Réel 2025'!$C$8:$AO$500)</f>
        <v>5642.01</v>
      </c>
      <c r="R59" s="222"/>
      <c r="S59" s="196">
        <f t="shared" si="19"/>
        <v>10254.619999999999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18706.522333333334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22294.54</v>
      </c>
      <c r="M60" s="277"/>
      <c r="N60" s="278">
        <f t="shared" si="18"/>
        <v>3588.0176666666666</v>
      </c>
      <c r="O60" s="277"/>
      <c r="P60" s="275"/>
      <c r="Q60" s="176" cm="1">
        <f t="array" ref="Q60">+SUMPRODUCT(('Réel 2025'!$A$8:$A$500=$A60)*('Réel 2025'!$C$3:$AO$3=Q$2),'Réel 2025'!$C$8:$AO$500)</f>
        <v>23619.979999999996</v>
      </c>
      <c r="R60" s="277"/>
      <c r="S60" s="199">
        <f t="shared" si="19"/>
        <v>-1325.4399999999951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525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839.34</v>
      </c>
      <c r="M61" s="222"/>
      <c r="N61" s="224">
        <f t="shared" si="18"/>
        <v>314.34000000000003</v>
      </c>
      <c r="O61" s="222"/>
      <c r="P61" s="177"/>
      <c r="Q61" s="179" cm="1">
        <f t="array" ref="Q61">+SUMPRODUCT(('Réel 2025'!$A$8:$A$500=$A61)*('Réel 2025'!$C$3:$AO$3=Q$2),'Réel 2025'!$C$8:$AO$500)</f>
        <v>326.84000000000003</v>
      </c>
      <c r="R61" s="222"/>
      <c r="S61" s="196">
        <f t="shared" si="19"/>
        <v>512.5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210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260.58</v>
      </c>
      <c r="M62" s="222"/>
      <c r="N62" s="224">
        <f t="shared" si="18"/>
        <v>50.579999999999984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9"/>
        <v>-99.329999999999984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4060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3938.56</v>
      </c>
      <c r="M63" s="222"/>
      <c r="N63" s="224">
        <f t="shared" si="18"/>
        <v>-121.44000000000005</v>
      </c>
      <c r="O63" s="222"/>
      <c r="P63" s="177"/>
      <c r="Q63" s="472" cm="1">
        <f t="array" ref="Q63">+SUMPRODUCT(('Réel 2025'!$A$8:$A$500=$A63)*('Réel 2025'!$C$3:$AO$3=Q$2),'Réel 2025'!$C$8:$AO$500)</f>
        <v>3627.67</v>
      </c>
      <c r="R63" s="222"/>
      <c r="S63" s="196">
        <f t="shared" si="19"/>
        <v>310.88999999999987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1103.2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1551.15</v>
      </c>
      <c r="M64" s="222"/>
      <c r="N64" s="224">
        <f t="shared" si="18"/>
        <v>447.95000000000005</v>
      </c>
      <c r="O64" s="222"/>
      <c r="P64" s="177"/>
      <c r="Q64" s="179" cm="1">
        <f t="array" ref="Q64">+SUMPRODUCT(('Réel 2025'!$A$8:$A$500=$A64)*('Réel 2025'!$C$3:$AO$3=Q$2),'Réel 2025'!$C$8:$AO$500)</f>
        <v>2163.44</v>
      </c>
      <c r="R64" s="222"/>
      <c r="S64" s="196">
        <f t="shared" si="19"/>
        <v>-612.29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1586.6666666666667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879.02</v>
      </c>
      <c r="M65" s="222"/>
      <c r="N65" s="224">
        <f t="shared" si="18"/>
        <v>-707.64666666666676</v>
      </c>
      <c r="O65" s="222"/>
      <c r="P65" s="177"/>
      <c r="Q65" s="179" cm="1">
        <f t="array" ref="Q65">+SUMPRODUCT(('Réel 2025'!$A$8:$A$500=$A65)*('Réel 2025'!$C$3:$AO$3=Q$2),'Réel 2025'!$C$8:$AO$500)</f>
        <v>1246.46</v>
      </c>
      <c r="R65" s="222"/>
      <c r="S65" s="196">
        <f t="shared" si="19"/>
        <v>-367.44000000000005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4403.5833333333321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4225.45</v>
      </c>
      <c r="M66" s="222"/>
      <c r="N66" s="224">
        <f t="shared" si="18"/>
        <v>-178.1333333333323</v>
      </c>
      <c r="O66" s="222"/>
      <c r="P66" s="177"/>
      <c r="Q66" s="179" cm="1">
        <f t="array" ref="Q66">+SUMPRODUCT(('Réel 2025'!$A$8:$A$500=$A66)*('Réel 2025'!$C$3:$AO$3=Q$2),'Réel 2025'!$C$8:$AO$500)</f>
        <v>6302.92</v>
      </c>
      <c r="R66" s="222"/>
      <c r="S66" s="196">
        <f t="shared" si="19"/>
        <v>-2077.4700000000003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2251.1626666666675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1546.88</v>
      </c>
      <c r="M67" s="222"/>
      <c r="N67" s="224">
        <f t="shared" si="18"/>
        <v>-704.28266666666741</v>
      </c>
      <c r="O67" s="222"/>
      <c r="P67" s="177"/>
      <c r="Q67" s="179" cm="1">
        <f t="array" ref="Q67">+SUMPRODUCT(('Réel 2025'!$A$8:$A$500=$A67)*('Réel 2025'!$C$3:$AO$3=Q$2),'Réel 2025'!$C$8:$AO$500)</f>
        <v>3489.16</v>
      </c>
      <c r="R67" s="222"/>
      <c r="S67" s="196">
        <f>L67-Q67</f>
        <v>-1942.2799999999997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24522.965561962523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19641.5</v>
      </c>
      <c r="M68" s="222"/>
      <c r="N68" s="224">
        <f t="shared" si="18"/>
        <v>-4881.4655619625228</v>
      </c>
      <c r="O68" s="222"/>
      <c r="P68" s="177"/>
      <c r="Q68" s="179" cm="1">
        <f t="array" ref="Q68">+SUMPRODUCT(('Réel 2025'!$A$8:$A$500=$A68)*('Réel 2025'!$C$3:$AO$3=Q$2),'Réel 2025'!$C$8:$AO$500)</f>
        <v>21020.92</v>
      </c>
      <c r="R68" s="222"/>
      <c r="S68" s="196">
        <f>L68-Q68</f>
        <v>-1379.4199999999983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0.13978850688301589</v>
      </c>
      <c r="F72" s="41">
        <f>+SUM(F55:F71)</f>
        <v>145302.06572862918</v>
      </c>
      <c r="G72" s="42"/>
      <c r="H72" s="40"/>
      <c r="I72" s="41"/>
      <c r="J72" s="42" t="s">
        <v>108</v>
      </c>
      <c r="K72" s="40">
        <f>L72/L$27</f>
        <v>0.16223583392882213</v>
      </c>
      <c r="L72" s="41">
        <f>+SUM(L55:L71)</f>
        <v>144248.76</v>
      </c>
      <c r="M72" s="44"/>
      <c r="N72" s="41">
        <f>+SUM(N55:N71)</f>
        <v>-1053.3057286291864</v>
      </c>
      <c r="O72" s="42" t="s">
        <v>108</v>
      </c>
      <c r="P72" s="40">
        <f>Q72/Q$27</f>
        <v>0.15959564392350836</v>
      </c>
      <c r="Q72" s="41">
        <f>+SUM(Q55:Q71)</f>
        <v>161732.47000000003</v>
      </c>
      <c r="R72" s="44"/>
      <c r="S72" s="284">
        <f>+SUM(S55:S71)</f>
        <v>-17483.709999999988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0.95362696403083025</v>
      </c>
      <c r="F74" s="41">
        <f>F41+F54+F72</f>
        <v>991240.05898539373</v>
      </c>
      <c r="G74" s="42"/>
      <c r="H74" s="40"/>
      <c r="I74" s="41"/>
      <c r="J74" s="42" t="s">
        <v>108</v>
      </c>
      <c r="K74" s="40">
        <f>L74/L$27</f>
        <v>0.96081997360836324</v>
      </c>
      <c r="L74" s="41">
        <f>L41+L54+L72</f>
        <v>854293.94</v>
      </c>
      <c r="M74" s="44"/>
      <c r="N74" s="46">
        <f t="shared" ref="N74:N82" si="20">L74-F74</f>
        <v>-136946.11898539378</v>
      </c>
      <c r="O74" s="42" t="s">
        <v>108</v>
      </c>
      <c r="P74" s="40">
        <f>Q74/Q$27</f>
        <v>1.0657212778113845</v>
      </c>
      <c r="Q74" s="41">
        <f>Q41+Q54+Q72</f>
        <v>1079990.22</v>
      </c>
      <c r="R74" s="44"/>
      <c r="S74" s="280">
        <f>L74-Q74</f>
        <v>-225696.28000000003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281238.91714285722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265363.21000000002</v>
      </c>
      <c r="M75" s="222"/>
      <c r="N75" s="224">
        <f t="shared" si="20"/>
        <v>-15875.707142857194</v>
      </c>
      <c r="O75" s="222"/>
      <c r="P75" s="177"/>
      <c r="Q75" s="472" cm="1">
        <f t="array" ref="Q75">+SUMPRODUCT(('Réel 2025'!$A$8:$A$500=$A75)*('Réel 2025'!$C$3:$AO$3=Q$2),'Réel 2025'!$C$8:$AO$500)</f>
        <v>285298.36000000004</v>
      </c>
      <c r="R75" s="222"/>
      <c r="S75" s="196">
        <f t="shared" ref="S75:S82" si="21">L75-Q75</f>
        <v>-19935.150000000023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340895.65714285709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316788.8</v>
      </c>
      <c r="M78" s="222"/>
      <c r="N78" s="224">
        <f t="shared" si="20"/>
        <v>-24106.857142857101</v>
      </c>
      <c r="O78" s="222"/>
      <c r="P78" s="177"/>
      <c r="Q78" s="472" cm="1">
        <f t="array" ref="Q78">+SUMPRODUCT(('Réel 2025'!$A$8:$A$500=$A78)*('Réel 2025'!$C$3:$AO$3=Q$2),'Réel 2025'!$C$8:$AO$500)</f>
        <v>273067</v>
      </c>
      <c r="R78" s="222"/>
      <c r="S78" s="196">
        <f t="shared" si="21"/>
        <v>43721.799999999988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112538.3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101745</v>
      </c>
      <c r="M82" s="222"/>
      <c r="N82" s="224">
        <f t="shared" si="20"/>
        <v>-10793.300000000003</v>
      </c>
      <c r="O82" s="222"/>
      <c r="P82" s="177"/>
      <c r="Q82" s="472" cm="1">
        <f t="array" ref="Q82">+SUMPRODUCT(('Réel 2025'!$A$8:$A$500=$A82)*('Réel 2025'!$C$3:$AO$3=Q$2),'Réel 2025'!$C$8:$AO$500)</f>
        <v>96390</v>
      </c>
      <c r="R82" s="222"/>
      <c r="S82" s="196">
        <f t="shared" si="21"/>
        <v>5355</v>
      </c>
      <c r="T82" s="25"/>
      <c r="U82" s="25"/>
      <c r="V82" s="24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734672.87428571435</v>
      </c>
      <c r="G83" s="42"/>
      <c r="H83" s="40"/>
      <c r="I83" s="41"/>
      <c r="J83" s="42"/>
      <c r="K83" s="40"/>
      <c r="L83" s="41">
        <f>+SUM(L75:L82)</f>
        <v>683897.01</v>
      </c>
      <c r="M83" s="44"/>
      <c r="N83" s="41">
        <f>+SUM(N75:N82)</f>
        <v>-50775.864285714299</v>
      </c>
      <c r="O83" s="42"/>
      <c r="P83" s="40"/>
      <c r="Q83" s="41">
        <f>+SUM(Q75:Q82)</f>
        <v>654755.3600000001</v>
      </c>
      <c r="R83" s="44"/>
      <c r="S83" s="284">
        <f>+SUM(S75:S82)</f>
        <v>29141.649999999965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782874.96235914424</v>
      </c>
      <c r="G85" s="378"/>
      <c r="H85" s="308"/>
      <c r="I85" s="305"/>
      <c r="J85" s="378"/>
      <c r="K85" s="304"/>
      <c r="L85" s="305">
        <f>L27-L74+L83</f>
        <v>718733.14999999804</v>
      </c>
      <c r="M85" s="378"/>
      <c r="N85" s="305">
        <f>N27-N74+N83</f>
        <v>-64141.812359146148</v>
      </c>
      <c r="O85" s="378"/>
      <c r="P85" s="304"/>
      <c r="Q85" s="305">
        <f>Q27-Q74+Q83</f>
        <v>588154.13999999897</v>
      </c>
      <c r="R85" s="378"/>
      <c r="S85" s="309">
        <f>S27-S74+S83</f>
        <v>130579.00999999914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6"/>
      <c r="H91" s="1434"/>
      <c r="I91" s="1435"/>
      <c r="J91" s="1436" t="s">
        <v>78</v>
      </c>
      <c r="K91" s="1434"/>
      <c r="L91" s="1435"/>
      <c r="M91" s="1436" t="s">
        <v>2441</v>
      </c>
      <c r="N91" s="1435"/>
      <c r="O91" s="1433" t="s">
        <v>79</v>
      </c>
      <c r="P91" s="1434"/>
      <c r="Q91" s="1435"/>
      <c r="R91" s="1437" t="s">
        <v>2445</v>
      </c>
      <c r="S91" s="143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12290822.546143768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13378427.729999999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9000747.489999989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87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208800</v>
      </c>
      <c r="G94" s="181"/>
      <c r="H94" s="178"/>
      <c r="I94" s="178"/>
      <c r="J94" s="181">
        <f>-SUMIFS(BV_Data_An_Cour!$P:$P,BV_Data_An_Cour!$U:$U,$B94,BV_Data_An_Cour!$V:$V,$C94,BV_Data_An_Cour!$W:$W,J$2)</f>
        <v>77</v>
      </c>
      <c r="K94" s="178">
        <f>IF(J94=0,0,L94/J94)</f>
        <v>1611.7390909090982</v>
      </c>
      <c r="L94" s="179">
        <f>-SUMIFS(BV_Data_An_Cour!$P:$P,BV_Data_An_Cour!$U:$U,$B94,BV_Data_An_Cour!$V:$V,$C94,BV_Data_An_Cour!$W:$W,$L2)</f>
        <v>124103.91000000056</v>
      </c>
      <c r="M94" s="181">
        <f>J94-D94</f>
        <v>-10</v>
      </c>
      <c r="N94" s="179">
        <f>L94-F94</f>
        <v>-84696.089999999444</v>
      </c>
      <c r="O94" s="181" cm="1">
        <f t="array" ref="O94">+SUMPRODUCT(('Réel 2025'!$A$8:$A$500=$A94)*('Réel 2025'!$C$3:$AO$3=O$2),'Réel 2025'!$C$8:$AO$500)</f>
        <v>37</v>
      </c>
      <c r="P94" s="178">
        <f t="shared" ref="P94:P101" si="24">IF(O94=0,0,Q94/O94)</f>
        <v>2413.3627027026987</v>
      </c>
      <c r="Q94" s="179" cm="1">
        <f t="array" ref="Q94">+SUMPRODUCT(('Réel 2025'!$A$8:$A$500=$A94)*('Réel 2025'!$C$3:$AO$3=Q$2),'Réel 2025'!$C$8:$AO$500)</f>
        <v>89294.419999999853</v>
      </c>
      <c r="R94" s="181">
        <f>J94-O94</f>
        <v>40</v>
      </c>
      <c r="S94" s="344">
        <f>L94-Q94</f>
        <v>34809.490000000704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22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30800</v>
      </c>
      <c r="G95" s="181"/>
      <c r="H95" s="178"/>
      <c r="I95" s="178"/>
      <c r="J95" s="181">
        <f>-SUMIFS(BV_Data_An_Cour!$P:$P,BV_Data_An_Cour!$U:$U,$B95,BV_Data_An_Cour!$V:$V,$C95,BV_Data_An_Cour!$W:$W,J$2)</f>
        <v>24</v>
      </c>
      <c r="K95" s="178">
        <f>IF(J95=0,0,L95/J95)</f>
        <v>2736.5129166666611</v>
      </c>
      <c r="L95" s="472">
        <f>-SUMIFS(BV_Data_An_Cour!$P:$P,BV_Data_An_Cour!$U:$U,$B95,BV_Data_An_Cour!$V:$V,$C95,BV_Data_An_Cour!$W:$W,$L2)</f>
        <v>65676.309999999867</v>
      </c>
      <c r="M95" s="181">
        <f>J95-D95</f>
        <v>2</v>
      </c>
      <c r="N95" s="179">
        <f>L95-F95</f>
        <v>34876.309999999867</v>
      </c>
      <c r="O95" s="181" cm="1">
        <f t="array" ref="O95">+SUMPRODUCT(('Réel 2025'!$A$8:$A$500=$A95)*('Réel 2025'!$C$3:$AO$3=O$2),'Réel 2025'!$C$8:$AO$500)</f>
        <v>45</v>
      </c>
      <c r="P95" s="178">
        <f t="shared" si="24"/>
        <v>1794.6137777777737</v>
      </c>
      <c r="Q95" s="472" cm="1">
        <f t="array" ref="Q95">+SUMPRODUCT(('Réel 2025'!$A$8:$A$500=$A95)*('Réel 2025'!$C$3:$AO$3=Q$2),'Réel 2025'!$C$8:$AO$500)</f>
        <v>80757.619999999821</v>
      </c>
      <c r="R95" s="181">
        <f t="shared" ref="R95:R96" si="25">J95-O95</f>
        <v>-21</v>
      </c>
      <c r="S95" s="344">
        <f t="shared" ref="S95:S96" si="26">L95-Q95</f>
        <v>-15081.309999999954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37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55500</v>
      </c>
      <c r="G96" s="181"/>
      <c r="H96" s="178"/>
      <c r="I96" s="178"/>
      <c r="J96" s="181">
        <f>-SUMIFS(BV_Data_An_Cour!$P:$P,BV_Data_An_Cour!$U:$U,$B96,BV_Data_An_Cour!$V:$V,$C96,BV_Data_An_Cour!$W:$W,J$2)</f>
        <v>30</v>
      </c>
      <c r="K96" s="178">
        <f>IF(J96=0,0,L96/J96)</f>
        <v>1987.0723333333362</v>
      </c>
      <c r="L96" s="472">
        <f>-SUMIFS(BV_Data_An_Cour!$P:$P,BV_Data_An_Cour!$U:$U,$B96,BV_Data_An_Cour!$V:$V,$C96,BV_Data_An_Cour!$W:$W,$L2)</f>
        <v>59612.170000000086</v>
      </c>
      <c r="M96" s="181">
        <f>J96-D96</f>
        <v>-7</v>
      </c>
      <c r="N96" s="179">
        <f>L96-F96</f>
        <v>4112.1700000000856</v>
      </c>
      <c r="O96" s="181" cm="1">
        <f t="array" ref="O96">+SUMPRODUCT(('Réel 2025'!$A$8:$A$500=$A96)*('Réel 2025'!$C$3:$AO$3=O$2),'Réel 2025'!$C$8:$AO$500)</f>
        <v>39</v>
      </c>
      <c r="P96" s="178">
        <f t="shared" si="24"/>
        <v>1373.5423076923071</v>
      </c>
      <c r="Q96" s="472" cm="1">
        <f t="array" ref="Q96">+SUMPRODUCT(('Réel 2025'!$A$8:$A$500=$A96)*('Réel 2025'!$C$3:$AO$3=Q$2),'Réel 2025'!$C$8:$AO$500)</f>
        <v>53568.14999999998</v>
      </c>
      <c r="R96" s="181">
        <f t="shared" si="25"/>
        <v>-9</v>
      </c>
      <c r="S96" s="344">
        <f t="shared" si="26"/>
        <v>6044.0200000001059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146</v>
      </c>
      <c r="E97" s="178">
        <f t="shared" si="23"/>
        <v>2021.2328767123288</v>
      </c>
      <c r="F97" s="346">
        <f>+F94+F95+F96</f>
        <v>295100</v>
      </c>
      <c r="G97" s="347"/>
      <c r="H97" s="345"/>
      <c r="I97" s="346"/>
      <c r="J97" s="347">
        <f>+J94+J95+J96</f>
        <v>131</v>
      </c>
      <c r="K97" s="345">
        <f>IF(J97&lt;=0,0,L97/J97)</f>
        <v>1903.7587022900805</v>
      </c>
      <c r="L97" s="346">
        <f>+L94+L95+L96</f>
        <v>249392.39000000054</v>
      </c>
      <c r="M97" s="347">
        <f>J97-D97</f>
        <v>-15</v>
      </c>
      <c r="N97" s="346">
        <f>L97-F97</f>
        <v>-45707.609999999462</v>
      </c>
      <c r="O97" s="347">
        <f>+O95+O94+O96</f>
        <v>121</v>
      </c>
      <c r="P97" s="345">
        <f t="shared" si="24"/>
        <v>1848.10074380165</v>
      </c>
      <c r="Q97" s="346">
        <f>+Q94+Q95+Q96</f>
        <v>223620.18999999965</v>
      </c>
      <c r="R97" s="347">
        <f>J97-O97</f>
        <v>10</v>
      </c>
      <c r="S97" s="348">
        <f>L97-Q97</f>
        <v>25772.200000000885</v>
      </c>
      <c r="T97" s="25"/>
      <c r="U97" s="25"/>
      <c r="V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-0.10273972602739725</v>
      </c>
      <c r="N98" s="233">
        <f>N97/F97</f>
        <v>-0.15488854625550477</v>
      </c>
      <c r="O98" s="222"/>
      <c r="P98" s="177"/>
      <c r="Q98" s="264"/>
      <c r="R98" s="234">
        <f>R97/O97</f>
        <v>8.2644628099173556E-2</v>
      </c>
      <c r="S98" s="261">
        <f>IF(Q97=0,0,(S97/Q97))</f>
        <v>0.11524987971793121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13554.177394921462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17977.010000000009</v>
      </c>
      <c r="M99" s="181"/>
      <c r="N99" s="179">
        <f>L99-F99</f>
        <v>4422.8326050785472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18484.969999999987</v>
      </c>
      <c r="R99" s="181">
        <f>O99-K99</f>
        <v>0</v>
      </c>
      <c r="S99" s="344">
        <f>L99-Q99</f>
        <v>-507.9599999999773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146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73000</v>
      </c>
      <c r="G101" s="181"/>
      <c r="H101" s="178"/>
      <c r="I101" s="178"/>
      <c r="J101" s="181">
        <f>-SUMIFS(BV_Data_An_Cour!$P:$P,BV_Data_An_Cour!$U:$U,$B101,BV_Data_An_Cour!$V:$V,$C101,BV_Data_An_Cour!$W:$W,J$2)</f>
        <v>186</v>
      </c>
      <c r="K101" s="178">
        <f>IF(J101=0,0,L101/J101)</f>
        <v>695.56139784945947</v>
      </c>
      <c r="L101" s="179">
        <f>-SUMIFS(BV_Data_An_Cour!$P:$P,BV_Data_An_Cour!$U:$U,$B101,BV_Data_An_Cour!$V:$V,$C101,BV_Data_An_Cour!$W:$W,L$2)</f>
        <v>129374.41999999946</v>
      </c>
      <c r="M101" s="181">
        <f>J101-D101</f>
        <v>40</v>
      </c>
      <c r="N101" s="179">
        <f>L101-F101</f>
        <v>56374.41999999946</v>
      </c>
      <c r="O101" s="181" cm="1">
        <f t="array" ref="O101">+SUMPRODUCT(('Réel 2025'!$A$8:$A$500=$A101)*('Réel 2025'!$C$3:$AO$3=O$2),'Réel 2025'!$C$8:$AO$500)</f>
        <v>123</v>
      </c>
      <c r="P101" s="178">
        <f t="shared" si="24"/>
        <v>362.0926829268281</v>
      </c>
      <c r="Q101" s="179" cm="1">
        <f t="array" ref="Q101">+SUMPRODUCT(('Réel 2025'!$A$8:$A$500=$A101)*('Réel 2025'!$C$3:$AO$3=Q$2),'Réel 2025'!$C$8:$AO$500)</f>
        <v>44537.399999999856</v>
      </c>
      <c r="R101" s="181">
        <f>J101-O101</f>
        <v>63</v>
      </c>
      <c r="S101" s="344">
        <f>L101-Q101</f>
        <v>84837.019999999611</v>
      </c>
      <c r="T101" s="25"/>
      <c r="U101" s="25"/>
      <c r="V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51100</v>
      </c>
      <c r="G103" s="181"/>
      <c r="H103" s="178"/>
      <c r="I103" s="178"/>
      <c r="J103" s="181"/>
      <c r="K103" s="178">
        <f>IF(J97=0,0,L103/J97)</f>
        <v>384.36900763358778</v>
      </c>
      <c r="L103" s="179">
        <f>-SUMIFS(BV_Data_An_Cour!$P:$P,BV_Data_An_Cour!$U:$U,$B103,BV_Data_An_Cour!$V:$V,$C103,BV_Data_An_Cour!$W:$W,$L2)</f>
        <v>50352.34</v>
      </c>
      <c r="M103" s="181"/>
      <c r="N103" s="179">
        <f>L103-F103</f>
        <v>-747.66000000000349</v>
      </c>
      <c r="O103" s="181"/>
      <c r="P103" s="178">
        <f>IF(O97=0,0,Q103/O97)</f>
        <v>431.48454545454547</v>
      </c>
      <c r="Q103" s="179" cm="1">
        <f t="array" ref="Q103">+SUMPRODUCT(('Réel 2025'!$A$8:$A$500=$A103)*('Réel 2025'!$C$3:$AO$3=Q$2),'Réel 2025'!$C$8:$AO$500)</f>
        <v>52209.630000000005</v>
      </c>
      <c r="R103" s="181">
        <f>O103-K103</f>
        <v>-384.36900763358778</v>
      </c>
      <c r="S103" s="344">
        <f>L103-Q103</f>
        <v>-1857.2900000000081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138700</v>
      </c>
      <c r="G104" s="181"/>
      <c r="H104" s="178"/>
      <c r="I104" s="178"/>
      <c r="J104" s="181"/>
      <c r="K104" s="178">
        <f>IF(J97=0,0,L104/J97)</f>
        <v>544.92259541984743</v>
      </c>
      <c r="L104" s="179">
        <f>-SUMIFS(BV_Data_An_Cour!$P:$P,BV_Data_An_Cour!$U:$U,$B104,BV_Data_An_Cour!$V:$V,$C104,BV_Data_An_Cour!$W:$W,$L2)</f>
        <v>71384.860000000015</v>
      </c>
      <c r="M104" s="181"/>
      <c r="N104" s="179">
        <f>L104-F104</f>
        <v>-67315.139999999985</v>
      </c>
      <c r="O104" s="181"/>
      <c r="P104" s="178">
        <f>IF(O97=0,0,Q104/O97)</f>
        <v>1051.556528925619</v>
      </c>
      <c r="Q104" s="179" cm="1">
        <f t="array" ref="Q104">+SUMPRODUCT(('Réel 2025'!$A$8:$A$500=$A104)*('Réel 2025'!$C$3:$AO$3=Q$2),'Réel 2025'!$C$8:$AO$500)</f>
        <v>127238.33999999991</v>
      </c>
      <c r="R104" s="181">
        <f>O104-K104</f>
        <v>-544.92259541984743</v>
      </c>
      <c r="S104" s="344">
        <f>L104-Q104</f>
        <v>-55853.479999999894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29200</v>
      </c>
      <c r="G105" s="181"/>
      <c r="H105" s="351"/>
      <c r="I105" s="178"/>
      <c r="J105" s="181"/>
      <c r="K105" s="351">
        <f>IF(J97=0,0,L105/J97)</f>
        <v>131.6612977099237</v>
      </c>
      <c r="L105" s="179">
        <f>-SUMIFS(BV_Data_An_Cour!$P:$P,BV_Data_An_Cour!$U:$U,$B105,BV_Data_An_Cour!$V:$V,$C105,BV_Data_An_Cour!$W:$W,$L$2)</f>
        <v>17247.630000000005</v>
      </c>
      <c r="M105" s="350"/>
      <c r="N105" s="179">
        <f>L105-F105</f>
        <v>-11952.369999999995</v>
      </c>
      <c r="O105" s="181"/>
      <c r="P105" s="351">
        <f>IF(O97=0,0,Q105/O97)</f>
        <v>348.66628099173465</v>
      </c>
      <c r="Q105" s="179" cm="1">
        <f t="array" ref="Q105">+SUMPRODUCT(('Réel 2025'!$A$8:$A$500=$A105)*('Réel 2025'!$C$3:$AO$3=Q$2),'Réel 2025'!$C$8:$AO$500)</f>
        <v>42188.619999999893</v>
      </c>
      <c r="R105" s="181">
        <f>O105-K105</f>
        <v>-131.6612977099237</v>
      </c>
      <c r="S105" s="344">
        <f>L105-Q105</f>
        <v>-24940.989999999889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146</v>
      </c>
      <c r="E106" s="178">
        <f t="shared" ref="E106" si="28">IF(D106=0,0,F106/D106)</f>
        <v>1500</v>
      </c>
      <c r="F106" s="346">
        <f>F103+F104+F105</f>
        <v>219000</v>
      </c>
      <c r="G106" s="347"/>
      <c r="H106" s="345"/>
      <c r="I106" s="346"/>
      <c r="J106" s="347">
        <f>J97</f>
        <v>131</v>
      </c>
      <c r="K106" s="345">
        <f>IF(J106&lt;=0,0,L106/J106)</f>
        <v>1060.9529007633589</v>
      </c>
      <c r="L106" s="346">
        <f>L103+L104+L105</f>
        <v>138984.83000000002</v>
      </c>
      <c r="M106" s="181">
        <f>J106-D106</f>
        <v>-15</v>
      </c>
      <c r="N106" s="346">
        <f>L106-F106</f>
        <v>-80015.169999999984</v>
      </c>
      <c r="O106" s="347">
        <f>O97</f>
        <v>121</v>
      </c>
      <c r="P106" s="345">
        <f t="shared" ref="P106" si="29">IF(O106=0,0,Q106/O106)</f>
        <v>1831.7073553718992</v>
      </c>
      <c r="Q106" s="346">
        <f>Q103+Q104+Q105</f>
        <v>221636.58999999979</v>
      </c>
      <c r="R106" s="355"/>
      <c r="S106" s="348">
        <f>L106-Q106</f>
        <v>-82651.759999999776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-0.36536607305936064</v>
      </c>
      <c r="O107" s="222"/>
      <c r="P107" s="177"/>
      <c r="Q107" s="224"/>
      <c r="R107" s="223"/>
      <c r="S107" s="261">
        <f>IF(Q106=0,0,(S106/Q106))</f>
        <v>-0.37291568147660031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292</v>
      </c>
      <c r="E109" s="30">
        <f>IF(D109&lt;=0,0,F109/D109)</f>
        <v>2057.0348540921968</v>
      </c>
      <c r="F109" s="28">
        <f>F97+F106+F101+F99</f>
        <v>600654.17739492143</v>
      </c>
      <c r="G109" s="29"/>
      <c r="H109" s="30"/>
      <c r="I109" s="28"/>
      <c r="J109" s="29">
        <f>J97+J101</f>
        <v>317</v>
      </c>
      <c r="K109" s="30">
        <f>IF(J109&lt;=0,0,L109/J109)</f>
        <v>1689.9957413249213</v>
      </c>
      <c r="L109" s="28">
        <f>L97+L106+L101+L99</f>
        <v>535728.65</v>
      </c>
      <c r="M109" s="29">
        <f>J109-D109</f>
        <v>25</v>
      </c>
      <c r="N109" s="28">
        <f>L109-F109</f>
        <v>-64925.527394921402</v>
      </c>
      <c r="O109" s="29">
        <f>O97+O101</f>
        <v>244</v>
      </c>
      <c r="P109" s="30">
        <f>IF(O109&lt;=0,0,Q109/O109)</f>
        <v>2083.1112704918005</v>
      </c>
      <c r="Q109" s="28">
        <f>Q97+Q106+Q101+Q99</f>
        <v>508279.14999999927</v>
      </c>
      <c r="R109" s="29">
        <f>J109-O109</f>
        <v>73</v>
      </c>
      <c r="S109" s="320">
        <f>L109-Q109</f>
        <v>27449.500000000757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8.5616438356164379E-2</v>
      </c>
      <c r="N110" s="34">
        <f>N109/F109</f>
        <v>-0.10809136078351755</v>
      </c>
      <c r="O110" s="31"/>
      <c r="P110" s="322"/>
      <c r="Q110" s="32"/>
      <c r="R110" s="33">
        <f>O109/R109</f>
        <v>3.3424657534246576</v>
      </c>
      <c r="S110" s="356">
        <f>IF(Q109=0,0,(S109/Q109))</f>
        <v>5.4004772771027096E-2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0.34637948659547352</v>
      </c>
      <c r="E113" s="194">
        <f t="shared" ref="E113:E122" si="30">F113/D$97</f>
        <v>700.11360612550845</v>
      </c>
      <c r="F113" s="178" cm="1">
        <f t="array" ref="F113">+SUMPRODUCT(('Budget original'!$A$8:$A$501=$A113)*('Budget original'!$C$3:$AO$3=F$2),'Budget original'!$C$8:$AO$501)</f>
        <v>102216.58649432423</v>
      </c>
      <c r="G113" s="292"/>
      <c r="H113" s="194"/>
      <c r="I113" s="178"/>
      <c r="J113" s="292">
        <f>L113/L97</f>
        <v>0.43964444945573422</v>
      </c>
      <c r="K113" s="194">
        <f>IF($J$97=0,0,L113/(J$94+J$95+J96))</f>
        <v>836.97694656488545</v>
      </c>
      <c r="L113" s="179">
        <f>SUMIFS(BV_Data_An_Cour!$P:$P,BV_Data_An_Cour!$U:$U,$B113,BV_Data_An_Cour!$V:$V,$C113,BV_Data_An_Cour!$W:$W,$L$2)</f>
        <v>109643.98</v>
      </c>
      <c r="M113" s="222"/>
      <c r="N113" s="224">
        <f t="shared" ref="N113:N154" si="31">L113-F113</f>
        <v>7427.3935056757618</v>
      </c>
      <c r="O113" s="292">
        <f>Q113/Q97</f>
        <v>0.32816634311955512</v>
      </c>
      <c r="P113" s="194">
        <f t="shared" ref="P113:P122" si="32">Q113/O$97</f>
        <v>606.48446280991732</v>
      </c>
      <c r="Q113" s="179" cm="1">
        <f t="array" ref="Q113">+SUMPRODUCT(('Réel 2025'!$A$8:$A$500=$A113)*('Réel 2025'!$C$3:$AO$3=Q$2),'Réel 2025'!$C$8:$AO$500)</f>
        <v>73384.62</v>
      </c>
      <c r="R113" s="222"/>
      <c r="S113" s="196">
        <f t="shared" ref="S113:S123" si="33">L113-Q113</f>
        <v>36259.360000000001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0.25426333193570611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59130</v>
      </c>
      <c r="G114" s="319"/>
      <c r="H114" s="357"/>
      <c r="I114" s="176"/>
      <c r="J114" s="319">
        <f>L114/L106</f>
        <v>0.19315633224143955</v>
      </c>
      <c r="K114" s="357">
        <f>IF($J$97=0,0,L114/(J$94+J$95+J96))</f>
        <v>204.9297709923664</v>
      </c>
      <c r="L114" s="179">
        <f>SUMIFS(BV_Data_An_Cour!$P:$P,BV_Data_An_Cour!$U:$U,$B114,BV_Data_An_Cour!$V:$V,$C114,BV_Data_An_Cour!$W:$W,$L$2)</f>
        <v>26845.8</v>
      </c>
      <c r="M114" s="277"/>
      <c r="N114" s="278">
        <f t="shared" si="31"/>
        <v>-32284.2</v>
      </c>
      <c r="O114" s="319">
        <f>Q114/(Q106+Q99)</f>
        <v>0.23458172602243652</v>
      </c>
      <c r="P114" s="357">
        <f t="shared" si="32"/>
        <v>465.52173553719007</v>
      </c>
      <c r="Q114" s="179" cm="1">
        <f t="array" ref="Q114">+SUMPRODUCT(('Réel 2025'!$A$8:$A$500=$A114)*('Réel 2025'!$C$3:$AO$3=Q$2),'Réel 2025'!$C$8:$AO$500)</f>
        <v>56328.13</v>
      </c>
      <c r="R114" s="277"/>
      <c r="S114" s="199">
        <f t="shared" si="33"/>
        <v>-29482.329999999998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12410</v>
      </c>
      <c r="G115" s="268"/>
      <c r="H115" s="194"/>
      <c r="I115" s="178"/>
      <c r="J115" s="222"/>
      <c r="K115" s="194">
        <f>IF($J$97=0,0,L115/(J$94+J$95+J96))</f>
        <v>66.26152671755726</v>
      </c>
      <c r="L115" s="180">
        <f>SUMIFS(BV_Data_An_Cour!$P:$P,BV_Data_An_Cour!$U:$U,$B115,BV_Data_An_Cour!$V:$V,$C115,BV_Data_An_Cour!$W:$W,$L$2)</f>
        <v>8680.26</v>
      </c>
      <c r="M115" s="222"/>
      <c r="N115" s="224">
        <f t="shared" si="31"/>
        <v>-3729.74</v>
      </c>
      <c r="O115" s="222"/>
      <c r="P115" s="194">
        <f t="shared" si="32"/>
        <v>83.770743801652898</v>
      </c>
      <c r="Q115" s="180" cm="1">
        <f t="array" ref="Q115">+SUMPRODUCT(('Réel 2025'!$A$8:$A$500=$A115)*('Réel 2025'!$C$3:$AO$3=Q$2),'Réel 2025'!$C$8:$AO$500)</f>
        <v>10136.26</v>
      </c>
      <c r="R115" s="222"/>
      <c r="S115" s="196">
        <f t="shared" si="33"/>
        <v>-1456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11680</v>
      </c>
      <c r="G116" s="268"/>
      <c r="H116" s="194"/>
      <c r="I116" s="178"/>
      <c r="J116" s="222"/>
      <c r="K116" s="194">
        <f>IF($J$97=0,0,L116/(J$94+J$95+J96))</f>
        <v>91.648320610687023</v>
      </c>
      <c r="L116" s="179">
        <f>SUMIFS(BV_Data_An_Cour!$P:$P,BV_Data_An_Cour!$U:$U,$B116,BV_Data_An_Cour!$V:$V,$C116,BV_Data_An_Cour!$W:$W,$L$2)</f>
        <v>12005.93</v>
      </c>
      <c r="M116" s="222"/>
      <c r="N116" s="224">
        <f t="shared" si="31"/>
        <v>325.93000000000029</v>
      </c>
      <c r="O116" s="222"/>
      <c r="P116" s="194">
        <f t="shared" si="32"/>
        <v>58.820661157024794</v>
      </c>
      <c r="Q116" s="179" cm="1">
        <f t="array" ref="Q116">+SUMPRODUCT(('Réel 2025'!$A$8:$A$500=$A116)*('Réel 2025'!$C$3:$AO$3=Q$2),'Réel 2025'!$C$8:$AO$500)</f>
        <v>7117.3</v>
      </c>
      <c r="R116" s="222"/>
      <c r="S116" s="196">
        <f t="shared" si="33"/>
        <v>4888.63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48.390410958904113</v>
      </c>
      <c r="F117" s="176" cm="1">
        <f t="array" ref="F117">+SUMPRODUCT(('Budget original'!$A$8:$A$501=$A117)*('Budget original'!$C$3:$AO$3=F$2),'Budget original'!$C$8:$AO$501)</f>
        <v>7065</v>
      </c>
      <c r="G117" s="276"/>
      <c r="H117" s="357"/>
      <c r="I117" s="176"/>
      <c r="J117" s="277"/>
      <c r="K117" s="357">
        <f>IF($J$97=0,0,L117/(J$94+J$95+J96))</f>
        <v>50.407099236641223</v>
      </c>
      <c r="L117" s="349">
        <f>SUMIFS(BV_Data_An_Cour!$P:$P,BV_Data_An_Cour!$U:$U,$B117,BV_Data_An_Cour!$V:$V,$C117,BV_Data_An_Cour!$W:$W,$L$2)</f>
        <v>6603.33</v>
      </c>
      <c r="M117" s="277"/>
      <c r="N117" s="278">
        <f t="shared" si="31"/>
        <v>-461.67000000000007</v>
      </c>
      <c r="O117" s="277"/>
      <c r="P117" s="357">
        <f t="shared" si="32"/>
        <v>168.69099173553718</v>
      </c>
      <c r="Q117" s="349" cm="1">
        <f t="array" ref="Q117">+SUMPRODUCT(('Réel 2025'!$A$8:$A$500=$A117)*('Réel 2025'!$C$3:$AO$3=Q$2),'Réel 2025'!$C$8:$AO$500)</f>
        <v>20411.61</v>
      </c>
      <c r="R117" s="277"/>
      <c r="S117" s="199">
        <f t="shared" si="33"/>
        <v>-13808.28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49.880136986301373</v>
      </c>
      <c r="F118" s="178" cm="1">
        <f t="array" ref="F118">+SUMPRODUCT(('Budget original'!$A$8:$A$501=$A118)*('Budget original'!$C$3:$AO$3=F$2),'Budget original'!$C$8:$AO$501)</f>
        <v>7282.5</v>
      </c>
      <c r="G118" s="268"/>
      <c r="H118" s="194"/>
      <c r="I118" s="178"/>
      <c r="J118" s="222"/>
      <c r="K118" s="194">
        <f>IF($J$97=0,0,L118/(J$94+J$95))</f>
        <v>70.567623762376215</v>
      </c>
      <c r="L118" s="179">
        <f>SUMIFS(BV_Data_An_Cour!$P:$P,BV_Data_An_Cour!$U:$U,$B118,BV_Data_An_Cour!$V:$V,$C118,BV_Data_An_Cour!$W:$W,$L$2)</f>
        <v>7127.3299999999981</v>
      </c>
      <c r="M118" s="222"/>
      <c r="N118" s="224">
        <f t="shared" si="31"/>
        <v>-155.17000000000189</v>
      </c>
      <c r="O118" s="222"/>
      <c r="P118" s="194">
        <f t="shared" si="32"/>
        <v>335.16636363636366</v>
      </c>
      <c r="Q118" s="179" cm="1">
        <f t="array" ref="Q118">+SUMPRODUCT(('Réel 2025'!$A$8:$A$500=$A118)*('Réel 2025'!$C$3:$AO$3=Q$2),'Réel 2025'!$C$8:$AO$500)</f>
        <v>40555.130000000005</v>
      </c>
      <c r="R118" s="222"/>
      <c r="S118" s="196">
        <f t="shared" si="33"/>
        <v>-33427.800000000003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350.56908731192448</v>
      </c>
      <c r="F119" s="178" cm="1">
        <f t="array" ref="F119">+SUMPRODUCT(('Budget original'!$A$8:$A$501=$A119)*('Budget original'!$C$3:$AO$3=F$2),'Budget original'!$C$8:$AO$501)</f>
        <v>51183.086747540976</v>
      </c>
      <c r="G119" s="268"/>
      <c r="H119" s="194"/>
      <c r="I119" s="178"/>
      <c r="J119" s="222"/>
      <c r="K119" s="194">
        <f>IF($J$97=0,0,L119/(J$94+J$95))</f>
        <v>481.90138613861387</v>
      </c>
      <c r="L119" s="179">
        <f>SUMIFS(BV_Data_An_Cour!$P:$P,BV_Data_An_Cour!$U:$U,$B119,BV_Data_An_Cour!$V:$V,$C119,BV_Data_An_Cour!$W:$W,$L$2)</f>
        <v>48672.04</v>
      </c>
      <c r="M119" s="222"/>
      <c r="N119" s="224">
        <f t="shared" si="31"/>
        <v>-2511.046747540975</v>
      </c>
      <c r="O119" s="222"/>
      <c r="P119" s="194">
        <f t="shared" si="32"/>
        <v>267.43049586776857</v>
      </c>
      <c r="Q119" s="179" cm="1">
        <f t="array" ref="Q119">+SUMPRODUCT(('Réel 2025'!$A$8:$A$500=$A119)*('Réel 2025'!$C$3:$AO$3=Q$2),'Réel 2025'!$C$8:$AO$500)</f>
        <v>32359.09</v>
      </c>
      <c r="R119" s="222"/>
      <c r="S119" s="196">
        <f>L119-Q119</f>
        <v>16312.95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0.41782307138914299</v>
      </c>
      <c r="F123" s="41">
        <f>SUM(F113:F122)</f>
        <v>250967.17324186521</v>
      </c>
      <c r="G123" s="42"/>
      <c r="H123" s="40"/>
      <c r="I123" s="41"/>
      <c r="J123" s="42" t="s">
        <v>108</v>
      </c>
      <c r="K123" s="40">
        <f>L123/L$109</f>
        <v>0.40986919404067707</v>
      </c>
      <c r="L123" s="41">
        <f>SUM(L113:L122)</f>
        <v>219578.66999999998</v>
      </c>
      <c r="M123" s="44"/>
      <c r="N123" s="41">
        <f t="shared" si="31"/>
        <v>-31388.503241865226</v>
      </c>
      <c r="O123" s="42" t="s">
        <v>108</v>
      </c>
      <c r="P123" s="40">
        <f>Q123/Q$109</f>
        <v>0.47275624034548797</v>
      </c>
      <c r="Q123" s="41">
        <f>SUM(Q113:Q122)</f>
        <v>240292.13999999998</v>
      </c>
      <c r="R123" s="44"/>
      <c r="S123" s="284">
        <f t="shared" si="33"/>
        <v>-20713.47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44761.586950191566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40172.11</v>
      </c>
      <c r="M124" s="222"/>
      <c r="N124" s="224">
        <f t="shared" si="31"/>
        <v>-4589.4769501915653</v>
      </c>
      <c r="O124" s="222"/>
      <c r="P124" s="177"/>
      <c r="Q124" s="179" cm="1">
        <f t="array" ref="Q124">+SUMPRODUCT(('Réel 2025'!$A$8:$A$500=$A124)*('Réel 2025'!$C$3:$AO$3=Q$2),'Réel 2025'!$C$8:$AO$500)</f>
        <v>30112.449999999997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13615.938406130266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12098.9</v>
      </c>
      <c r="M125" s="222"/>
      <c r="N125" s="224">
        <f t="shared" si="31"/>
        <v>-1517.0384061302666</v>
      </c>
      <c r="O125" s="222"/>
      <c r="P125" s="177"/>
      <c r="Q125" s="176" cm="1">
        <f t="array" ref="Q125">+SUMPRODUCT(('Réel 2025'!$A$8:$A$500=$A125)*('Réel 2025'!$C$3:$AO$3=Q$2),'Réel 2025'!$C$8:$AO$500)</f>
        <v>21301.24</v>
      </c>
      <c r="R125" s="222"/>
      <c r="S125" s="196">
        <f t="shared" ref="S125:S154" si="34">L125-Q125</f>
        <v>-9202.340000000002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19663</v>
      </c>
      <c r="R126" s="272"/>
      <c r="S126" s="198">
        <f t="shared" si="34"/>
        <v>-19663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30123.722903981063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23134.080000000002</v>
      </c>
      <c r="M131" s="222"/>
      <c r="N131" s="224">
        <f t="shared" si="31"/>
        <v>-6989.642903981061</v>
      </c>
      <c r="O131" s="222"/>
      <c r="P131" s="177"/>
      <c r="Q131" s="179" cm="1">
        <f t="array" ref="Q131">+SUMPRODUCT(('Réel 2025'!$A$8:$A$500=$A131)*('Réel 2025'!$C$3:$AO$3=Q$2),'Réel 2025'!$C$8:$AO$500)</f>
        <v>30693.599999999999</v>
      </c>
      <c r="R131" s="222"/>
      <c r="S131" s="196">
        <f>L131-Q131</f>
        <v>-7559.5199999999968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31654.878709929828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27881.07</v>
      </c>
      <c r="M132" s="272"/>
      <c r="N132" s="273">
        <f t="shared" si="31"/>
        <v>-3773.8087099298282</v>
      </c>
      <c r="O132" s="272"/>
      <c r="P132" s="270"/>
      <c r="Q132" s="373" cm="1">
        <f t="array" ref="Q132">+SUMPRODUCT(('Réel 2025'!$A$8:$A$500=$A132)*('Réel 2025'!$C$3:$AO$3=Q$2),'Réel 2025'!$C$8:$AO$500)</f>
        <v>32092.180000000004</v>
      </c>
      <c r="R132" s="272"/>
      <c r="S132" s="198">
        <f t="shared" si="34"/>
        <v>-4211.1100000000042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20762.56596509245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13453.28</v>
      </c>
      <c r="M133" s="222"/>
      <c r="N133" s="224">
        <f t="shared" si="31"/>
        <v>-7309.2859650924493</v>
      </c>
      <c r="O133" s="222"/>
      <c r="P133" s="177"/>
      <c r="Q133" s="179" cm="1">
        <f t="array" ref="Q133">+SUMPRODUCT(('Réel 2025'!$A$8:$A$500=$A133)*('Réel 2025'!$C$3:$AO$3=Q$2),'Réel 2025'!$C$8:$AO$500)</f>
        <v>16337.750000000002</v>
      </c>
      <c r="R133" s="222"/>
      <c r="S133" s="196">
        <f t="shared" si="34"/>
        <v>-2884.4700000000012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5813.5184702258866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4354.57</v>
      </c>
      <c r="M134" s="222"/>
      <c r="N134" s="224">
        <f t="shared" si="31"/>
        <v>-1458.9484702258869</v>
      </c>
      <c r="O134" s="222"/>
      <c r="P134" s="177"/>
      <c r="Q134" s="179" cm="1">
        <f t="array" ref="Q134">+SUMPRODUCT(('Réel 2025'!$A$8:$A$500=$A134)*('Réel 2025'!$C$3:$AO$3=Q$2),'Réel 2025'!$C$8:$AO$500)</f>
        <v>5857.48</v>
      </c>
      <c r="R134" s="222"/>
      <c r="S134" s="196">
        <f t="shared" si="34"/>
        <v>-1502.9099999999999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0.24428734024949061</v>
      </c>
      <c r="F136" s="41">
        <f>+SUM(F124:F135)</f>
        <v>146732.21140555106</v>
      </c>
      <c r="G136" s="42"/>
      <c r="H136" s="40"/>
      <c r="I136" s="41"/>
      <c r="J136" s="42" t="s">
        <v>108</v>
      </c>
      <c r="K136" s="40">
        <f>L136/L$109</f>
        <v>0.22603609121894078</v>
      </c>
      <c r="L136" s="41">
        <f>SUM(L124:L135)</f>
        <v>121094.01000000001</v>
      </c>
      <c r="M136" s="809"/>
      <c r="N136" s="810">
        <f t="shared" si="31"/>
        <v>-25638.201405551052</v>
      </c>
      <c r="O136" s="42" t="s">
        <v>108</v>
      </c>
      <c r="P136" s="40">
        <f>Q136/Q$109</f>
        <v>0.30703148063421493</v>
      </c>
      <c r="Q136" s="41">
        <f>+SUM(Q124:Q135)</f>
        <v>156057.70000000001</v>
      </c>
      <c r="R136" s="43"/>
      <c r="S136" s="280">
        <f t="shared" si="34"/>
        <v>-34963.69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5345.083333333333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3515.17</v>
      </c>
      <c r="M139" s="277"/>
      <c r="N139" s="278">
        <f t="shared" si="31"/>
        <v>-1829.913333333333</v>
      </c>
      <c r="O139" s="277"/>
      <c r="P139" s="275"/>
      <c r="Q139" s="176" cm="1">
        <f t="array" ref="Q139">+SUMPRODUCT(('Réel 2025'!$A$8:$A$500=$A139)*('Réel 2025'!$C$3:$AO$3=Q$2),'Réel 2025'!$C$8:$AO$500)</f>
        <v>6858.73</v>
      </c>
      <c r="R139" s="277"/>
      <c r="S139" s="199">
        <f t="shared" si="34"/>
        <v>-3343.5599999999995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28591.605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30138.66</v>
      </c>
      <c r="M140" s="222"/>
      <c r="N140" s="224">
        <f t="shared" si="31"/>
        <v>1547.0550000000003</v>
      </c>
      <c r="O140" s="222"/>
      <c r="P140" s="177"/>
      <c r="Q140" s="179" cm="1">
        <f t="array" ref="Q140">+SUMPRODUCT(('Réel 2025'!$A$8:$A$500=$A140)*('Réel 2025'!$C$3:$AO$3=Q$2),'Réel 2025'!$C$8:$AO$500)</f>
        <v>10694.220000000001</v>
      </c>
      <c r="R140" s="222"/>
      <c r="S140" s="196">
        <f t="shared" si="34"/>
        <v>19444.439999999999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3491.25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5758.57</v>
      </c>
      <c r="M141" s="222"/>
      <c r="N141" s="224">
        <f t="shared" si="31"/>
        <v>2267.3199999999997</v>
      </c>
      <c r="O141" s="222"/>
      <c r="P141" s="177"/>
      <c r="Q141" s="179" cm="1">
        <f t="array" ref="Q141">+SUMPRODUCT(('Réel 2025'!$A$8:$A$500=$A141)*('Réel 2025'!$C$3:$AO$3=Q$2),'Réel 2025'!$C$8:$AO$500)</f>
        <v>1002.64</v>
      </c>
      <c r="R141" s="222"/>
      <c r="S141" s="196">
        <f t="shared" si="34"/>
        <v>4755.9299999999994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20285.232333333333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22534.98</v>
      </c>
      <c r="M142" s="277"/>
      <c r="N142" s="278">
        <f t="shared" si="31"/>
        <v>2249.7476666666662</v>
      </c>
      <c r="O142" s="277"/>
      <c r="P142" s="275"/>
      <c r="Q142" s="176" cm="1">
        <f t="array" ref="Q142">+SUMPRODUCT(('Réel 2025'!$A$8:$A$500=$A142)*('Réel 2025'!$C$3:$AO$3=Q$2),'Réel 2025'!$C$8:$AO$500)</f>
        <v>5290.58</v>
      </c>
      <c r="R142" s="277"/>
      <c r="S142" s="199">
        <f t="shared" si="34"/>
        <v>17244.400000000001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96.25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332.05</v>
      </c>
      <c r="M143" s="222"/>
      <c r="N143" s="224">
        <f t="shared" si="31"/>
        <v>235.8</v>
      </c>
      <c r="O143" s="222"/>
      <c r="P143" s="177"/>
      <c r="Q143" s="179" cm="1">
        <f t="array" ref="Q143">+SUMPRODUCT(('Réel 2025'!$A$8:$A$500=$A143)*('Réel 2025'!$C$3:$AO$3=Q$2),'Réel 2025'!$C$8:$AO$500)</f>
        <v>125.96000000000001</v>
      </c>
      <c r="R143" s="222"/>
      <c r="S143" s="196">
        <f t="shared" si="34"/>
        <v>206.09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52.5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109.83</v>
      </c>
      <c r="M144" s="222"/>
      <c r="N144" s="224">
        <f t="shared" si="31"/>
        <v>57.33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34"/>
        <v>29.849999999999994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1522.5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1819.01</v>
      </c>
      <c r="M145" s="222"/>
      <c r="N145" s="224">
        <f t="shared" si="31"/>
        <v>296.51</v>
      </c>
      <c r="O145" s="222"/>
      <c r="P145" s="177"/>
      <c r="Q145" s="472" cm="1">
        <f t="array" ref="Q145">+SUMPRODUCT(('Réel 2025'!$A$8:$A$500=$A145)*('Réel 2025'!$C$3:$AO$3=Q$2),'Réel 2025'!$C$8:$AO$500)</f>
        <v>1000.4000000000001</v>
      </c>
      <c r="R145" s="222"/>
      <c r="S145" s="196">
        <f t="shared" si="34"/>
        <v>818.6099999999999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443.45000000000005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619.33000000000004</v>
      </c>
      <c r="M146" s="222"/>
      <c r="N146" s="224">
        <f t="shared" si="31"/>
        <v>175.88</v>
      </c>
      <c r="O146" s="222"/>
      <c r="P146" s="177"/>
      <c r="Q146" s="179" cm="1">
        <f t="array" ref="Q146">+SUMPRODUCT(('Réel 2025'!$A$8:$A$500=$A146)*('Réel 2025'!$C$3:$AO$3=Q$2),'Réel 2025'!$C$8:$AO$500)</f>
        <v>628.27</v>
      </c>
      <c r="R146" s="222"/>
      <c r="S146" s="196">
        <f t="shared" si="34"/>
        <v>-8.9399999999999409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594.99999999999989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756.74</v>
      </c>
      <c r="M147" s="222"/>
      <c r="N147" s="224">
        <f t="shared" si="31"/>
        <v>161.74000000000012</v>
      </c>
      <c r="O147" s="222"/>
      <c r="P147" s="177"/>
      <c r="Q147" s="179" cm="1">
        <f t="array" ref="Q147">+SUMPRODUCT(('Réel 2025'!$A$8:$A$500=$A147)*('Réel 2025'!$C$3:$AO$3=Q$2),'Réel 2025'!$C$8:$AO$500)</f>
        <v>670.69</v>
      </c>
      <c r="R147" s="222"/>
      <c r="S147" s="196">
        <f t="shared" si="34"/>
        <v>86.049999999999955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1672.4166666666661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1620.0700000000002</v>
      </c>
      <c r="M148" s="222"/>
      <c r="N148" s="224">
        <f t="shared" si="31"/>
        <v>-52.346666666665897</v>
      </c>
      <c r="O148" s="222"/>
      <c r="P148" s="177"/>
      <c r="Q148" s="179" cm="1">
        <f t="array" ref="Q148">+SUMPRODUCT(('Réel 2025'!$A$8:$A$500=$A148)*('Réel 2025'!$C$3:$AO$3=Q$2),'Réel 2025'!$C$8:$AO$500)</f>
        <v>1400.6599999999999</v>
      </c>
      <c r="R148" s="222"/>
      <c r="S148" s="196">
        <f t="shared" si="34"/>
        <v>219.41000000000031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800.43600000000038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453.59</v>
      </c>
      <c r="M149" s="222"/>
      <c r="N149" s="224">
        <f t="shared" si="31"/>
        <v>-346.8460000000004</v>
      </c>
      <c r="O149" s="222"/>
      <c r="P149" s="177"/>
      <c r="Q149" s="179" cm="1">
        <f t="array" ref="Q149">+SUMPRODUCT(('Réel 2025'!$A$8:$A$500=$A149)*('Réel 2025'!$C$3:$AO$3=Q$2),'Réel 2025'!$C$8:$AO$500)</f>
        <v>592.80000000000007</v>
      </c>
      <c r="R149" s="222"/>
      <c r="S149" s="196">
        <f t="shared" si="34"/>
        <v>-139.21000000000009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9196.1120857359438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7175.53</v>
      </c>
      <c r="M150" s="222"/>
      <c r="N150" s="224">
        <f t="shared" si="31"/>
        <v>-2020.582085735944</v>
      </c>
      <c r="O150" s="222"/>
      <c r="P150" s="177"/>
      <c r="Q150" s="179" cm="1">
        <f t="array" ref="Q150">+SUMPRODUCT(('Réel 2025'!$A$8:$A$500=$A150)*('Réel 2025'!$C$3:$AO$3=Q$2),'Réel 2025'!$C$8:$AO$500)</f>
        <v>4671.32</v>
      </c>
      <c r="R150" s="222"/>
      <c r="S150" s="196">
        <f>L150-Q150</f>
        <v>2504.21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0.12002219934894408</v>
      </c>
      <c r="F154" s="41">
        <f>+SUM(F137:F153)</f>
        <v>72091.835419069277</v>
      </c>
      <c r="G154" s="42"/>
      <c r="H154" s="40"/>
      <c r="I154" s="41"/>
      <c r="J154" s="42" t="s">
        <v>108</v>
      </c>
      <c r="K154" s="40">
        <f>L154/L$109</f>
        <v>0.13968551056584338</v>
      </c>
      <c r="L154" s="41">
        <f>+SUM(L137:L153)</f>
        <v>74833.530000000013</v>
      </c>
      <c r="M154" s="44"/>
      <c r="N154" s="41">
        <f t="shared" si="31"/>
        <v>2741.6945809307363</v>
      </c>
      <c r="O154" s="42" t="s">
        <v>108</v>
      </c>
      <c r="P154" s="40">
        <f>Q154/Q$109</f>
        <v>6.4956923769153324E-2</v>
      </c>
      <c r="Q154" s="41">
        <f>+SUM(Q137:Q153)</f>
        <v>33016.25</v>
      </c>
      <c r="R154" s="44"/>
      <c r="S154" s="284">
        <f t="shared" si="34"/>
        <v>41817.280000000013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0.78213261098757769</v>
      </c>
      <c r="F156" s="41">
        <f>F123+F136+F154</f>
        <v>469791.22006648558</v>
      </c>
      <c r="G156" s="42"/>
      <c r="H156" s="40"/>
      <c r="I156" s="41"/>
      <c r="J156" s="42" t="s">
        <v>108</v>
      </c>
      <c r="K156" s="40">
        <f>L156/L$109</f>
        <v>0.77559079582546131</v>
      </c>
      <c r="L156" s="41">
        <f>L123+L136+L154</f>
        <v>415506.21</v>
      </c>
      <c r="M156" s="44"/>
      <c r="N156" s="46">
        <f t="shared" ref="N156:N163" si="35">L156-F156</f>
        <v>-54285.010066485556</v>
      </c>
      <c r="O156" s="42" t="s">
        <v>108</v>
      </c>
      <c r="P156" s="40">
        <f>Q156/Q$109</f>
        <v>0.84474464474885624</v>
      </c>
      <c r="Q156" s="41">
        <f>Q123+Q136+Q154</f>
        <v>429366.08999999997</v>
      </c>
      <c r="R156" s="44"/>
      <c r="S156" s="280">
        <f t="shared" ref="S156:S163" si="36">L156-Q156</f>
        <v>-13859.879999999946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32625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28650</v>
      </c>
      <c r="M157" s="222"/>
      <c r="N157" s="224">
        <f t="shared" si="35"/>
        <v>-3975</v>
      </c>
      <c r="O157" s="360"/>
      <c r="P157" s="359"/>
      <c r="Q157" s="179" cm="1">
        <f t="array" ref="Q157">+SUMPRODUCT(('Réel 2025'!$A$8:$A$500=$A157)*('Réel 2025'!$C$3:$AO$3=Q$2),'Réel 2025'!$C$8:$AO$500)</f>
        <v>12525</v>
      </c>
      <c r="R157" s="222"/>
      <c r="S157" s="196">
        <f t="shared" si="36"/>
        <v>16125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21975</v>
      </c>
      <c r="M158" s="222"/>
      <c r="N158" s="224">
        <f t="shared" si="35"/>
        <v>21975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6"/>
        <v>21200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73839.5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76755</v>
      </c>
      <c r="M163" s="222"/>
      <c r="N163" s="224">
        <f t="shared" si="35"/>
        <v>2915.5</v>
      </c>
      <c r="O163" s="222"/>
      <c r="P163" s="177"/>
      <c r="Q163" s="179" cm="1">
        <f t="array" ref="Q163">+SUMPRODUCT(('Réel 2025'!$A$8:$A$500=$A163)*('Réel 2025'!$C$3:$AO$3=Q$2),'Réel 2025'!$C$8:$AO$500)</f>
        <v>62475</v>
      </c>
      <c r="R163" s="222"/>
      <c r="S163" s="196">
        <f t="shared" si="36"/>
        <v>14280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">
      <c r="B164" s="24"/>
      <c r="C164" s="279" t="s">
        <v>138</v>
      </c>
      <c r="D164" s="39"/>
      <c r="E164" s="40"/>
      <c r="F164" s="41">
        <f>+SUM(F157:F163)</f>
        <v>106464.5</v>
      </c>
      <c r="G164" s="42"/>
      <c r="H164" s="40"/>
      <c r="I164" s="41"/>
      <c r="J164" s="42"/>
      <c r="K164" s="40"/>
      <c r="L164" s="41">
        <f>+SUM(L157:L163)</f>
        <v>127380</v>
      </c>
      <c r="M164" s="44"/>
      <c r="N164" s="41">
        <f>SUM(N157:N160)</f>
        <v>18000</v>
      </c>
      <c r="O164" s="42"/>
      <c r="P164" s="40"/>
      <c r="Q164" s="41">
        <f>+SUM(Q157:Q163)</f>
        <v>75775</v>
      </c>
      <c r="R164" s="44"/>
      <c r="S164" s="284">
        <f>+SUM(S157:S163)</f>
        <v>51605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237327.45732843585</v>
      </c>
      <c r="G166" s="306"/>
      <c r="H166" s="304"/>
      <c r="I166" s="305"/>
      <c r="J166" s="307"/>
      <c r="K166" s="308"/>
      <c r="L166" s="305">
        <f>L109-L156+L164</f>
        <v>247602.44</v>
      </c>
      <c r="M166" s="307"/>
      <c r="N166" s="305">
        <f>L166-F166</f>
        <v>10274.982671564154</v>
      </c>
      <c r="O166" s="307"/>
      <c r="P166" s="308"/>
      <c r="Q166" s="305">
        <f>Q109-Q156+Q164</f>
        <v>154688.0599999993</v>
      </c>
      <c r="R166" s="307"/>
      <c r="S166" s="309">
        <f>L166-Q166</f>
        <v>92914.380000000703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Juillet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6"/>
      <c r="H171" s="1434"/>
      <c r="I171" s="1435"/>
      <c r="J171" s="1436" t="s">
        <v>78</v>
      </c>
      <c r="K171" s="1434"/>
      <c r="L171" s="1435"/>
      <c r="M171" s="1436" t="s">
        <v>2441</v>
      </c>
      <c r="N171" s="1435"/>
      <c r="O171" s="1433" t="s">
        <v>79</v>
      </c>
      <c r="P171" s="1434"/>
      <c r="Q171" s="1435"/>
      <c r="R171" s="1437" t="s">
        <v>2445</v>
      </c>
      <c r="S171" s="1438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">
      <c r="A173" t="str">
        <f t="shared" si="37"/>
        <v>ServiceM/O Client</v>
      </c>
      <c r="B173" s="24" t="s">
        <v>147</v>
      </c>
      <c r="C173" s="250" t="s">
        <v>151</v>
      </c>
      <c r="D173" s="930" cm="1">
        <f t="array" ref="D173">+SUMPRODUCT(('Budget original'!$A$8:$A$501=$A173)*('Budget original'!$C$3:$AO$3=D$2),'Budget original'!$C$8:$AO$501)</f>
        <v>1495.6797569065163</v>
      </c>
      <c r="E173" s="194" cm="1">
        <f t="array" ref="E173">+SUMPRODUCT(('Budget original'!$A$8:$A$501=$A173)*('Budget original'!$C$3:$AO$3=E$2),'Budget original'!$C$8:$AO$501)</f>
        <v>530966.31370181334</v>
      </c>
      <c r="F173" s="194" cm="1">
        <f t="array" ref="F173">+SUMPRODUCT(('Budget original'!$A$8:$A$501=$A173)*('Budget original'!$C$3:$AO$3=F$2),'Budget original'!$C$8:$AO$501)</f>
        <v>419463.38782443252</v>
      </c>
      <c r="G173" s="310"/>
      <c r="H173" s="194"/>
      <c r="I173" s="194"/>
      <c r="J173" s="223">
        <f>-SUMIFS(BV_Data_An_Cour!$P:$P,BV_Data_An_Cour!$U:$U,$B173,BV_Data_An_Cour!$V:$V,$C173,BV_Data_An_Cour!$W:$W,J$2)</f>
        <v>1379</v>
      </c>
      <c r="K173" s="178">
        <f>-SUMIFS(BV_Data_An_Cour!$P:$P,BV_Data_An_Cour!$X:$X,"Oui",BV_Data_An_Cour!$U:$U,$B173,BV_Data_An_Cour!$V:$V,$C173)</f>
        <v>522970.99000000005</v>
      </c>
      <c r="L173" s="179">
        <f>-SUMIFS(BV_Data_An_Cour!$P:$P,BV_Data_An_Cour!$U:$U,$B173,BV_Data_An_Cour!$V:$V,$C173,BV_Data_An_Cour!$W:$W,$L$2)</f>
        <v>409356.79999999999</v>
      </c>
      <c r="M173" s="292">
        <f>(K173-E173)/E173</f>
        <v>-1.5058062056839648E-2</v>
      </c>
      <c r="N173" s="224">
        <f>L173-F173</f>
        <v>-10106.587824432529</v>
      </c>
      <c r="O173" s="223" cm="1">
        <f t="array" ref="O173">+SUMPRODUCT(('Réel 2025'!$A$8:$A$500=$A173)*('Réel 2025'!$C$3:$AO$3=O$2),'Réel 2025'!$C$8:$AO$500)</f>
        <v>1334</v>
      </c>
      <c r="P173" s="178" cm="1">
        <f t="array" ref="P173">+SUMPRODUCT(('Réel 2025'!$A$8:$A$500=$A173)*('Réel 2025'!$C$3:$AO$3=P$2),'Réel 2025'!$C$8:$AO$500)</f>
        <v>463525.40999999986</v>
      </c>
      <c r="Q173" s="179" cm="1">
        <f t="array" ref="Q173">+SUMPRODUCT(('Réel 2025'!$A$8:$A$500=$A173)*('Réel 2025'!$C$3:$AO$3=Q$2),'Réel 2025'!$C$8:$AO$500)</f>
        <v>368470.33999999979</v>
      </c>
      <c r="R173" s="292">
        <f>IF(O173=0,0,J173/O173)</f>
        <v>1.0337331334332833</v>
      </c>
      <c r="S173" s="196">
        <f>L173-Q173</f>
        <v>40886.460000000196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">
      <c r="A174" t="str">
        <f t="shared" si="37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0.78999999999999992</v>
      </c>
      <c r="G174" s="222"/>
      <c r="H174" s="225"/>
      <c r="I174" s="226"/>
      <c r="J174" s="223"/>
      <c r="K174" s="177"/>
      <c r="L174" s="226">
        <f>IF(L173=0,0,L173/K173)</f>
        <v>0.78275240467927287</v>
      </c>
      <c r="M174" s="292"/>
      <c r="N174" s="224"/>
      <c r="O174" s="223"/>
      <c r="P174" s="177"/>
      <c r="Q174" s="226">
        <f>Q173/P173</f>
        <v>0.79493018516503744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">
      <c r="A175" t="str">
        <f t="shared" si="37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/>
      <c r="I175" s="317"/>
      <c r="J175" s="301"/>
      <c r="K175" s="1030">
        <f>IFERROR(K173/J173,0)</f>
        <v>379.23929659173319</v>
      </c>
      <c r="L175" s="317"/>
      <c r="M175" s="319"/>
      <c r="N175" s="278"/>
      <c r="O175" s="301"/>
      <c r="P175" s="494">
        <f>IFERROR(P173/O173,0)</f>
        <v>347.4703223388305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">
      <c r="A176" t="str">
        <f t="shared" si="37"/>
        <v>ServiceM/O Garantie</v>
      </c>
      <c r="B176" s="24" t="s">
        <v>147</v>
      </c>
      <c r="C176" s="311" t="s">
        <v>153</v>
      </c>
      <c r="D176" s="932" cm="1">
        <f t="array" ref="D176">+SUMPRODUCT(('Budget original'!$A$8:$A$501=$A176)*('Budget original'!$C$3:$AO$3=D$2),'Budget original'!$C$8:$AO$501)</f>
        <v>1269.5927074160411</v>
      </c>
      <c r="E176" s="194" cm="1">
        <f t="array" ref="E176">+SUMPRODUCT(('Budget original'!$A$8:$A$501=$A176)*('Budget original'!$C$3:$AO$3=E$2),'Budget original'!$C$8:$AO$501)</f>
        <v>241222.61440904779</v>
      </c>
      <c r="F176" s="194" cm="1">
        <f t="array" ref="F176">+SUMPRODUCT(('Budget original'!$A$8:$A$501=$A176)*('Budget original'!$C$3:$AO$3=F$2),'Budget original'!$C$8:$AO$501)</f>
        <v>160171.81596760775</v>
      </c>
      <c r="G176" s="313"/>
      <c r="H176" s="194"/>
      <c r="I176" s="194"/>
      <c r="J176" s="313">
        <f>-SUMIFS(BV_Data_An_Cour!$P:$P,BV_Data_An_Cour!$U:$U,$B176,BV_Data_An_Cour!$V:$V,$C176,BV_Data_An_Cour!$W:$W,J$2)</f>
        <v>1440</v>
      </c>
      <c r="K176" s="185">
        <f>-SUMIFS(BV_Data_An_Cour!$P:$P,BV_Data_An_Cour!$X:$X,"Oui",BV_Data_An_Cour!$U:$U,$B176,BV_Data_An_Cour!$V:$V,$C176)</f>
        <v>223341.76</v>
      </c>
      <c r="L176" s="179">
        <f>-SUMIFS(BV_Data_An_Cour!$P:$P,BV_Data_An_Cour!$U:$U,$B176,BV_Data_An_Cour!$V:$V,$C176,BV_Data_An_Cour!$W:$W,$L$2)</f>
        <v>143177.06</v>
      </c>
      <c r="M176" s="292">
        <f>(K176-E176)/E176</f>
        <v>-7.4125945665801996E-2</v>
      </c>
      <c r="N176" s="273">
        <f>L176-F176</f>
        <v>-16994.755967607751</v>
      </c>
      <c r="O176" s="313" cm="1">
        <f t="array" ref="O176">+SUMPRODUCT(('Réel 2025'!$A$8:$A$500=$A176)*('Réel 2025'!$C$3:$AO$3=O$2),'Réel 2025'!$C$8:$AO$500)</f>
        <v>1234</v>
      </c>
      <c r="P176" s="185" cm="1">
        <f t="array" ref="P176">+SUMPRODUCT(('Réel 2025'!$A$8:$A$500=$A176)*('Réel 2025'!$C$3:$AO$3=P$2),'Réel 2025'!$C$8:$AO$500)</f>
        <v>253479.51999999981</v>
      </c>
      <c r="Q176" s="179" cm="1">
        <f t="array" ref="Q176">+SUMPRODUCT(('Réel 2025'!$A$8:$A$500=$A176)*('Réel 2025'!$C$3:$AO$3=Q$2),'Réel 2025'!$C$8:$AO$500)</f>
        <v>169088.1499999997</v>
      </c>
      <c r="R176" s="292">
        <f>IF(O176=0,0,J176/O176)</f>
        <v>1.1669367909238249</v>
      </c>
      <c r="S176" s="196">
        <f>L176-Q176</f>
        <v>-25911.089999999705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">
      <c r="A177" t="str">
        <f t="shared" si="37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0.64106712510907049</v>
      </c>
      <c r="M177" s="234"/>
      <c r="N177" s="233"/>
      <c r="O177" s="222"/>
      <c r="P177" s="177"/>
      <c r="Q177" s="226">
        <f>Q176/P176</f>
        <v>0.66706829017192326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">
      <c r="A178" t="str">
        <f t="shared" si="37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">
      <c r="A179" t="str">
        <f t="shared" si="37"/>
        <v>ServiceM/O Interne</v>
      </c>
      <c r="B179" s="24" t="s">
        <v>147</v>
      </c>
      <c r="C179" s="250" t="s">
        <v>154</v>
      </c>
      <c r="D179" s="930" cm="1">
        <f t="array" ref="D179">+SUMPRODUCT(('Budget original'!$A$8:$A$501=$A179)*('Budget original'!$C$3:$AO$3=D$2),'Budget original'!$C$8:$AO$501)</f>
        <v>1312.5</v>
      </c>
      <c r="E179" s="194" cm="1">
        <f t="array" ref="E179">+SUMPRODUCT(('Budget original'!$A$8:$A$501=$A179)*('Budget original'!$C$3:$AO$3=E$2),'Budget original'!$C$8:$AO$501)</f>
        <v>525000</v>
      </c>
      <c r="F179" s="194" cm="1">
        <f t="array" ref="F179">+SUMPRODUCT(('Budget original'!$A$8:$A$501=$A179)*('Budget original'!$C$3:$AO$3=F$2),'Budget original'!$C$8:$AO$501)</f>
        <v>395325</v>
      </c>
      <c r="G179" s="222"/>
      <c r="H179" s="194"/>
      <c r="I179" s="194"/>
      <c r="J179" s="223">
        <f>-SUMIFS(BV_Data_An_Cour!$P:$P,BV_Data_An_Cour!$U:$U,$B179,BV_Data_An_Cour!$V:$V,$C179,BV_Data_An_Cour!$W:$W,J$2)</f>
        <v>1279</v>
      </c>
      <c r="K179" s="185">
        <f>-SUMIFS(BV_Data_An_Cour!$P:$P,BV_Data_An_Cour!$X:$X,"Oui",BV_Data_An_Cour!$U:$U,$B179,BV_Data_An_Cour!$V:$V,$C179)</f>
        <v>483639.66</v>
      </c>
      <c r="L179" s="179">
        <f>-SUMIFS(BV_Data_An_Cour!$P:$P,BV_Data_An_Cour!$U:$U,$B179,BV_Data_An_Cour!$V:$V,$C179,BV_Data_An_Cour!$W:$W,$L$2)</f>
        <v>370302.54999999987</v>
      </c>
      <c r="M179" s="292">
        <f>(K179-E179)/E179</f>
        <v>-7.8781600000000049E-2</v>
      </c>
      <c r="N179" s="224">
        <f>L179-F179</f>
        <v>-25022.450000000128</v>
      </c>
      <c r="O179" s="223" cm="1">
        <f t="array" ref="O179">+SUMPRODUCT(('Réel 2025'!$A$8:$A$500=$A179)*('Réel 2025'!$C$3:$AO$3=O$2),'Réel 2025'!$C$8:$AO$500)</f>
        <v>911</v>
      </c>
      <c r="P179" s="185" cm="1">
        <f t="array" ref="P179">+SUMPRODUCT(('Réel 2025'!$A$8:$A$500=$A179)*('Réel 2025'!$C$3:$AO$3=P$2),'Réel 2025'!$C$8:$AO$500)</f>
        <v>386332.33999999973</v>
      </c>
      <c r="Q179" s="179" cm="1">
        <f t="array" ref="Q179">+SUMPRODUCT(('Réel 2025'!$A$8:$A$500=$A179)*('Réel 2025'!$C$3:$AO$3=Q$2),'Réel 2025'!$C$8:$AO$500)</f>
        <v>293668.87999999983</v>
      </c>
      <c r="R179" s="292">
        <f>IF(O179=0,0,J179/O179)</f>
        <v>1.4039517014270033</v>
      </c>
      <c r="S179" s="196">
        <f>L179-Q179</f>
        <v>76633.670000000042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">
      <c r="A180" t="str">
        <f t="shared" si="37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0.76565794872984549</v>
      </c>
      <c r="M180" s="292"/>
      <c r="N180" s="224">
        <f>L180-F180</f>
        <v>1.2657948729845492E-2</v>
      </c>
      <c r="O180" s="223"/>
      <c r="P180" s="225"/>
      <c r="Q180" s="226">
        <f>Q179/P179</f>
        <v>0.76014573359299931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">
      <c r="A181" t="str">
        <f t="shared" si="37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">
      <c r="A182" t="str">
        <f t="shared" si="37"/>
        <v>ServiceM/O Esthétique</v>
      </c>
      <c r="B182" s="24" t="s">
        <v>147</v>
      </c>
      <c r="C182" s="311" t="s">
        <v>155</v>
      </c>
      <c r="D182" s="932" cm="1">
        <f t="array" ref="D182">+SUMPRODUCT(('Budget original'!$A$8:$A$501=$A182)*('Budget original'!$C$3:$AO$3=D$2),'Budget original'!$C$8:$AO$501)</f>
        <v>418.03473974181043</v>
      </c>
      <c r="E182" s="194" cm="1">
        <f t="array" ref="E182">+SUMPRODUCT(('Budget original'!$A$8:$A$501=$A182)*('Budget original'!$C$3:$AO$3=E$2),'Budget original'!$C$8:$AO$501)</f>
        <v>114959.55342899785</v>
      </c>
      <c r="F182" s="194" cm="1">
        <f t="array" ref="F182">+SUMPRODUCT(('Budget original'!$A$8:$A$501=$A182)*('Budget original'!$C$3:$AO$3=F$2),'Budget original'!$C$8:$AO$501)</f>
        <v>82311.040255162457</v>
      </c>
      <c r="G182" s="272"/>
      <c r="H182" s="194"/>
      <c r="I182" s="194"/>
      <c r="J182" s="313">
        <f>-SUMIFS(BV_Data_An_Cour!$P:$P,BV_Data_An_Cour!$U:$U,$B182,BV_Data_An_Cour!$V:$V,$C182,BV_Data_An_Cour!$W:$W,J$2)</f>
        <v>282</v>
      </c>
      <c r="K182" s="185">
        <f>-SUMIFS(BV_Data_An_Cour!$P:$P,BV_Data_An_Cour!$X:$X,"Oui",BV_Data_An_Cour!$U:$U,$B182,BV_Data_An_Cour!$V:$V,$C182)</f>
        <v>59444.420000000006</v>
      </c>
      <c r="L182" s="180">
        <f>-SUMIFS(BV_Data_An_Cour!$P:$P,BV_Data_An_Cour!$U:$U,$B182,BV_Data_An_Cour!$V:$V,$C182,BV_Data_An_Cour!$W:$W,$L$2)</f>
        <v>42068.450000000004</v>
      </c>
      <c r="M182" s="314">
        <f>IF(E182=0,0,(K182-E182)/E182)</f>
        <v>-0.48291013467867638</v>
      </c>
      <c r="N182" s="273">
        <f>L182-F182</f>
        <v>-40242.590255162453</v>
      </c>
      <c r="O182" s="313" cm="1">
        <f t="array" ref="O182">+SUMPRODUCT(('Réel 2025'!$A$8:$A$500=$A182)*('Réel 2025'!$C$3:$AO$3=O$2),'Réel 2025'!$C$8:$AO$500)</f>
        <v>299</v>
      </c>
      <c r="P182" s="185" cm="1">
        <f t="array" ref="P182">+SUMPRODUCT(('Réel 2025'!$A$8:$A$500=$A182)*('Réel 2025'!$C$3:$AO$3=P$2),'Réel 2025'!$C$8:$AO$500)</f>
        <v>61719.349999999904</v>
      </c>
      <c r="Q182" s="180" cm="1">
        <f t="array" ref="Q182">+SUMPRODUCT(('Réel 2025'!$A$8:$A$500=$A182)*('Réel 2025'!$C$3:$AO$3=Q$2),'Réel 2025'!$C$8:$AO$500)</f>
        <v>41884.279999999977</v>
      </c>
      <c r="R182" s="292">
        <f>IF(O182=0,0,J182/O182)</f>
        <v>0.94314381270903014</v>
      </c>
      <c r="S182" s="198">
        <f>L182-Q182</f>
        <v>184.17000000002736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149.17890070921987</v>
      </c>
      <c r="L183" s="226">
        <f>IF(L182=0,0,L182/K182)</f>
        <v>0.70769384241615951</v>
      </c>
      <c r="M183" s="223">
        <f>J183-D183</f>
        <v>0</v>
      </c>
      <c r="N183" s="229"/>
      <c r="O183" s="227"/>
      <c r="P183" s="228"/>
      <c r="Q183" s="226">
        <f>IFERROR(Q182/P182,0)</f>
        <v>0.67862477488826511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-20110.200430422919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-11026.470000000001</v>
      </c>
      <c r="M185" s="227"/>
      <c r="N185" s="224">
        <f>L185-F185</f>
        <v>9083.7304304229183</v>
      </c>
      <c r="O185" s="223"/>
      <c r="P185" s="194"/>
      <c r="Q185" s="194" cm="1">
        <f t="array" ref="Q185">+SUMPRODUCT(('Réel 2025'!$A$8:$A$500=$A185)*('Réel 2025'!$C$3:$AO$3=Q$2),'Réel 2025'!$C$8:$AO$500)</f>
        <v>-13738.06</v>
      </c>
      <c r="R185" s="206"/>
      <c r="S185" s="196">
        <f>L185-Q185</f>
        <v>2711.5899999999983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4495.8072040643674</v>
      </c>
      <c r="E186" s="58">
        <f>E173+E176+E179+E182+E185</f>
        <v>1412148.481539859</v>
      </c>
      <c r="F186" s="59">
        <f t="shared" ref="F186" si="39">F173+F176+F179+F182+F185</f>
        <v>1037161.0436167797</v>
      </c>
      <c r="G186" s="60"/>
      <c r="H186" s="58"/>
      <c r="I186" s="59"/>
      <c r="J186" s="60">
        <f>J173+J176+J179+J182+J185</f>
        <v>4380</v>
      </c>
      <c r="K186" s="58">
        <f>K173+K176+K179+K182+K185</f>
        <v>1289396.8299999998</v>
      </c>
      <c r="L186" s="59">
        <f>L173+L176+L179+L182+L185</f>
        <v>953878.3899999999</v>
      </c>
      <c r="M186" s="61">
        <f>(K186-E186)/E186</f>
        <v>-8.6925456596466527E-2</v>
      </c>
      <c r="N186" s="59">
        <f>L186-F186</f>
        <v>-83282.653616779833</v>
      </c>
      <c r="O186" s="60">
        <f t="shared" ref="O186" si="40">O173+O176+O179+O182+O185</f>
        <v>3778</v>
      </c>
      <c r="P186" s="58">
        <f>P173+P176+P179+P182+P185</f>
        <v>1165056.6199999994</v>
      </c>
      <c r="Q186" s="59">
        <f t="shared" ref="Q186" si="41">Q173+Q176+Q179+Q182+Q185</f>
        <v>859373.58999999939</v>
      </c>
      <c r="R186" s="333">
        <f>IF(O186=0,0,J186/O186)</f>
        <v>1.1593435680254103</v>
      </c>
      <c r="S186" s="334">
        <f>L186-Q186</f>
        <v>94504.800000000512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314.1034340314298</v>
      </c>
      <c r="F187" s="63">
        <f>F186/E186</f>
        <v>0.73445608388561301</v>
      </c>
      <c r="G187" s="64"/>
      <c r="H187" s="62"/>
      <c r="I187" s="233"/>
      <c r="J187" s="64"/>
      <c r="K187" s="65">
        <f>IF(J186=0,0,K186/J186)</f>
        <v>294.38283789954335</v>
      </c>
      <c r="L187" s="233">
        <f>IF(L186=0,0,L186/K186)</f>
        <v>0.73978651708023824</v>
      </c>
      <c r="M187" s="64"/>
      <c r="N187" s="63">
        <f>N186/F186</f>
        <v>-8.0298671194164048E-2</v>
      </c>
      <c r="O187" s="64"/>
      <c r="P187" s="65">
        <f>IF(O186=0,0,P186/O186)</f>
        <v>308.37920063525661</v>
      </c>
      <c r="Q187" s="233">
        <f>Q186/P186</f>
        <v>0.73762388475162677</v>
      </c>
      <c r="R187" s="64"/>
      <c r="S187" s="261">
        <f>IF(R186=0,0,S186/R186)</f>
        <v>81515.784109589484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51317.379726462168</v>
      </c>
      <c r="F189" s="194" cm="1">
        <f t="array" ref="F189">+SUMPRODUCT(('Budget original'!$A$8:$A$501=$A189)*('Budget original'!$C$3:$AO$3=F$2),'Budget original'!$C$8:$AO$501)</f>
        <v>7697.6069589693261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44456.049999999996</v>
      </c>
      <c r="L189" s="179">
        <f>-SUMIFS(BV_Data_An_Cour!$P:$P,BV_Data_An_Cour!$U:$U,$B189,BV_Data_An_Cour!$V:$V,$C189,BV_Data_An_Cour!$W:$W,$L$2)</f>
        <v>5138.7799999999952</v>
      </c>
      <c r="M189" s="446">
        <f>IF(E189=0,0,(K189-E189)/E189)</f>
        <v>-0.13370382048021986</v>
      </c>
      <c r="N189" s="224">
        <f>L189-F189</f>
        <v>-2558.8269589693309</v>
      </c>
      <c r="O189" s="223"/>
      <c r="P189" s="178" cm="1">
        <f t="array" ref="P189">+SUMPRODUCT(('Réel 2025'!$A$8:$A$500=$A189)*('Réel 2025'!$C$3:$AO$3=P$2),'Réel 2025'!$C$8:$AO$500)</f>
        <v>43055.299999999988</v>
      </c>
      <c r="Q189" s="179" cm="1">
        <f t="array" ref="Q189">+SUMPRODUCT(('Réel 2025'!$A$8:$A$500=$A189)*('Réel 2025'!$C$3:$AO$3=Q$2),'Réel 2025'!$C$8:$AO$500)</f>
        <v>7385.2499999999882</v>
      </c>
      <c r="R189" s="292">
        <f>IF(O189=0,0,J189/O189)</f>
        <v>0</v>
      </c>
      <c r="S189" s="196">
        <f>L189-Q189</f>
        <v>-2246.469999999993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0.11559236594344292</v>
      </c>
      <c r="M190" s="227"/>
      <c r="N190" s="229"/>
      <c r="O190" s="227"/>
      <c r="P190" s="228"/>
      <c r="Q190" s="226">
        <f>IFERROR(Q189/P189,0)</f>
        <v>0.17152940520679197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1463465.861266321</v>
      </c>
      <c r="F195" s="28">
        <f t="shared" si="42"/>
        <v>1044858.6505757491</v>
      </c>
      <c r="G195" s="29"/>
      <c r="H195" s="26"/>
      <c r="I195" s="28"/>
      <c r="J195" s="29"/>
      <c r="K195" s="26">
        <f>K186+K189+K192</f>
        <v>1333852.8799999999</v>
      </c>
      <c r="L195" s="28">
        <f>L186+L189+L192</f>
        <v>959017.16999999993</v>
      </c>
      <c r="M195" s="70">
        <f>L196-F196</f>
        <v>5.0209665067043607E-3</v>
      </c>
      <c r="N195" s="28">
        <f>L195-F195</f>
        <v>-85841.480575749185</v>
      </c>
      <c r="O195" s="29"/>
      <c r="P195" s="26">
        <f t="shared" ref="P195:Q195" si="43">P186+P189+P192</f>
        <v>1208111.9199999995</v>
      </c>
      <c r="Q195" s="28">
        <f t="shared" si="43"/>
        <v>866758.83999999939</v>
      </c>
      <c r="R195" s="70">
        <f>L196-Q196</f>
        <v>1.5335936160845165E-3</v>
      </c>
      <c r="S195" s="320">
        <f>L195-Q195</f>
        <v>92258.33000000054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0.71396175218712943</v>
      </c>
      <c r="G196" s="31"/>
      <c r="H196" s="322"/>
      <c r="I196" s="34"/>
      <c r="J196" s="31"/>
      <c r="K196" s="322"/>
      <c r="L196" s="34">
        <f>L195/K195</f>
        <v>0.71898271869383379</v>
      </c>
      <c r="M196" s="33"/>
      <c r="N196" s="34">
        <f>N195/F195</f>
        <v>-8.2156070132977224E-2</v>
      </c>
      <c r="O196" s="31"/>
      <c r="P196" s="322"/>
      <c r="Q196" s="34">
        <f>Q195/P195</f>
        <v>0.71744912507774927</v>
      </c>
      <c r="R196" s="33"/>
      <c r="S196" s="258">
        <f>L195/S195</f>
        <v>10.394911440517017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75972.353710890311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61616.36</v>
      </c>
      <c r="M199" s="222"/>
      <c r="N199" s="224">
        <f t="shared" ref="N199:N230" si="44">L199-F199</f>
        <v>-14355.99371089031</v>
      </c>
      <c r="O199" s="222"/>
      <c r="P199" s="177"/>
      <c r="Q199" s="179" cm="1">
        <f t="array" ref="Q199">+SUMPRODUCT(('Réel 2025'!$A$8:$A$500=$A199)*('Réel 2025'!$C$3:$AO$3=Q$2),'Réel 2025'!$C$8:$AO$500)</f>
        <v>87306.23000000001</v>
      </c>
      <c r="R199" s="222"/>
      <c r="S199" s="196">
        <f>L199-Q199</f>
        <v>-25689.87000000001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29972.377003325746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18204.45</v>
      </c>
      <c r="M200" s="222"/>
      <c r="N200" s="224">
        <f t="shared" si="44"/>
        <v>-11767.927003325745</v>
      </c>
      <c r="O200" s="222"/>
      <c r="P200" s="177"/>
      <c r="Q200" s="179" cm="1">
        <f t="array" ref="Q200">+SUMPRODUCT(('Réel 2025'!$A$8:$A$500=$A200)*('Réel 2025'!$C$3:$AO$3=Q$2),'Réel 2025'!$C$8:$AO$500)</f>
        <v>35122.82</v>
      </c>
      <c r="R200" s="222"/>
      <c r="S200" s="196">
        <f t="shared" ref="S200:S230" si="45">L200-Q200</f>
        <v>-16918.37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95869.909955597541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88968.29</v>
      </c>
      <c r="M201" s="272"/>
      <c r="N201" s="273">
        <f t="shared" si="44"/>
        <v>-6901.6199555975472</v>
      </c>
      <c r="O201" s="272"/>
      <c r="P201" s="270"/>
      <c r="Q201" s="180" cm="1">
        <f t="array" ref="Q201">+SUMPRODUCT(('Réel 2025'!$A$8:$A$500=$A201)*('Réel 2025'!$C$3:$AO$3=Q$2),'Réel 2025'!$C$8:$AO$500)</f>
        <v>59445.39</v>
      </c>
      <c r="R201" s="272"/>
      <c r="S201" s="198">
        <f t="shared" si="45"/>
        <v>29522.899999999994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106809.51340996168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97481.35</v>
      </c>
      <c r="M202" s="222"/>
      <c r="N202" s="224">
        <f t="shared" si="44"/>
        <v>-9328.1634099616786</v>
      </c>
      <c r="O202" s="222"/>
      <c r="P202" s="177"/>
      <c r="Q202" s="179" cm="1">
        <f t="array" ref="Q202">+SUMPRODUCT(('Réel 2025'!$A$8:$A$500=$A202)*('Réel 2025'!$C$3:$AO$3=Q$2),'Réel 2025'!$C$8:$AO$500)</f>
        <v>97200.88</v>
      </c>
      <c r="R202" s="222"/>
      <c r="S202" s="196">
        <f t="shared" si="45"/>
        <v>280.47000000000116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97533.546029852194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83519.95</v>
      </c>
      <c r="M206" s="222"/>
      <c r="N206" s="224">
        <f t="shared" si="44"/>
        <v>-14013.596029852197</v>
      </c>
      <c r="O206" s="222"/>
      <c r="P206" s="177"/>
      <c r="Q206" s="179" cm="1">
        <f t="array" ref="Q206">+SUMPRODUCT(('Réel 2025'!$A$8:$A$500=$A206)*('Réel 2025'!$C$3:$AO$3=Q$2),'Réel 2025'!$C$8:$AO$500)</f>
        <v>70505.48000000001</v>
      </c>
      <c r="R206" s="222"/>
      <c r="S206" s="196">
        <f>L206-Q206</f>
        <v>13014.469999999987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102070.24697183847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95144.76</v>
      </c>
      <c r="M207" s="272"/>
      <c r="N207" s="273">
        <f t="shared" si="44"/>
        <v>-6925.4869718384725</v>
      </c>
      <c r="O207" s="272"/>
      <c r="P207" s="270"/>
      <c r="Q207" s="180" cm="1">
        <f t="array" ref="Q207">+SUMPRODUCT(('Réel 2025'!$A$8:$A$500=$A207)*('Réel 2025'!$C$3:$AO$3=Q$2),'Réel 2025'!$C$8:$AO$500)</f>
        <v>94450.78</v>
      </c>
      <c r="R207" s="272"/>
      <c r="S207" s="198">
        <f t="shared" si="45"/>
        <v>693.97999999999593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70575.198361739502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42408.74</v>
      </c>
      <c r="M208" s="222"/>
      <c r="N208" s="224">
        <f t="shared" si="44"/>
        <v>-28166.458361739504</v>
      </c>
      <c r="O208" s="222"/>
      <c r="P208" s="177"/>
      <c r="Q208" s="179" cm="1">
        <f t="array" ref="Q208">+SUMPRODUCT(('Réel 2025'!$A$8:$A$500=$A208)*('Réel 2025'!$C$3:$AO$3=Q$2),'Réel 2025'!$C$8:$AO$500)</f>
        <v>39615.320000000007</v>
      </c>
      <c r="R208" s="222"/>
      <c r="S208" s="196">
        <f t="shared" si="45"/>
        <v>2793.419999999991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18733.395014762926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13777.68</v>
      </c>
      <c r="M209" s="722"/>
      <c r="N209" s="193">
        <f t="shared" si="44"/>
        <v>-4955.7150147629254</v>
      </c>
      <c r="O209" s="722"/>
      <c r="P209" s="723"/>
      <c r="Q209" s="176" cm="1">
        <f t="array" ref="Q209">+SUMPRODUCT(('Réel 2025'!$A$8:$A$500=$A209)*('Réel 2025'!$C$3:$AO$3=Q$2),'Réel 2025'!$C$8:$AO$500)</f>
        <v>15646.61</v>
      </c>
      <c r="R209" s="722"/>
      <c r="S209" s="724">
        <f t="shared" si="45"/>
        <v>-1868.9300000000003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0.57188265621259626</v>
      </c>
      <c r="F211" s="41">
        <f>+SUM(F199:F210)</f>
        <v>597536.54045796837</v>
      </c>
      <c r="G211" s="42"/>
      <c r="H211" s="40"/>
      <c r="I211" s="41"/>
      <c r="J211" s="42" t="s">
        <v>162</v>
      </c>
      <c r="K211" s="40">
        <f>L211/L$195</f>
        <v>0.52253660901608256</v>
      </c>
      <c r="L211" s="41">
        <f>+SUM(L199:L210)</f>
        <v>501121.57999999996</v>
      </c>
      <c r="M211" s="43"/>
      <c r="N211" s="46">
        <f t="shared" si="44"/>
        <v>-96414.960457968409</v>
      </c>
      <c r="O211" s="42" t="s">
        <v>162</v>
      </c>
      <c r="P211" s="40">
        <f>Q211/Q$195</f>
        <v>0.57604663137903556</v>
      </c>
      <c r="Q211" s="41">
        <f>+SUM(Q199:Q210)</f>
        <v>499293.51000000007</v>
      </c>
      <c r="R211" s="43"/>
      <c r="S211" s="280">
        <f t="shared" si="45"/>
        <v>1828.0699999998906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14230.352012343617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12871.89</v>
      </c>
      <c r="M212" s="222"/>
      <c r="N212" s="224">
        <f t="shared" si="44"/>
        <v>-1358.462012343618</v>
      </c>
      <c r="O212" s="222"/>
      <c r="P212" s="177"/>
      <c r="Q212" s="179" cm="1">
        <f t="array" ref="Q212">+SUMPRODUCT(('Réel 2025'!$A$8:$A$500=$A212)*('Réel 2025'!$C$3:$AO$3=Q$2),'Réel 2025'!$C$8:$AO$500)</f>
        <v>42417.75</v>
      </c>
      <c r="R212" s="222"/>
      <c r="S212" s="196">
        <f t="shared" si="45"/>
        <v>-29545.86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26250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29295.4</v>
      </c>
      <c r="M213" s="222"/>
      <c r="N213" s="224">
        <f t="shared" si="44"/>
        <v>3045.4000000000015</v>
      </c>
      <c r="O213" s="222"/>
      <c r="P213" s="177"/>
      <c r="Q213" s="179" cm="1">
        <f t="array" ref="Q213">+SUMPRODUCT(('Réel 2025'!$A$8:$A$500=$A213)*('Réel 2025'!$C$3:$AO$3=Q$2),'Réel 2025'!$C$8:$AO$500)</f>
        <v>23483.38</v>
      </c>
      <c r="R213" s="222"/>
      <c r="S213" s="196">
        <f t="shared" si="45"/>
        <v>5812.02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52172.750000000007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49619.31</v>
      </c>
      <c r="M214" s="277"/>
      <c r="N214" s="278">
        <f t="shared" si="44"/>
        <v>-2553.4400000000096</v>
      </c>
      <c r="O214" s="277"/>
      <c r="P214" s="275"/>
      <c r="Q214" s="179" cm="1">
        <f t="array" ref="Q214">+SUMPRODUCT(('Réel 2025'!$A$8:$A$500=$A214)*('Réel 2025'!$C$3:$AO$3=Q$2),'Réel 2025'!$C$8:$AO$500)</f>
        <v>41469.5</v>
      </c>
      <c r="R214" s="277"/>
      <c r="S214" s="199">
        <f t="shared" si="45"/>
        <v>8149.8099999999977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46454.875833333339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44572.2</v>
      </c>
      <c r="M215" s="222"/>
      <c r="N215" s="224">
        <f t="shared" si="44"/>
        <v>-1882.6758333333419</v>
      </c>
      <c r="O215" s="222"/>
      <c r="P215" s="177"/>
      <c r="Q215" s="180" cm="1">
        <f t="array" ref="Q215">+SUMPRODUCT(('Réel 2025'!$A$8:$A$500=$A215)*('Réel 2025'!$C$3:$AO$3=Q$2),'Réel 2025'!$C$8:$AO$500)</f>
        <v>44007.64</v>
      </c>
      <c r="R215" s="222"/>
      <c r="S215" s="196">
        <f t="shared" si="45"/>
        <v>564.55999999999767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9318.75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11811.98</v>
      </c>
      <c r="M216" s="222"/>
      <c r="N216" s="224">
        <f t="shared" si="44"/>
        <v>2493.2299999999996</v>
      </c>
      <c r="O216" s="222"/>
      <c r="P216" s="177"/>
      <c r="Q216" s="179" cm="1">
        <f t="array" ref="Q216">+SUMPRODUCT(('Réel 2025'!$A$8:$A$500=$A216)*('Réel 2025'!$C$3:$AO$3=Q$2),'Réel 2025'!$C$8:$AO$500)</f>
        <v>9990.42</v>
      </c>
      <c r="R216" s="222"/>
      <c r="S216" s="196">
        <f t="shared" si="45"/>
        <v>1821.5599999999995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32153.956666666661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57379.839999999997</v>
      </c>
      <c r="M217" s="277"/>
      <c r="N217" s="278">
        <f t="shared" si="44"/>
        <v>25225.883333333335</v>
      </c>
      <c r="O217" s="277"/>
      <c r="P217" s="275"/>
      <c r="Q217" s="176" cm="1">
        <f t="array" ref="Q217">+SUMPRODUCT(('Réel 2025'!$A$8:$A$500=$A217)*('Réel 2025'!$C$3:$AO$3=Q$2),'Réel 2025'!$C$8:$AO$500)</f>
        <v>18471.59</v>
      </c>
      <c r="R217" s="277"/>
      <c r="S217" s="199">
        <f t="shared" si="45"/>
        <v>38908.25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22750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24246.29</v>
      </c>
      <c r="M219" s="222"/>
      <c r="N219" s="224">
        <f t="shared" si="44"/>
        <v>1496.2900000000009</v>
      </c>
      <c r="O219" s="222"/>
      <c r="P219" s="177"/>
      <c r="Q219" s="179" cm="1">
        <f t="array" ref="Q219">+SUMPRODUCT(('Réel 2025'!$A$8:$A$500=$A219)*('Réel 2025'!$C$3:$AO$3=Q$2),'Réel 2025'!$C$8:$AO$500)</f>
        <v>19467.18</v>
      </c>
      <c r="R219" s="222"/>
      <c r="S219" s="196">
        <f t="shared" si="45"/>
        <v>4779.1100000000006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9275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8714.81</v>
      </c>
      <c r="M220" s="222"/>
      <c r="N220" s="224">
        <f t="shared" si="44"/>
        <v>-560.19000000000051</v>
      </c>
      <c r="O220" s="222"/>
      <c r="P220" s="177"/>
      <c r="Q220" s="179" cm="1">
        <f t="array" ref="Q220">+SUMPRODUCT(('Réel 2025'!$A$8:$A$500=$A220)*('Réel 2025'!$C$3:$AO$3=Q$2),'Réel 2025'!$C$8:$AO$500)</f>
        <v>8691.19</v>
      </c>
      <c r="R220" s="222"/>
      <c r="S220" s="196">
        <f t="shared" si="45"/>
        <v>23.619999999998981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2537.5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4026.2</v>
      </c>
      <c r="M221" s="222"/>
      <c r="N221" s="224">
        <f t="shared" si="44"/>
        <v>1488.6999999999998</v>
      </c>
      <c r="O221" s="222"/>
      <c r="P221" s="177"/>
      <c r="Q221" s="472" cm="1">
        <f t="array" ref="Q221">+SUMPRODUCT(('Réel 2025'!$A$8:$A$500=$A221)*('Réel 2025'!$C$3:$AO$3=Q$2),'Réel 2025'!$C$8:$AO$500)</f>
        <v>3965.23</v>
      </c>
      <c r="R221" s="222"/>
      <c r="S221" s="196">
        <f t="shared" si="45"/>
        <v>60.9699999999998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799.75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1044.26</v>
      </c>
      <c r="M222" s="222"/>
      <c r="N222" s="224">
        <f t="shared" si="44"/>
        <v>244.51</v>
      </c>
      <c r="O222" s="222"/>
      <c r="P222" s="177"/>
      <c r="Q222" s="179" cm="1">
        <f t="array" ref="Q222">+SUMPRODUCT(('Réel 2025'!$A$8:$A$500=$A222)*('Réel 2025'!$C$3:$AO$3=Q$2),'Réel 2025'!$C$8:$AO$500)</f>
        <v>1279.3800000000001</v>
      </c>
      <c r="R222" s="222"/>
      <c r="S222" s="196">
        <f t="shared" si="45"/>
        <v>-235.12000000000012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991.66666666666652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2329.16</v>
      </c>
      <c r="M223" s="222"/>
      <c r="N223" s="224">
        <f t="shared" si="44"/>
        <v>1337.4933333333333</v>
      </c>
      <c r="O223" s="222"/>
      <c r="P223" s="177"/>
      <c r="Q223" s="179" cm="1">
        <f t="array" ref="Q223">+SUMPRODUCT(('Réel 2025'!$A$8:$A$500=$A223)*('Réel 2025'!$C$3:$AO$3=Q$2),'Réel 2025'!$C$8:$AO$500)</f>
        <v>911.4</v>
      </c>
      <c r="R223" s="222"/>
      <c r="S223" s="196">
        <f t="shared" si="45"/>
        <v>1417.7599999999998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2671.6666666666661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4016.52</v>
      </c>
      <c r="M224" s="222"/>
      <c r="N224" s="224">
        <f t="shared" si="44"/>
        <v>1344.8533333333339</v>
      </c>
      <c r="O224" s="222"/>
      <c r="P224" s="177"/>
      <c r="Q224" s="179" cm="1">
        <f t="array" ref="Q224">+SUMPRODUCT(('Réel 2025'!$A$8:$A$500=$A224)*('Réel 2025'!$C$3:$AO$3=Q$2),'Réel 2025'!$C$8:$AO$500)</f>
        <v>6501.63</v>
      </c>
      <c r="R224" s="222"/>
      <c r="S224" s="196">
        <f t="shared" si="45"/>
        <v>-2485.11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12475.726666666666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10201.92</v>
      </c>
      <c r="M225" s="222"/>
      <c r="N225" s="224">
        <f t="shared" si="44"/>
        <v>-2273.8066666666655</v>
      </c>
      <c r="O225" s="222"/>
      <c r="P225" s="177"/>
      <c r="Q225" s="179" cm="1">
        <f t="array" ref="Q225">+SUMPRODUCT(('Réel 2025'!$A$8:$A$500=$A225)*('Réel 2025'!$C$3:$AO$3=Q$2),'Réel 2025'!$C$8:$AO$500)</f>
        <v>13114.970000000001</v>
      </c>
      <c r="R225" s="222"/>
      <c r="S225" s="196">
        <f t="shared" si="45"/>
        <v>-2913.0500000000011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15326.853476226574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12538.91</v>
      </c>
      <c r="M226" s="222"/>
      <c r="N226" s="224">
        <f t="shared" si="44"/>
        <v>-2787.9434762265737</v>
      </c>
      <c r="O226" s="222"/>
      <c r="P226" s="177"/>
      <c r="Q226" s="179" cm="1">
        <f t="array" ref="Q226">+SUMPRODUCT(('Réel 2025'!$A$8:$A$500=$A226)*('Réel 2025'!$C$3:$AO$3=Q$2),'Réel 2025'!$C$8:$AO$500)</f>
        <v>11678.32</v>
      </c>
      <c r="R226" s="222"/>
      <c r="S226" s="196">
        <f t="shared" si="45"/>
        <v>860.59000000000015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">
      <c r="B230" s="24"/>
      <c r="C230" s="279" t="s">
        <v>132</v>
      </c>
      <c r="D230" s="39" t="s">
        <v>162</v>
      </c>
      <c r="E230" s="40">
        <f>F230/F$195</f>
        <v>0.23678690687227433</v>
      </c>
      <c r="F230" s="41">
        <f>+SUM(F212:F229)</f>
        <v>247408.84798857014</v>
      </c>
      <c r="G230" s="42"/>
      <c r="H230" s="40"/>
      <c r="I230" s="41"/>
      <c r="J230" s="42" t="s">
        <v>162</v>
      </c>
      <c r="K230" s="40">
        <f>L230/L$195</f>
        <v>0.28432096789257694</v>
      </c>
      <c r="L230" s="41">
        <f>+SUM(L212:L229)</f>
        <v>272668.69</v>
      </c>
      <c r="M230" s="44"/>
      <c r="N230" s="41">
        <f t="shared" si="44"/>
        <v>25259.842011429864</v>
      </c>
      <c r="O230" s="42" t="s">
        <v>162</v>
      </c>
      <c r="P230" s="40">
        <f>Q230/Q$195</f>
        <v>0.28318093646440368</v>
      </c>
      <c r="Q230" s="41">
        <f>+SUM(Q212:Q229)</f>
        <v>245449.58000000005</v>
      </c>
      <c r="R230" s="44"/>
      <c r="S230" s="284">
        <f t="shared" si="45"/>
        <v>27219.109999999957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">
      <c r="B232" s="24"/>
      <c r="C232" s="279" t="s">
        <v>133</v>
      </c>
      <c r="D232" s="39" t="s">
        <v>108</v>
      </c>
      <c r="E232" s="40">
        <f>F232/F$195</f>
        <v>0.80866956308487059</v>
      </c>
      <c r="F232" s="41">
        <f>F211+F230</f>
        <v>844945.38844653848</v>
      </c>
      <c r="G232" s="42"/>
      <c r="H232" s="40"/>
      <c r="I232" s="41"/>
      <c r="J232" s="42" t="s">
        <v>108</v>
      </c>
      <c r="K232" s="40">
        <f>L232/L$195</f>
        <v>0.80685757690865956</v>
      </c>
      <c r="L232" s="41">
        <f>L211+L230</f>
        <v>773790.27</v>
      </c>
      <c r="M232" s="44"/>
      <c r="N232" s="46">
        <f>L232-F232</f>
        <v>-71155.118446538458</v>
      </c>
      <c r="O232" s="42" t="s">
        <v>108</v>
      </c>
      <c r="P232" s="40">
        <f>Q232/Q$195</f>
        <v>0.85922756784343912</v>
      </c>
      <c r="Q232" s="41">
        <f>Q211+Q230</f>
        <v>744743.09000000008</v>
      </c>
      <c r="R232" s="44"/>
      <c r="S232" s="280">
        <f>L232-Q232</f>
        <v>29047.179999999935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199913.26212921063</v>
      </c>
      <c r="G234" s="306"/>
      <c r="H234" s="304"/>
      <c r="I234" s="305"/>
      <c r="J234" s="307"/>
      <c r="K234" s="308"/>
      <c r="L234" s="305">
        <f>L195-L232</f>
        <v>185226.89999999991</v>
      </c>
      <c r="M234" s="307"/>
      <c r="N234" s="305">
        <f>L234-F234</f>
        <v>-14686.362129210727</v>
      </c>
      <c r="O234" s="307"/>
      <c r="P234" s="308"/>
      <c r="Q234" s="305">
        <f>Q195-Q232</f>
        <v>122015.7499999993</v>
      </c>
      <c r="R234" s="307"/>
      <c r="S234" s="309">
        <f>L234-Q234</f>
        <v>63211.150000000605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Juillet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3" t="s">
        <v>77</v>
      </c>
      <c r="E239" s="1434"/>
      <c r="F239" s="1435"/>
      <c r="G239" s="1436"/>
      <c r="H239" s="1434"/>
      <c r="I239" s="1435"/>
      <c r="J239" s="1436" t="s">
        <v>78</v>
      </c>
      <c r="K239" s="1434"/>
      <c r="L239" s="1435"/>
      <c r="M239" s="1436" t="s">
        <v>2441</v>
      </c>
      <c r="N239" s="1435"/>
      <c r="O239" s="1433" t="s">
        <v>79</v>
      </c>
      <c r="P239" s="1434"/>
      <c r="Q239" s="1435"/>
      <c r="R239" s="1437" t="s">
        <v>2445</v>
      </c>
      <c r="S239" s="1438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10</v>
      </c>
      <c r="P242" s="178" cm="1">
        <f t="array" ref="P242">+SUMPRODUCT(('Réel 2025'!$A$8:$A$500=$A242)*('Réel 2025'!$C$3:$AO$3=P$2),'Réel 2025'!$C$8:$AO$500)</f>
        <v>4637.87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4637.87</v>
      </c>
      <c r="Q251" s="28">
        <f t="shared" si="48"/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9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9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Juillet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6"/>
      <c r="H294" s="1434"/>
      <c r="I294" s="1435"/>
      <c r="J294" s="1436" t="s">
        <v>78</v>
      </c>
      <c r="K294" s="1434"/>
      <c r="L294" s="1435"/>
      <c r="M294" s="1436" t="s">
        <v>2441</v>
      </c>
      <c r="N294" s="1435"/>
      <c r="O294" s="1433" t="s">
        <v>79</v>
      </c>
      <c r="P294" s="1434"/>
      <c r="Q294" s="1435"/>
      <c r="R294" s="1437" t="s">
        <v>2445</v>
      </c>
      <c r="S294" s="1438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428663.00130906707</v>
      </c>
      <c r="E296" s="207">
        <f t="shared" ref="E296:E304" si="52">IF(D296=0,0,F296/D296)</f>
        <v>0.40200000000000008</v>
      </c>
      <c r="F296" s="196" cm="1">
        <f t="array" ref="F296">+SUMPRODUCT(('Budget original'!$A$8:$A$501=$A296)*('Budget original'!$C$3:$AO$3=F$2),'Budget original'!$C$8:$AO$501)</f>
        <v>172322.526526245</v>
      </c>
      <c r="G296" s="194"/>
      <c r="H296" s="207"/>
      <c r="I296" s="196"/>
      <c r="J296" s="178">
        <f>-SUMIFS(BV_Data_An_Cour!$P:$P,BV_Data_An_Cour!$X:$X,"Oui",BV_Data_An_Cour!$U:$U,$B296,BV_Data_An_Cour!$V:$V,$C296)</f>
        <v>548603.49</v>
      </c>
      <c r="K296" s="207">
        <f t="shared" ref="K296:K305" si="53">IF(J296&lt;=0,0,L296/J296)</f>
        <v>0.3801916571839527</v>
      </c>
      <c r="L296" s="179">
        <f>-SUMIFS(BV_Data_An_Cour!$P:$P,BV_Data_An_Cour!$U:$U,$B296,BV_Data_An_Cour!$V:$V,$C296,BV_Data_An_Cour!$W:$W,$L$2)</f>
        <v>208574.47000000003</v>
      </c>
      <c r="M296" s="292">
        <f t="shared" ref="M296:M302" si="54">(+J296-D296)/D296</f>
        <v>0.2798013552012984</v>
      </c>
      <c r="N296" s="224">
        <f t="shared" ref="N296:N305" si="55">L296-F296</f>
        <v>36251.943473755033</v>
      </c>
      <c r="O296" s="178" cm="1">
        <f t="array" ref="O296">+SUMPRODUCT(('Réel 2025'!$A$8:$A$500=$A296)*('Réel 2025'!$C$3:$AO$3=O$2),'Réel 2025'!$C$8:$AO$500)</f>
        <v>406821.12999999971</v>
      </c>
      <c r="P296" s="207">
        <f t="shared" ref="P296:P304" si="56">IF(O296=0,0,Q296/O296)</f>
        <v>0.40345827169793202</v>
      </c>
      <c r="Q296" s="179" cm="1">
        <f t="array" ref="Q296">+SUMPRODUCT(('Réel 2025'!$A$8:$A$500=$A296)*('Réel 2025'!$C$3:$AO$3=Q$2),'Réel 2025'!$C$8:$AO$500)</f>
        <v>164135.3499999996</v>
      </c>
      <c r="R296" s="292">
        <f>IF(O296=0,0,(J296-O296)/O296)</f>
        <v>0.34851277267727065</v>
      </c>
      <c r="S296" s="196">
        <f t="shared" ref="S296:S305" si="57">L296-Q296</f>
        <v>44439.120000000432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5835.08</v>
      </c>
      <c r="P297" s="207">
        <f t="shared" si="56"/>
        <v>0.2995982917115102</v>
      </c>
      <c r="Q297" s="179" cm="1">
        <f t="array" ref="Q297">+SUMPRODUCT(('Réel 2025'!$A$8:$A$500=$A297)*('Réel 2025'!$C$3:$AO$3=Q$2),'Réel 2025'!$C$8:$AO$500)</f>
        <v>1748.1799999999989</v>
      </c>
      <c r="R297" s="292">
        <f t="shared" ref="R297:R304" si="58">IF(O297=0,0,(J297-O297)/O297)</f>
        <v>-1</v>
      </c>
      <c r="S297" s="196">
        <f t="shared" si="57"/>
        <v>-1748.1799999999989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420815.67799105664</v>
      </c>
      <c r="E298" s="207">
        <f t="shared" si="52"/>
        <v>0.27699999999999997</v>
      </c>
      <c r="F298" s="196" cm="1">
        <f t="array" ref="F298">+SUMPRODUCT(('Budget original'!$A$8:$A$501=$A298)*('Budget original'!$C$3:$AO$3=F$2),'Budget original'!$C$8:$AO$501)</f>
        <v>116565.94280352267</v>
      </c>
      <c r="G298" s="194"/>
      <c r="H298" s="207"/>
      <c r="I298" s="196"/>
      <c r="J298" s="178">
        <f>-SUMIFS(BV_Data_An_Cour!$P:$P,BV_Data_An_Cour!$X:$X,"Oui",BV_Data_An_Cour!$U:$U,$B298,BV_Data_An_Cour!$V:$V,$C298)</f>
        <v>370834.78999999992</v>
      </c>
      <c r="K298" s="207">
        <f t="shared" si="53"/>
        <v>0.28761465449344686</v>
      </c>
      <c r="L298" s="179">
        <f>-SUMIFS(BV_Data_An_Cour!$P:$P,BV_Data_An_Cour!$U:$U,$B298,BV_Data_An_Cour!$V:$V,$C298,BV_Data_An_Cour!$W:$W,$L$2)</f>
        <v>106657.5199999999</v>
      </c>
      <c r="M298" s="292">
        <f t="shared" si="54"/>
        <v>-0.11877144936629223</v>
      </c>
      <c r="N298" s="224">
        <f t="shared" si="55"/>
        <v>-9908.4228035227716</v>
      </c>
      <c r="O298" s="178" cm="1">
        <f t="array" ref="O298">+SUMPRODUCT(('Réel 2025'!$A$8:$A$500=$A298)*('Réel 2025'!$C$3:$AO$3=O$2),'Réel 2025'!$C$8:$AO$500)</f>
        <v>486852.54000000004</v>
      </c>
      <c r="P298" s="207">
        <f t="shared" si="56"/>
        <v>0.27588797215682553</v>
      </c>
      <c r="Q298" s="179" cm="1">
        <f t="array" ref="Q298">+SUMPRODUCT(('Réel 2025'!$A$8:$A$500=$A298)*('Réel 2025'!$C$3:$AO$3=Q$2),'Réel 2025'!$C$8:$AO$500)</f>
        <v>134316.75999999981</v>
      </c>
      <c r="R298" s="292">
        <f t="shared" si="58"/>
        <v>-0.23830162208869263</v>
      </c>
      <c r="S298" s="196">
        <f t="shared" si="57"/>
        <v>-27659.239999999903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210000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70980</v>
      </c>
      <c r="G299" s="194"/>
      <c r="H299" s="207"/>
      <c r="I299" s="196"/>
      <c r="J299" s="178">
        <f>-SUMIFS(BV_Data_An_Cour!$P:$P,BV_Data_An_Cour!$X:$X,"Oui",BV_Data_An_Cour!$U:$U,$B299,BV_Data_An_Cour!$V:$V,$C299)</f>
        <v>150960.28</v>
      </c>
      <c r="K299" s="207">
        <f t="shared" si="53"/>
        <v>0.2943818069229866</v>
      </c>
      <c r="L299" s="179">
        <f>-SUMIFS(BV_Data_An_Cour!$P:$P,BV_Data_An_Cour!$U:$U,$B299,BV_Data_An_Cour!$V:$V,$C299,BV_Data_An_Cour!$W:$W,$L$2)</f>
        <v>44439.96</v>
      </c>
      <c r="M299" s="292">
        <f t="shared" si="54"/>
        <v>-0.28114152380952384</v>
      </c>
      <c r="N299" s="224">
        <f t="shared" si="55"/>
        <v>-26540.04</v>
      </c>
      <c r="O299" s="178" cm="1">
        <f t="array" ref="O299">+SUMPRODUCT(('Réel 2025'!$A$8:$A$500=$A299)*('Réel 2025'!$C$3:$AO$3=O$2),'Réel 2025'!$C$8:$AO$500)</f>
        <v>144280.5799999999</v>
      </c>
      <c r="P299" s="207">
        <f t="shared" si="56"/>
        <v>0.34776398875025327</v>
      </c>
      <c r="Q299" s="179" cm="1">
        <f t="array" ref="Q299">+SUMPRODUCT(('Réel 2025'!$A$8:$A$500=$A299)*('Réel 2025'!$C$3:$AO$3=Q$2),'Réel 2025'!$C$8:$AO$500)</f>
        <v>50175.589999999982</v>
      </c>
      <c r="R299" s="292">
        <f t="shared" si="58"/>
        <v>4.6296597920524742E-2</v>
      </c>
      <c r="S299" s="196">
        <f t="shared" si="57"/>
        <v>-5735.6299999999828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119385.65543045642</v>
      </c>
      <c r="E300" s="207">
        <f t="shared" si="52"/>
        <v>0.33100000000000002</v>
      </c>
      <c r="F300" s="196" cm="1">
        <f t="array" ref="F300">+SUMPRODUCT(('Budget original'!$A$8:$A$501=$A300)*('Budget original'!$C$3:$AO$3=F$2),'Budget original'!$C$8:$AO$501)</f>
        <v>39516.651947481078</v>
      </c>
      <c r="G300" s="194"/>
      <c r="H300" s="207"/>
      <c r="I300" s="196"/>
      <c r="J300" s="178">
        <f>-SUMIFS(BV_Data_An_Cour!$P:$P,BV_Data_An_Cour!$X:$X,"Oui",BV_Data_An_Cour!$U:$U,$B300,BV_Data_An_Cour!$V:$V,$C300)</f>
        <v>163628.01</v>
      </c>
      <c r="K300" s="207">
        <f t="shared" si="53"/>
        <v>0.33821238796462783</v>
      </c>
      <c r="L300" s="179">
        <f>-SUMIFS(BV_Data_An_Cour!$P:$P,BV_Data_An_Cour!$U:$U,$B300,BV_Data_An_Cour!$V:$V,$C300,BV_Data_An_Cour!$W:$W,$L$2)</f>
        <v>55341.020000000004</v>
      </c>
      <c r="M300" s="292">
        <f t="shared" si="54"/>
        <v>0.3705835044421672</v>
      </c>
      <c r="N300" s="224">
        <f t="shared" si="55"/>
        <v>15824.368052518927</v>
      </c>
      <c r="O300" s="178" cm="1">
        <f t="array" ref="O300">+SUMPRODUCT(('Réel 2025'!$A$8:$A$500=$A300)*('Réel 2025'!$C$3:$AO$3=O$2),'Réel 2025'!$C$8:$AO$500)</f>
        <v>113151.23000000001</v>
      </c>
      <c r="P300" s="207">
        <f t="shared" si="56"/>
        <v>0.32089425806506905</v>
      </c>
      <c r="Q300" s="179" cm="1">
        <f t="array" ref="Q300">+SUMPRODUCT(('Réel 2025'!$A$8:$A$500=$A300)*('Réel 2025'!$C$3:$AO$3=Q$2),'Réel 2025'!$C$8:$AO$500)</f>
        <v>36309.579999999987</v>
      </c>
      <c r="R300" s="292">
        <f t="shared" si="58"/>
        <v>0.44610014402848291</v>
      </c>
      <c r="S300" s="196">
        <f t="shared" si="57"/>
        <v>19031.440000000017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664800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132960</v>
      </c>
      <c r="G301" s="194"/>
      <c r="H301" s="207"/>
      <c r="I301" s="196"/>
      <c r="J301" s="178">
        <f>-SUMIFS(BV_Data_An_Cour!$P:$P,BV_Data_An_Cour!$X:$X,"Oui",BV_Data_An_Cour!$U:$U,$B301,BV_Data_An_Cour!$V:$V,$C301)</f>
        <v>471154.66</v>
      </c>
      <c r="K301" s="207">
        <f t="shared" si="53"/>
        <v>0.17447385535781385</v>
      </c>
      <c r="L301" s="179">
        <f>-SUMIFS(BV_Data_An_Cour!$P:$P,BV_Data_An_Cour!$U:$U,$B301,BV_Data_An_Cour!$V:$V,$C301,BV_Data_An_Cour!$W:$W,$L$2)</f>
        <v>82204.169999999955</v>
      </c>
      <c r="M301" s="292">
        <f t="shared" si="54"/>
        <v>-0.29128360409145609</v>
      </c>
      <c r="N301" s="224">
        <f t="shared" si="55"/>
        <v>-50755.830000000045</v>
      </c>
      <c r="O301" s="178" cm="1">
        <f t="array" ref="O301">+SUMPRODUCT(('Réel 2025'!$A$8:$A$500=$A301)*('Réel 2025'!$C$3:$AO$3=O$2),'Réel 2025'!$C$8:$AO$500)</f>
        <v>407538.46</v>
      </c>
      <c r="P301" s="207">
        <f t="shared" si="56"/>
        <v>0.19042786783853405</v>
      </c>
      <c r="Q301" s="179" cm="1">
        <f t="array" ref="Q301">+SUMPRODUCT(('Réel 2025'!$A$8:$A$500=$A301)*('Réel 2025'!$C$3:$AO$3=Q$2),'Réel 2025'!$C$8:$AO$500)</f>
        <v>77606.679999999702</v>
      </c>
      <c r="R301" s="292">
        <f t="shared" si="58"/>
        <v>0.15609864158587622</v>
      </c>
      <c r="S301" s="196">
        <f t="shared" si="57"/>
        <v>4597.4900000002526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68283.864249280741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58783.61</v>
      </c>
      <c r="M303" s="292"/>
      <c r="N303" s="224">
        <f t="shared" si="55"/>
        <v>-9500.2542492807406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60150.020000000004</v>
      </c>
      <c r="R303" s="292">
        <f t="shared" si="58"/>
        <v>0</v>
      </c>
      <c r="S303" s="196">
        <f t="shared" si="57"/>
        <v>-1366.4100000000035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1843664.3347305802</v>
      </c>
      <c r="E305" s="294">
        <f>IF(D305&lt;=0,0,F305/D305)</f>
        <v>0.32578001006582419</v>
      </c>
      <c r="F305" s="197">
        <f t="shared" ref="F305" si="59">SUM(F296:F304)</f>
        <v>600628.98552652949</v>
      </c>
      <c r="G305" s="195"/>
      <c r="H305" s="294"/>
      <c r="I305" s="197"/>
      <c r="J305" s="195">
        <f>SUM(J296:J304)</f>
        <v>1705181.2299999997</v>
      </c>
      <c r="K305" s="294">
        <f t="shared" si="53"/>
        <v>0.32606548806545327</v>
      </c>
      <c r="L305" s="220">
        <f>SUM(L296:L304)</f>
        <v>556000.74999999988</v>
      </c>
      <c r="M305" s="295">
        <f>(+J305-D305)/D305</f>
        <v>-7.5112970469658397E-2</v>
      </c>
      <c r="N305" s="220">
        <f t="shared" si="55"/>
        <v>-44628.235526529606</v>
      </c>
      <c r="O305" s="195">
        <f>SUM(O296:O304)</f>
        <v>1564479.0199999996</v>
      </c>
      <c r="P305" s="294">
        <f>IF(O305&lt;=0,0,Q305/O305)</f>
        <v>0.33521840388757612</v>
      </c>
      <c r="Q305" s="220">
        <f t="shared" ref="Q305" si="60">SUM(Q296:Q304)</f>
        <v>524442.1599999991</v>
      </c>
      <c r="R305" s="295">
        <f>IF(O305=0,0,(J305-O305)/O305)</f>
        <v>8.993550453620032E-2</v>
      </c>
      <c r="S305" s="197">
        <f t="shared" si="57"/>
        <v>31558.590000000782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-7.430250054849942E-2</v>
      </c>
      <c r="O306" s="222"/>
      <c r="P306" s="177"/>
      <c r="Q306" s="264"/>
      <c r="R306" s="222"/>
      <c r="S306" s="261">
        <f>IF(Q305=0,0,S305/Q305)</f>
        <v>6.0175539662945553E-2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481094.08618981438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120273.52154745359</v>
      </c>
      <c r="G308" s="194"/>
      <c r="H308" s="207"/>
      <c r="I308" s="198"/>
      <c r="J308" s="178">
        <f>-SUMIFS(BV_Data_An_Cour!$P:$P,BV_Data_An_Cour!$X:$X,"Oui",BV_Data_An_Cour!$U:$U,$B308,BV_Data_An_Cour!$V:$V,$C308)</f>
        <v>425616.43</v>
      </c>
      <c r="K308" s="207">
        <f>IF(J308&lt;=0,0,L308/J308)</f>
        <v>0.26046527386172569</v>
      </c>
      <c r="L308" s="179">
        <f>-SUMIFS(BV_Data_An_Cour!$P:$P,BV_Data_An_Cour!$U:$U,$B308,BV_Data_An_Cour!$V:$V,$C308,BV_Data_An_Cour!$W:$W,$L$2)</f>
        <v>110858.29999999999</v>
      </c>
      <c r="M308" s="292">
        <f>(+J308-D308)/D308</f>
        <v>-0.11531560620332761</v>
      </c>
      <c r="N308" s="224">
        <f>L308-F308</f>
        <v>-9415.221547453606</v>
      </c>
      <c r="O308" s="178" cm="1">
        <f t="array" ref="O308">+SUMPRODUCT(('Réel 2025'!$A$8:$A$500=$A308)*('Réel 2025'!$C$3:$AO$3=O$2),'Réel 2025'!$C$8:$AO$500)</f>
        <v>476112.55000000005</v>
      </c>
      <c r="P308" s="207">
        <f t="shared" ref="P308:P309" si="62">IF(O308=0,0,Q308/O308)</f>
        <v>0.24640953068764915</v>
      </c>
      <c r="Q308" s="179" cm="1">
        <f t="array" ref="Q308">+SUMPRODUCT(('Réel 2025'!$A$8:$A$500=$A308)*('Réel 2025'!$C$3:$AO$3=Q$2),'Réel 2025'!$C$8:$AO$500)</f>
        <v>117318.6699999999</v>
      </c>
      <c r="R308" s="292">
        <f>IF(O308=0,0,(J308-O308)/O308)</f>
        <v>-0.10605920805910293</v>
      </c>
      <c r="S308" s="196">
        <f>L308-Q308</f>
        <v>-6460.369999999908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82898.554569526561</v>
      </c>
      <c r="E309" s="207">
        <f t="shared" si="61"/>
        <v>0.35499999999999998</v>
      </c>
      <c r="F309" s="199" cm="1">
        <f t="array" ref="F309">+SUMPRODUCT(('Budget original'!$A$8:$A$501=$A309)*('Budget original'!$C$3:$AO$3=F$2),'Budget original'!$C$8:$AO$501)</f>
        <v>29428.986872181926</v>
      </c>
      <c r="G309" s="194"/>
      <c r="H309" s="207"/>
      <c r="I309" s="199"/>
      <c r="J309" s="178">
        <f>-SUMIFS(BV_Data_An_Cour!$P:$P,BV_Data_An_Cour!$X:$X,"Oui",BV_Data_An_Cour!$U:$U,$B309,BV_Data_An_Cour!$V:$V,$C309)</f>
        <v>92729.66</v>
      </c>
      <c r="K309" s="207">
        <f>IF(J309&lt;=0,0,L309/J309)</f>
        <v>0.33876722938485915</v>
      </c>
      <c r="L309" s="179">
        <f>-SUMIFS(BV_Data_An_Cour!$P:$P,BV_Data_An_Cour!$U:$U,$B309,BV_Data_An_Cour!$V:$V,$C309,BV_Data_An_Cour!$W:$W,$L$2)</f>
        <v>31413.769999999997</v>
      </c>
      <c r="M309" s="292">
        <f>(+J309-D309)/D309</f>
        <v>0.11859200056652554</v>
      </c>
      <c r="N309" s="224">
        <f>L309-F309</f>
        <v>1984.7831278180711</v>
      </c>
      <c r="O309" s="178" cm="1">
        <f t="array" ref="O309">+SUMPRODUCT(('Réel 2025'!$A$8:$A$500=$A309)*('Réel 2025'!$C$3:$AO$3=O$2),'Réel 2025'!$C$8:$AO$500)</f>
        <v>79223.719999999797</v>
      </c>
      <c r="P309" s="207">
        <f t="shared" si="62"/>
        <v>0.35866126962985379</v>
      </c>
      <c r="Q309" s="179" cm="1">
        <f t="array" ref="Q309">+SUMPRODUCT(('Réel 2025'!$A$8:$A$500=$A309)*('Réel 2025'!$C$3:$AO$3=Q$2),'Réel 2025'!$C$8:$AO$500)</f>
        <v>28414.479999999967</v>
      </c>
      <c r="R309" s="292">
        <f>IF(O309=0,0,(J309-O309)/O309)</f>
        <v>0.17047848800839244</v>
      </c>
      <c r="S309" s="196">
        <f>L309-Q309</f>
        <v>2999.29000000003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2407656.9754899209</v>
      </c>
      <c r="E310" s="294">
        <f>IF(D310&lt;=0,0,F310/D310)</f>
        <v>0.31164385192100885</v>
      </c>
      <c r="F310" s="220">
        <f t="shared" ref="F310" si="63">F305+F308+F309</f>
        <v>750331.49394616496</v>
      </c>
      <c r="G310" s="221"/>
      <c r="H310" s="294"/>
      <c r="I310" s="220"/>
      <c r="J310" s="221">
        <f>J305+J308+J309</f>
        <v>2223527.3199999998</v>
      </c>
      <c r="K310" s="294">
        <f>IF(J310&lt;=0,0,L310/J310)</f>
        <v>0.31403833616939769</v>
      </c>
      <c r="L310" s="220">
        <f>L305+L308+L309</f>
        <v>698272.81999999983</v>
      </c>
      <c r="M310" s="295">
        <f>(+J310-D310)/D310</f>
        <v>-7.6476698036460761E-2</v>
      </c>
      <c r="N310" s="220">
        <f>L310-F310</f>
        <v>-52058.67394616513</v>
      </c>
      <c r="O310" s="221">
        <f>O305+O308+O309</f>
        <v>2119815.2899999996</v>
      </c>
      <c r="P310" s="294">
        <f>IF(O310&lt;=0,0,Q310/O310)</f>
        <v>0.31614797438318276</v>
      </c>
      <c r="Q310" s="220">
        <f t="shared" ref="Q310" si="64">Q305+Q308+Q309</f>
        <v>670175.30999999901</v>
      </c>
      <c r="R310" s="295">
        <f>IF(O310=0,0,(J310-O310)/O310)</f>
        <v>4.8925031576690009E-2</v>
      </c>
      <c r="S310" s="197">
        <f>L310-Q310</f>
        <v>28097.510000000824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-6.9380899464017778E-2</v>
      </c>
      <c r="O311" s="222"/>
      <c r="P311" s="177"/>
      <c r="Q311" s="264"/>
      <c r="R311" s="222"/>
      <c r="S311" s="261">
        <f>IF(Q310=0,0,S310/Q310)</f>
        <v>4.1925611971591233E-2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2407656.9754899209</v>
      </c>
      <c r="E315" s="71">
        <f>IF(D315&lt;=0,0,F315/D315)</f>
        <v>0.31164385192100885</v>
      </c>
      <c r="F315" s="28">
        <f t="shared" ref="F315" si="65">F310+F313</f>
        <v>750331.49394616496</v>
      </c>
      <c r="G315" s="29"/>
      <c r="H315" s="71"/>
      <c r="I315" s="28"/>
      <c r="J315" s="29">
        <f>J310+J313</f>
        <v>2223527.3199999998</v>
      </c>
      <c r="K315" s="71">
        <f>IF(J315&lt;=0,0,L315/J315)</f>
        <v>0.31403833616939769</v>
      </c>
      <c r="L315" s="28">
        <f>L310+L313</f>
        <v>698272.81999999983</v>
      </c>
      <c r="M315" s="72">
        <f>(+J315-D315)/D315</f>
        <v>-7.6476698036460761E-2</v>
      </c>
      <c r="N315" s="73">
        <f>L315-F315</f>
        <v>-52058.67394616513</v>
      </c>
      <c r="O315" s="29">
        <f>O310+O313</f>
        <v>2119815.2899999996</v>
      </c>
      <c r="P315" s="71">
        <f>IF(O315&lt;=0,0,Q315/O315)</f>
        <v>0.31614797438318276</v>
      </c>
      <c r="Q315" s="28">
        <f t="shared" ref="Q315" si="66">Q310+Q313</f>
        <v>670175.30999999901</v>
      </c>
      <c r="R315" s="72">
        <f>IF(O315=0,0,(J315-O315)/O315)</f>
        <v>4.8925031576690009E-2</v>
      </c>
      <c r="S315" s="256">
        <f>L315-Q315</f>
        <v>28097.510000000824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-6.9380899464017778E-2</v>
      </c>
      <c r="O316" s="77"/>
      <c r="P316" s="75"/>
      <c r="Q316" s="76"/>
      <c r="R316" s="78"/>
      <c r="S316" s="258">
        <f>IF(Q315=0,0,S315/Q315)</f>
        <v>4.1925611971591233E-2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31371.881226053643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22427.78</v>
      </c>
      <c r="M319" s="222"/>
      <c r="N319" s="224">
        <f t="shared" ref="N319:N349" si="67">L319-F319</f>
        <v>-8944.1012260536445</v>
      </c>
      <c r="O319" s="222"/>
      <c r="P319" s="177"/>
      <c r="Q319" s="179" cm="1">
        <f t="array" ref="Q319">+SUMPRODUCT(('Réel 2025'!$A$8:$A$500=$A319)*('Réel 2025'!$C$3:$AO$3=Q$2),'Réel 2025'!$C$8:$AO$500)</f>
        <v>24542.45</v>
      </c>
      <c r="R319" s="222"/>
      <c r="S319" s="196">
        <f>L319-Q319</f>
        <v>-2114.6700000000019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16741.353379310345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13213.45</v>
      </c>
      <c r="M320" s="222"/>
      <c r="N320" s="224">
        <f t="shared" si="67"/>
        <v>-3527.9033793103445</v>
      </c>
      <c r="O320" s="222"/>
      <c r="P320" s="177"/>
      <c r="Q320" s="179" cm="1">
        <f t="array" ref="Q320">+SUMPRODUCT(('Réel 2025'!$A$8:$A$500=$A320)*('Réel 2025'!$C$3:$AO$3=Q$2),'Réel 2025'!$C$8:$AO$500)</f>
        <v>19606</v>
      </c>
      <c r="R320" s="222"/>
      <c r="S320" s="196">
        <f t="shared" ref="S320:S344" si="68">L320-Q320</f>
        <v>-6392.5499999999993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132984.41397283695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112288.86</v>
      </c>
      <c r="M321" s="272"/>
      <c r="N321" s="273">
        <f t="shared" si="67"/>
        <v>-20695.553972836948</v>
      </c>
      <c r="O321" s="272"/>
      <c r="P321" s="270"/>
      <c r="Q321" s="180" cm="1">
        <f t="array" ref="Q321">+SUMPRODUCT(('Réel 2025'!$A$8:$A$500=$A321)*('Réel 2025'!$C$3:$AO$3=Q$2),'Réel 2025'!$C$8:$AO$500)</f>
        <v>92416.56</v>
      </c>
      <c r="R321" s="272"/>
      <c r="S321" s="198">
        <f t="shared" si="68"/>
        <v>19872.300000000003</v>
      </c>
      <c r="T321" s="25"/>
      <c r="U321" s="25"/>
      <c r="V321" s="73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26054.315651376681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20488.310000000001</v>
      </c>
      <c r="M326" s="222"/>
      <c r="N326" s="224">
        <f t="shared" si="67"/>
        <v>-5566.0056513766795</v>
      </c>
      <c r="O326" s="222"/>
      <c r="P326" s="177"/>
      <c r="Q326" s="179" cm="1">
        <f t="array" ref="Q326">+SUMPRODUCT(('Réel 2025'!$A$8:$A$500=$A326)*('Réel 2025'!$C$3:$AO$3=Q$2),'Réel 2025'!$C$8:$AO$500)</f>
        <v>19107</v>
      </c>
      <c r="R326" s="222"/>
      <c r="S326" s="196">
        <f t="shared" si="68"/>
        <v>1381.3100000000013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27305.037052008651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23303.69</v>
      </c>
      <c r="M327" s="272"/>
      <c r="N327" s="273">
        <f t="shared" si="67"/>
        <v>-4001.3470520086521</v>
      </c>
      <c r="O327" s="272"/>
      <c r="P327" s="270"/>
      <c r="Q327" s="180" cm="1">
        <f t="array" ref="Q327">+SUMPRODUCT(('Réel 2025'!$A$8:$A$500=$A327)*('Réel 2025'!$C$3:$AO$3=Q$2),'Réel 2025'!$C$8:$AO$500)</f>
        <v>26284.700000000004</v>
      </c>
      <c r="R327" s="272"/>
      <c r="S327" s="198">
        <f t="shared" si="68"/>
        <v>-2981.0100000000057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20042.384120050665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17891.79</v>
      </c>
      <c r="M328" s="222"/>
      <c r="N328" s="224">
        <f t="shared" si="67"/>
        <v>-2150.5941200506641</v>
      </c>
      <c r="O328" s="222"/>
      <c r="P328" s="177"/>
      <c r="Q328" s="179" cm="1">
        <f t="array" ref="Q328">+SUMPRODUCT(('Réel 2025'!$A$8:$A$500=$A328)*('Réel 2025'!$C$3:$AO$3=Q$2),'Réel 2025'!$C$8:$AO$500)</f>
        <v>13227.949999999999</v>
      </c>
      <c r="R328" s="222"/>
      <c r="S328" s="196">
        <f t="shared" si="68"/>
        <v>4663.840000000002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5010.5960300126662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3805.45</v>
      </c>
      <c r="M329" s="722"/>
      <c r="N329" s="193">
        <f t="shared" si="67"/>
        <v>-1205.1460300126664</v>
      </c>
      <c r="O329" s="222"/>
      <c r="P329" s="177"/>
      <c r="Q329" s="179" cm="1">
        <f t="array" ref="Q329">+SUMPRODUCT(('Réel 2025'!$A$8:$A$500=$A329)*('Réel 2025'!$C$3:$AO$3=Q$2),'Réel 2025'!$C$8:$AO$500)</f>
        <v>3954.92</v>
      </c>
      <c r="R329" s="222"/>
      <c r="S329" s="196">
        <f t="shared" si="68"/>
        <v>-149.47000000000025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0.34586044105229713</v>
      </c>
      <c r="F331" s="41">
        <f>+SUM(F319:F330)</f>
        <v>259509.98143164962</v>
      </c>
      <c r="G331" s="42"/>
      <c r="H331" s="40"/>
      <c r="I331" s="41"/>
      <c r="J331" s="42" t="s">
        <v>108</v>
      </c>
      <c r="K331" s="40">
        <f>L331/L$315</f>
        <v>0.30563889054137905</v>
      </c>
      <c r="L331" s="41">
        <f>+SUM(L319:L330)</f>
        <v>213419.33000000002</v>
      </c>
      <c r="M331" s="43"/>
      <c r="N331" s="46">
        <f t="shared" si="67"/>
        <v>-46090.651431649603</v>
      </c>
      <c r="O331" s="42" t="s">
        <v>108</v>
      </c>
      <c r="P331" s="40">
        <f>Q331/Q$315</f>
        <v>0.29714550361456965</v>
      </c>
      <c r="Q331" s="41">
        <f>+SUM(Q319:Q330)</f>
        <v>199139.58000000005</v>
      </c>
      <c r="R331" s="43"/>
      <c r="S331" s="280">
        <f t="shared" si="68"/>
        <v>14279.749999999971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7987.817750236306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9077.85</v>
      </c>
      <c r="M332" s="222"/>
      <c r="N332" s="224">
        <f t="shared" si="67"/>
        <v>1090.0322497636944</v>
      </c>
      <c r="O332" s="222"/>
      <c r="P332" s="177"/>
      <c r="Q332" s="179" cm="1">
        <f t="array" ref="Q332">+SUMPRODUCT(('Réel 2025'!$A$8:$A$500=$A332)*('Réel 2025'!$C$3:$AO$3=Q$2),'Réel 2025'!$C$8:$AO$500)</f>
        <v>21728.58</v>
      </c>
      <c r="R332" s="222"/>
      <c r="S332" s="196">
        <f t="shared" si="68"/>
        <v>-12650.730000000001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4375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2660.6</v>
      </c>
      <c r="M333" s="222"/>
      <c r="N333" s="224">
        <f t="shared" si="67"/>
        <v>-1714.4</v>
      </c>
      <c r="O333" s="222"/>
      <c r="P333" s="177"/>
      <c r="Q333" s="179" cm="1">
        <f t="array" ref="Q333">+SUMPRODUCT(('Réel 2025'!$A$8:$A$500=$A333)*('Réel 2025'!$C$3:$AO$3=Q$2),'Réel 2025'!$C$8:$AO$500)</f>
        <v>1637.469999999998</v>
      </c>
      <c r="R333" s="222"/>
      <c r="S333" s="196">
        <f t="shared" si="68"/>
        <v>1023.1300000000019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33765.666666666672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33127.85</v>
      </c>
      <c r="M334" s="277"/>
      <c r="N334" s="278">
        <f t="shared" si="67"/>
        <v>-637.81666666667297</v>
      </c>
      <c r="O334" s="277"/>
      <c r="P334" s="275"/>
      <c r="Q334" s="179" cm="1">
        <f t="array" ref="Q334">+SUMPRODUCT(('Réel 2025'!$A$8:$A$500=$A334)*('Réel 2025'!$C$3:$AO$3=Q$2),'Réel 2025'!$C$8:$AO$500)</f>
        <v>36119.799999999952</v>
      </c>
      <c r="R334" s="277"/>
      <c r="S334" s="199">
        <f t="shared" si="68"/>
        <v>-2991.9499999999534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18560.327333333335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17244.150000000001</v>
      </c>
      <c r="M335" s="222"/>
      <c r="N335" s="224">
        <f t="shared" si="67"/>
        <v>-1316.1773333333331</v>
      </c>
      <c r="O335" s="222"/>
      <c r="P335" s="177"/>
      <c r="Q335" s="180" cm="1">
        <f t="array" ref="Q335">+SUMPRODUCT(('Réel 2025'!$A$8:$A$500=$A335)*('Réel 2025'!$C$3:$AO$3=Q$2),'Réel 2025'!$C$8:$AO$500)</f>
        <v>14235.59</v>
      </c>
      <c r="R335" s="222"/>
      <c r="S335" s="196">
        <f t="shared" si="68"/>
        <v>3008.5600000000013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6988.3333333333321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8448.6</v>
      </c>
      <c r="M336" s="222"/>
      <c r="N336" s="224">
        <f t="shared" si="67"/>
        <v>1460.2666666666682</v>
      </c>
      <c r="O336" s="222"/>
      <c r="P336" s="177"/>
      <c r="Q336" s="179" cm="1">
        <f t="array" ref="Q336">+SUMPRODUCT(('Réel 2025'!$A$8:$A$500=$A336)*('Réel 2025'!$C$3:$AO$3=Q$2),'Réel 2025'!$C$8:$AO$500)</f>
        <v>1987.5799999999997</v>
      </c>
      <c r="R336" s="222"/>
      <c r="S336" s="196">
        <f t="shared" si="68"/>
        <v>6461.02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9230.0319999999992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10522.12</v>
      </c>
      <c r="M337" s="277"/>
      <c r="N337" s="278">
        <f t="shared" si="67"/>
        <v>1292.0880000000016</v>
      </c>
      <c r="O337" s="277"/>
      <c r="P337" s="275"/>
      <c r="Q337" s="349" cm="1">
        <f t="array" ref="Q337">+SUMPRODUCT(('Réel 2025'!$A$8:$A$500=$A337)*('Réel 2025'!$C$3:$AO$3=Q$2),'Réel 2025'!$C$8:$AO$500)</f>
        <v>15226.36999999999</v>
      </c>
      <c r="R337" s="277"/>
      <c r="S337" s="199">
        <f t="shared" si="68"/>
        <v>-4704.2499999999891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105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525.64</v>
      </c>
      <c r="M339" s="222"/>
      <c r="N339" s="224">
        <f t="shared" si="67"/>
        <v>420.64</v>
      </c>
      <c r="O339" s="222"/>
      <c r="P339" s="177"/>
      <c r="Q339" s="179" cm="1">
        <f t="array" ref="Q339">+SUMPRODUCT(('Réel 2025'!$A$8:$A$500=$A339)*('Réel 2025'!$C$3:$AO$3=Q$2),'Réel 2025'!$C$8:$AO$500)</f>
        <v>91.91</v>
      </c>
      <c r="R339" s="222"/>
      <c r="S339" s="196">
        <f t="shared" si="68"/>
        <v>433.73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262.5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241.12</v>
      </c>
      <c r="M340" s="222"/>
      <c r="N340" s="224">
        <f t="shared" si="67"/>
        <v>-21.379999999999995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8"/>
        <v>81.16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2030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1656.82</v>
      </c>
      <c r="M341" s="222"/>
      <c r="N341" s="224">
        <f t="shared" si="67"/>
        <v>-373.18000000000006</v>
      </c>
      <c r="O341" s="222"/>
      <c r="P341" s="177"/>
      <c r="Q341" s="472" cm="1">
        <f t="array" ref="Q341">+SUMPRODUCT(('Réel 2025'!$A$8:$A$500=$A341)*('Réel 2025'!$C$3:$AO$3=Q$2),'Réel 2025'!$C$8:$AO$500)</f>
        <v>1787.64</v>
      </c>
      <c r="R341" s="222"/>
      <c r="S341" s="196">
        <f t="shared" si="68"/>
        <v>-130.82000000000016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796.59999999999991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969.96</v>
      </c>
      <c r="M342" s="222"/>
      <c r="N342" s="224">
        <f t="shared" si="67"/>
        <v>173.36000000000013</v>
      </c>
      <c r="O342" s="222"/>
      <c r="P342" s="177"/>
      <c r="Q342" s="179" cm="1">
        <f t="array" ref="Q342">+SUMPRODUCT(('Réel 2025'!$A$8:$A$500=$A342)*('Réel 2025'!$C$3:$AO$3=Q$2),'Réel 2025'!$C$8:$AO$500)</f>
        <v>1105.5</v>
      </c>
      <c r="R342" s="222"/>
      <c r="S342" s="196">
        <f t="shared" si="68"/>
        <v>-135.53999999999996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16601.666666666672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7145.79</v>
      </c>
      <c r="M343" s="222"/>
      <c r="N343" s="224">
        <f t="shared" si="67"/>
        <v>-9455.8766666666706</v>
      </c>
      <c r="O343" s="222"/>
      <c r="P343" s="177"/>
      <c r="Q343" s="179" cm="1">
        <f t="array" ref="Q343">+SUMPRODUCT(('Réel 2025'!$A$8:$A$500=$A343)*('Réel 2025'!$C$3:$AO$3=Q$2),'Réel 2025'!$C$8:$AO$500)</f>
        <v>5049.72</v>
      </c>
      <c r="R343" s="222"/>
      <c r="S343" s="196">
        <f t="shared" si="68"/>
        <v>2096.0699999999997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2137.333333333333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2004.09</v>
      </c>
      <c r="M344" s="222"/>
      <c r="N344" s="224">
        <f t="shared" si="67"/>
        <v>-133.24333333333311</v>
      </c>
      <c r="O344" s="222"/>
      <c r="P344" s="177"/>
      <c r="Q344" s="179" cm="1">
        <f t="array" ref="Q344">+SUMPRODUCT(('Réel 2025'!$A$8:$A$500=$A344)*('Réel 2025'!$C$3:$AO$3=Q$2),'Réel 2025'!$C$8:$AO$500)</f>
        <v>2801.2699999999982</v>
      </c>
      <c r="R344" s="222"/>
      <c r="S344" s="196">
        <f t="shared" si="68"/>
        <v>-797.17999999999824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1067.2480000000005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1342.97</v>
      </c>
      <c r="M345" s="222"/>
      <c r="N345" s="224">
        <f t="shared" si="67"/>
        <v>275.72199999999953</v>
      </c>
      <c r="O345" s="222"/>
      <c r="P345" s="177"/>
      <c r="Q345" s="179" cm="1">
        <f t="array" ref="Q345">+SUMPRODUCT(('Réel 2025'!$A$8:$A$500=$A345)*('Réel 2025'!$C$3:$AO$3=Q$2),'Réel 2025'!$C$8:$AO$500)</f>
        <v>1185.6800000000003</v>
      </c>
      <c r="R345" s="222"/>
      <c r="S345" s="196">
        <f>L345-Q345</f>
        <v>157.28999999999974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12261.482780981261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9538.0400000000009</v>
      </c>
      <c r="M346" s="222"/>
      <c r="N346" s="224">
        <f t="shared" si="67"/>
        <v>-2723.4427809812605</v>
      </c>
      <c r="O346" s="222"/>
      <c r="P346" s="177"/>
      <c r="Q346" s="179" cm="1">
        <f t="array" ref="Q346">+SUMPRODUCT(('Réel 2025'!$A$8:$A$500=$A346)*('Réel 2025'!$C$3:$AO$3=Q$2),'Réel 2025'!$C$8:$AO$500)</f>
        <v>9342.59</v>
      </c>
      <c r="R346" s="222"/>
      <c r="S346" s="196">
        <f>L346-Q346</f>
        <v>195.45000000000073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">
      <c r="B350" s="2"/>
      <c r="C350" s="279" t="s">
        <v>132</v>
      </c>
      <c r="D350" s="39" t="s">
        <v>108</v>
      </c>
      <c r="E350" s="40">
        <f>F350/F$315</f>
        <v>0.15482357971353639</v>
      </c>
      <c r="F350" s="41">
        <f>+SUM(F332:F349)</f>
        <v>116169.00786455091</v>
      </c>
      <c r="G350" s="42"/>
      <c r="H350" s="40"/>
      <c r="I350" s="41"/>
      <c r="J350" s="42" t="s">
        <v>108</v>
      </c>
      <c r="K350" s="40">
        <f>L350/L$315</f>
        <v>0.14966299275403563</v>
      </c>
      <c r="L350" s="41">
        <f>+SUM(L332:L349)</f>
        <v>104505.60000000001</v>
      </c>
      <c r="M350" s="44"/>
      <c r="N350" s="41">
        <f>+SUM(N332:N349)</f>
        <v>-11663.407864550907</v>
      </c>
      <c r="O350" s="42" t="s">
        <v>108</v>
      </c>
      <c r="P350" s="40">
        <f>Q350/Q$315</f>
        <v>0.16780633115236684</v>
      </c>
      <c r="Q350" s="41">
        <f>+SUM(Q332:Q349)</f>
        <v>112459.65999999995</v>
      </c>
      <c r="R350" s="44"/>
      <c r="S350" s="284">
        <f>+SUM(S332:S349)</f>
        <v>-7954.0599999999386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">
      <c r="B352" s="2"/>
      <c r="C352" s="279" t="s">
        <v>133</v>
      </c>
      <c r="D352" s="39" t="s">
        <v>108</v>
      </c>
      <c r="E352" s="40">
        <f>F352/F$315</f>
        <v>0.50068402076583352</v>
      </c>
      <c r="F352" s="41">
        <f>F331+F350</f>
        <v>375678.98929620051</v>
      </c>
      <c r="G352" s="42"/>
      <c r="H352" s="40"/>
      <c r="I352" s="41"/>
      <c r="J352" s="42" t="s">
        <v>108</v>
      </c>
      <c r="K352" s="40">
        <f>L352/L$315</f>
        <v>0.45530188329541471</v>
      </c>
      <c r="L352" s="41">
        <f>L331+L350</f>
        <v>317924.93000000005</v>
      </c>
      <c r="M352" s="44"/>
      <c r="N352" s="46">
        <f>L352-F352</f>
        <v>-57754.059296200459</v>
      </c>
      <c r="O352" s="42" t="s">
        <v>108</v>
      </c>
      <c r="P352" s="40">
        <f>Q352/Q$315</f>
        <v>0.46495183476693652</v>
      </c>
      <c r="Q352" s="41">
        <f>Q331+Q350</f>
        <v>311599.24</v>
      </c>
      <c r="R352" s="44"/>
      <c r="S352" s="280">
        <f>L352-Q352</f>
        <v>6325.6900000000605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374652.50464996445</v>
      </c>
      <c r="G354" s="306"/>
      <c r="H354" s="304"/>
      <c r="I354" s="305"/>
      <c r="J354" s="307"/>
      <c r="K354" s="308"/>
      <c r="L354" s="305">
        <f>L315-L352</f>
        <v>380347.88999999978</v>
      </c>
      <c r="M354" s="307"/>
      <c r="N354" s="305">
        <f>L354-F354</f>
        <v>5695.3853500353289</v>
      </c>
      <c r="O354" s="307"/>
      <c r="P354" s="308"/>
      <c r="Q354" s="305">
        <f>Q315-Q352</f>
        <v>358576.06999999902</v>
      </c>
      <c r="R354" s="307"/>
      <c r="S354" s="309">
        <f>L354-Q354</f>
        <v>21771.820000000764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Juillet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6"/>
      <c r="H359" s="1434"/>
      <c r="I359" s="1435"/>
      <c r="J359" s="1436" t="s">
        <v>78</v>
      </c>
      <c r="K359" s="1434"/>
      <c r="L359" s="1435"/>
      <c r="M359" s="1436"/>
      <c r="N359" s="1435"/>
      <c r="O359" s="1433" t="s">
        <v>79</v>
      </c>
      <c r="P359" s="1434"/>
      <c r="Q359" s="1435"/>
      <c r="R359" s="1436" t="s">
        <v>80</v>
      </c>
      <c r="S359" s="1439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9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">
      <c r="B402" s="2"/>
      <c r="C402" s="25"/>
      <c r="D402" s="25"/>
      <c r="E402" s="25"/>
      <c r="F402" s="37">
        <f>F354+F290+F234</f>
        <v>574565.76677917503</v>
      </c>
      <c r="G402" s="25"/>
      <c r="H402" s="25"/>
      <c r="I402" s="25"/>
      <c r="J402" s="25"/>
      <c r="K402" s="25"/>
      <c r="L402" s="37">
        <f>L354+L290+L234</f>
        <v>565574.78999999969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Juillet 2026 AAD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9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0" t="s">
        <v>186</v>
      </c>
      <c r="Y405" s="1431"/>
      <c r="Z405" s="1441"/>
      <c r="AA405" s="1430"/>
      <c r="AB405" s="1431"/>
      <c r="AC405" s="1441"/>
      <c r="AD405" s="1430" t="s">
        <v>78</v>
      </c>
      <c r="AE405" s="1431"/>
      <c r="AF405" s="1441"/>
      <c r="AG405" s="1430" t="s">
        <v>2441</v>
      </c>
      <c r="AH405" s="1431"/>
      <c r="AI405" s="1441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33832822.539762758</v>
      </c>
      <c r="AA407" s="387"/>
      <c r="AB407" s="387"/>
      <c r="AC407" s="388"/>
      <c r="AD407" s="389"/>
      <c r="AE407" s="390"/>
      <c r="AF407" s="390">
        <f>L5+L93+K195+K251+J315+J363</f>
        <v>35113963.61999999</v>
      </c>
      <c r="AG407" s="389"/>
      <c r="AH407" s="390"/>
      <c r="AI407" s="391"/>
      <c r="AJ407" s="389"/>
      <c r="AK407" s="390"/>
      <c r="AL407" s="390">
        <f>Q5+Q93+P195+P251+O315+O363</f>
        <v>27067927.829999968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3435286.468975659</v>
      </c>
      <c r="AA408" s="81"/>
      <c r="AB408" s="81"/>
      <c r="AC408" s="82"/>
      <c r="AD408" s="83"/>
      <c r="AE408" s="84"/>
      <c r="AF408" s="84">
        <f>L27+L109+L195+L251+L315+L363</f>
        <v>3082148.7199999979</v>
      </c>
      <c r="AG408" s="83"/>
      <c r="AH408" s="84">
        <f>AF408-Z408</f>
        <v>-353137.74897566112</v>
      </c>
      <c r="AI408" s="85">
        <f>AH408/Z408</f>
        <v>-0.10279717635337715</v>
      </c>
      <c r="AJ408" s="83">
        <f>+AL408/AL407</f>
        <v>0.11299728295455561</v>
      </c>
      <c r="AK408" s="84"/>
      <c r="AL408" s="84">
        <f>Q27+Q109+Q195+Q251+Q315+Q363</f>
        <v>3058602.2999999966</v>
      </c>
      <c r="AM408" s="86"/>
      <c r="AN408" s="84">
        <f>AF408-AL408</f>
        <v>23546.420000001322</v>
      </c>
      <c r="AO408" s="395">
        <f>IF(AL408=0,0,AN408/AL408)</f>
        <v>7.6984248655019155E-3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980.22204009105883</v>
      </c>
      <c r="Z410" s="87">
        <f t="shared" ref="Z410:Z419" si="75">+SUMIF($C:$C,$V410,F:F)</f>
        <v>305829.27650841034</v>
      </c>
      <c r="AA410" s="397"/>
      <c r="AB410" s="403"/>
      <c r="AC410" s="87"/>
      <c r="AD410" s="404"/>
      <c r="AE410" s="403">
        <f t="shared" ref="AE410:AE415" si="76">IF(AF410=0,0,AF410/(J$13+J$97))</f>
        <v>1105.2304059040591</v>
      </c>
      <c r="AF410" s="87">
        <f t="shared" ref="AF410:AF419" si="77">+SUMIF($C:$C,$V410,L:L)</f>
        <v>299517.44</v>
      </c>
      <c r="AG410" s="398">
        <f t="shared" ref="AG410:AG419" si="78">AE410-Y410</f>
        <v>125.0083658130003</v>
      </c>
      <c r="AH410" s="399">
        <f t="shared" ref="AH410:AH419" si="79">AF410-Z410</f>
        <v>-6311.8365084103425</v>
      </c>
      <c r="AI410" s="400">
        <f t="shared" ref="AI410:AI419" si="80">IF(Z410=0,0,AH410/Z410)</f>
        <v>-2.0638431285818271E-2</v>
      </c>
      <c r="AJ410" s="404"/>
      <c r="AK410" s="399">
        <f t="shared" ref="AK410:AK419" si="81">AL410/(O$13+O$97)</f>
        <v>987.9325</v>
      </c>
      <c r="AL410" s="87">
        <f t="shared" ref="AL410:AL419" si="82">+SUMIF($C:$C,$V410,Q:Q)</f>
        <v>248958.99</v>
      </c>
      <c r="AM410" s="401">
        <f t="shared" ref="AM410:AM415" si="83">AE410-Y410</f>
        <v>125.0083658130003</v>
      </c>
      <c r="AN410" s="399">
        <f t="shared" ref="AN410:AN432" si="84">AF410-AL410</f>
        <v>50558.450000000012</v>
      </c>
      <c r="AO410" s="211">
        <f t="shared" ref="AO410:AO420" si="85">IF(AL410=0,0,AN410/AL410)</f>
        <v>0.20307943087333385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491.39102564102564</v>
      </c>
      <c r="Z411" s="388">
        <f t="shared" si="75"/>
        <v>153314</v>
      </c>
      <c r="AA411" s="387"/>
      <c r="AB411" s="406"/>
      <c r="AC411" s="388"/>
      <c r="AD411" s="407"/>
      <c r="AE411" s="406">
        <f t="shared" si="76"/>
        <v>275.62276752767531</v>
      </c>
      <c r="AF411" s="388">
        <f t="shared" si="77"/>
        <v>74693.77</v>
      </c>
      <c r="AG411" s="389">
        <f t="shared" si="78"/>
        <v>-215.76825811335033</v>
      </c>
      <c r="AH411" s="390">
        <f t="shared" si="79"/>
        <v>-78620.23</v>
      </c>
      <c r="AI411" s="408">
        <f t="shared" si="80"/>
        <v>-0.51280528849289686</v>
      </c>
      <c r="AJ411" s="407"/>
      <c r="AK411" s="390">
        <f t="shared" si="81"/>
        <v>640.59519841269832</v>
      </c>
      <c r="AL411" s="388">
        <f t="shared" si="82"/>
        <v>161429.99</v>
      </c>
      <c r="AM411" s="392">
        <f t="shared" si="83"/>
        <v>-215.76825811335033</v>
      </c>
      <c r="AN411" s="390">
        <f t="shared" si="84"/>
        <v>-86736.219999999987</v>
      </c>
      <c r="AO411" s="212">
        <f t="shared" si="85"/>
        <v>-0.53729929612211458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114.00641025641026</v>
      </c>
      <c r="Z412" s="87">
        <f t="shared" si="75"/>
        <v>35570</v>
      </c>
      <c r="AA412" s="397"/>
      <c r="AB412" s="403"/>
      <c r="AC412" s="87"/>
      <c r="AD412" s="404"/>
      <c r="AE412" s="403">
        <f t="shared" si="76"/>
        <v>138.89217712177123</v>
      </c>
      <c r="AF412" s="87">
        <f t="shared" si="77"/>
        <v>37639.78</v>
      </c>
      <c r="AG412" s="398">
        <f t="shared" si="78"/>
        <v>24.885766865360964</v>
      </c>
      <c r="AH412" s="399">
        <f t="shared" si="79"/>
        <v>2069.7799999999988</v>
      </c>
      <c r="AI412" s="400">
        <f t="shared" si="80"/>
        <v>5.8188923249929685E-2</v>
      </c>
      <c r="AJ412" s="404"/>
      <c r="AK412" s="399">
        <f t="shared" si="81"/>
        <v>106.85809523809523</v>
      </c>
      <c r="AL412" s="87">
        <f t="shared" si="82"/>
        <v>26928.239999999998</v>
      </c>
      <c r="AM412" s="401">
        <f t="shared" si="83"/>
        <v>24.885766865360964</v>
      </c>
      <c r="AN412" s="399">
        <f t="shared" si="84"/>
        <v>10711.54</v>
      </c>
      <c r="AO412" s="211">
        <f t="shared" si="85"/>
        <v>0.39778091698529133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59.08653846153846</v>
      </c>
      <c r="Z413" s="87">
        <f t="shared" si="75"/>
        <v>18435</v>
      </c>
      <c r="AA413" s="397"/>
      <c r="AB413" s="403"/>
      <c r="AC413" s="87"/>
      <c r="AD413" s="404"/>
      <c r="AE413" s="403">
        <f t="shared" si="76"/>
        <v>74.528782287822878</v>
      </c>
      <c r="AF413" s="87">
        <f t="shared" si="77"/>
        <v>20197.3</v>
      </c>
      <c r="AG413" s="398">
        <f t="shared" si="78"/>
        <v>15.442243826284418</v>
      </c>
      <c r="AH413" s="399">
        <f t="shared" si="79"/>
        <v>1762.2999999999993</v>
      </c>
      <c r="AI413" s="400">
        <f t="shared" si="80"/>
        <v>9.5595334960672587E-2</v>
      </c>
      <c r="AJ413" s="404"/>
      <c r="AK413" s="399">
        <f t="shared" si="81"/>
        <v>47.848730158730163</v>
      </c>
      <c r="AL413" s="87">
        <f t="shared" si="82"/>
        <v>12057.880000000001</v>
      </c>
      <c r="AM413" s="401">
        <f t="shared" si="83"/>
        <v>15.442243826284418</v>
      </c>
      <c r="AN413" s="399">
        <f t="shared" si="84"/>
        <v>8139.4199999999983</v>
      </c>
      <c r="AO413" s="213">
        <f t="shared" si="85"/>
        <v>0.67502910959472129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83.025641025641022</v>
      </c>
      <c r="Z414" s="388">
        <f t="shared" si="75"/>
        <v>25904</v>
      </c>
      <c r="AA414" s="387"/>
      <c r="AB414" s="406"/>
      <c r="AC414" s="388"/>
      <c r="AD414" s="407"/>
      <c r="AE414" s="406">
        <f t="shared" si="76"/>
        <v>92.369261992619926</v>
      </c>
      <c r="AF414" s="388">
        <f t="shared" si="77"/>
        <v>25032.07</v>
      </c>
      <c r="AG414" s="389">
        <f t="shared" si="78"/>
        <v>9.3436209669789037</v>
      </c>
      <c r="AH414" s="390">
        <f t="shared" si="79"/>
        <v>-871.93000000000029</v>
      </c>
      <c r="AI414" s="408">
        <f t="shared" si="80"/>
        <v>-3.3660052501544177E-2</v>
      </c>
      <c r="AJ414" s="407"/>
      <c r="AK414" s="390">
        <f t="shared" si="81"/>
        <v>132.70194444444445</v>
      </c>
      <c r="AL414" s="388">
        <f t="shared" si="82"/>
        <v>33440.89</v>
      </c>
      <c r="AM414" s="392">
        <f t="shared" si="83"/>
        <v>9.3436209669789037</v>
      </c>
      <c r="AN414" s="390">
        <f t="shared" si="84"/>
        <v>-8408.82</v>
      </c>
      <c r="AO414" s="212">
        <f t="shared" si="85"/>
        <v>-0.2514532358439025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168.64057886557885</v>
      </c>
      <c r="Z415" s="87">
        <f t="shared" si="75"/>
        <v>52615.860606060596</v>
      </c>
      <c r="AA415" s="400"/>
      <c r="AB415" s="403"/>
      <c r="AC415" s="87"/>
      <c r="AD415" s="404"/>
      <c r="AE415" s="403">
        <f t="shared" si="76"/>
        <v>150.64324723247231</v>
      </c>
      <c r="AF415" s="87">
        <f t="shared" si="77"/>
        <v>40824.319999999992</v>
      </c>
      <c r="AG415" s="398">
        <f t="shared" si="78"/>
        <v>-17.99733163310654</v>
      </c>
      <c r="AH415" s="399">
        <f t="shared" si="79"/>
        <v>-11791.540606060604</v>
      </c>
      <c r="AI415" s="400">
        <f t="shared" si="80"/>
        <v>-0.2241062004923737</v>
      </c>
      <c r="AJ415" s="404"/>
      <c r="AK415" s="399">
        <f t="shared" si="81"/>
        <v>519.29142857142858</v>
      </c>
      <c r="AL415" s="87">
        <f t="shared" si="82"/>
        <v>130861.44</v>
      </c>
      <c r="AM415" s="401">
        <f t="shared" si="83"/>
        <v>-17.99733163310654</v>
      </c>
      <c r="AN415" s="399">
        <f t="shared" si="84"/>
        <v>-90037.12000000001</v>
      </c>
      <c r="AO415" s="211">
        <f t="shared" si="85"/>
        <v>-0.68803399993153069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667.85785069657118</v>
      </c>
      <c r="Z416" s="87">
        <f t="shared" si="75"/>
        <v>208371.64941733019</v>
      </c>
      <c r="AA416" s="397"/>
      <c r="AB416" s="403"/>
      <c r="AC416" s="87"/>
      <c r="AD416" s="404"/>
      <c r="AE416" s="403">
        <f>IF(AF416=0,0,AF416/(J$13+J$13))</f>
        <v>705.38049999999998</v>
      </c>
      <c r="AF416" s="87">
        <f t="shared" si="77"/>
        <v>197506.54</v>
      </c>
      <c r="AG416" s="398">
        <f t="shared" si="78"/>
        <v>37.522649303428807</v>
      </c>
      <c r="AH416" s="399">
        <f t="shared" si="79"/>
        <v>-10865.109417330183</v>
      </c>
      <c r="AI416" s="400">
        <f t="shared" si="80"/>
        <v>-5.214293522037329E-2</v>
      </c>
      <c r="AJ416" s="404"/>
      <c r="AK416" s="399">
        <f t="shared" si="81"/>
        <v>780.73190476190462</v>
      </c>
      <c r="AL416" s="87">
        <f t="shared" si="82"/>
        <v>196744.43999999997</v>
      </c>
      <c r="AM416" s="401">
        <f>AE416-Y416</f>
        <v>37.522649303428807</v>
      </c>
      <c r="AN416" s="399">
        <f>AF416-AL416</f>
        <v>762.10000000003492</v>
      </c>
      <c r="AO416" s="211">
        <f t="shared" si="85"/>
        <v>3.8735529197167404E-3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0.23288881255086674</v>
      </c>
      <c r="Y420" s="88"/>
      <c r="Z420" s="90">
        <f>SUM(Z410:Z419)</f>
        <v>800039.7865318011</v>
      </c>
      <c r="AA420" s="89"/>
      <c r="AB420" s="88"/>
      <c r="AC420" s="90"/>
      <c r="AD420" s="91">
        <f>AF420/AF408</f>
        <v>0.22562545911152543</v>
      </c>
      <c r="AE420" s="88"/>
      <c r="AF420" s="90">
        <f>SUM(AF410:AF419)</f>
        <v>695411.22</v>
      </c>
      <c r="AG420" s="92"/>
      <c r="AH420" s="93">
        <f t="shared" ref="AH420:AH452" si="86">AF420-Z420</f>
        <v>-104628.56653180113</v>
      </c>
      <c r="AI420" s="89">
        <f>AH420/Z420</f>
        <v>-0.13077920410104779</v>
      </c>
      <c r="AJ420" s="91">
        <f>IF($AL$408=0,0,AL420/$AL$408)</f>
        <v>0.26496477492350046</v>
      </c>
      <c r="AK420" s="88"/>
      <c r="AL420" s="90">
        <f>SUM(AL410:AL419)</f>
        <v>810421.86999999988</v>
      </c>
      <c r="AM420" s="94"/>
      <c r="AN420" s="93">
        <f t="shared" si="84"/>
        <v>-115010.64999999991</v>
      </c>
      <c r="AO420" s="395">
        <f t="shared" si="85"/>
        <v>-0.14191454384122176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117082.37547892719</v>
      </c>
      <c r="AA421" s="397"/>
      <c r="AB421" s="397"/>
      <c r="AC421" s="87"/>
      <c r="AD421" s="404"/>
      <c r="AE421" s="403"/>
      <c r="AF421" s="87">
        <f>SUMIFS(BV_Data_An_Cour!$P:$P,BV_Data_An_Cour!$V:$V,$V421)</f>
        <v>116361.7</v>
      </c>
      <c r="AG421" s="398"/>
      <c r="AH421" s="399">
        <f t="shared" si="86"/>
        <v>-720.67547892719449</v>
      </c>
      <c r="AI421" s="400">
        <f t="shared" ref="AI421:AI433" si="87">IF(Z421=0,0,AH421/Z421)</f>
        <v>-6.1552857633718205E-3</v>
      </c>
      <c r="AJ421" s="404"/>
      <c r="AK421" s="397"/>
      <c r="AL421" s="87" cm="1">
        <f t="array" ref="AL421">+SUMPRODUCT(('Réel 2025'!$A$8:$A$500=$A421)*('Réel 2025'!$C$3:$AO$3=Z$2),'Réel 2025'!$C$8:$AO$500)</f>
        <v>101144.4699999999</v>
      </c>
      <c r="AM421" s="401"/>
      <c r="AN421" s="399">
        <f t="shared" si="84"/>
        <v>15217.230000000098</v>
      </c>
      <c r="AO421" s="211">
        <f t="shared" ref="AO421:AO432" si="88">IF(AL421=0,0,AN421/AL421)</f>
        <v>0.15045043985103795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239322.06355106545</v>
      </c>
      <c r="AA422" s="397"/>
      <c r="AB422" s="397"/>
      <c r="AC422" s="87"/>
      <c r="AD422" s="404"/>
      <c r="AE422" s="403"/>
      <c r="AF422" s="87">
        <f t="shared" ref="AF422:AF433" si="90">+SUMIF($C:$C,$V422,L:L)</f>
        <v>190506.75</v>
      </c>
      <c r="AG422" s="398"/>
      <c r="AH422" s="399">
        <f t="shared" si="86"/>
        <v>-48815.313551065454</v>
      </c>
      <c r="AI422" s="400">
        <f t="shared" si="87"/>
        <v>-0.2039733103866099</v>
      </c>
      <c r="AJ422" s="404"/>
      <c r="AK422" s="397"/>
      <c r="AL422" s="87">
        <f t="shared" ref="AL422:AL433" si="91">+SUMIF($C:$C,$V422,Q:Q)</f>
        <v>234447.37000000002</v>
      </c>
      <c r="AM422" s="401"/>
      <c r="AN422" s="399">
        <f t="shared" si="84"/>
        <v>-43940.620000000024</v>
      </c>
      <c r="AO422" s="211">
        <f t="shared" si="88"/>
        <v>-0.18742210671845036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95780.804666160984</v>
      </c>
      <c r="AA423" s="387"/>
      <c r="AB423" s="387"/>
      <c r="AC423" s="388"/>
      <c r="AD423" s="407"/>
      <c r="AE423" s="406"/>
      <c r="AF423" s="388">
        <f t="shared" si="90"/>
        <v>74008.569999999992</v>
      </c>
      <c r="AG423" s="389"/>
      <c r="AH423" s="390">
        <f t="shared" si="86"/>
        <v>-21772.234666160992</v>
      </c>
      <c r="AI423" s="408">
        <f t="shared" si="87"/>
        <v>-0.22731313170783002</v>
      </c>
      <c r="AJ423" s="407"/>
      <c r="AK423" s="387"/>
      <c r="AL423" s="388">
        <f t="shared" si="91"/>
        <v>141497.28</v>
      </c>
      <c r="AM423" s="392"/>
      <c r="AN423" s="390">
        <f t="shared" si="84"/>
        <v>-67488.710000000006</v>
      </c>
      <c r="AO423" s="393">
        <f t="shared" si="88"/>
        <v>-0.47696118257538239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228854.32392843449</v>
      </c>
      <c r="AA424" s="397"/>
      <c r="AB424" s="397"/>
      <c r="AC424" s="87"/>
      <c r="AD424" s="404"/>
      <c r="AE424" s="403"/>
      <c r="AF424" s="87">
        <f t="shared" si="90"/>
        <v>201912.15</v>
      </c>
      <c r="AG424" s="398"/>
      <c r="AH424" s="399">
        <f t="shared" si="86"/>
        <v>-26942.173928434495</v>
      </c>
      <c r="AI424" s="400">
        <f t="shared" si="87"/>
        <v>-0.11772630495222645</v>
      </c>
      <c r="AJ424" s="404"/>
      <c r="AK424" s="397"/>
      <c r="AL424" s="87">
        <f t="shared" si="91"/>
        <v>173918.95</v>
      </c>
      <c r="AM424" s="401"/>
      <c r="AN424" s="399">
        <f t="shared" si="84"/>
        <v>27993.199999999983</v>
      </c>
      <c r="AO424" s="211">
        <f t="shared" si="88"/>
        <v>0.16095543355108791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106809.51340996168</v>
      </c>
      <c r="AA425" s="397"/>
      <c r="AB425" s="397"/>
      <c r="AC425" s="87"/>
      <c r="AD425" s="404"/>
      <c r="AE425" s="403"/>
      <c r="AF425" s="87">
        <f t="shared" si="90"/>
        <v>97481.35</v>
      </c>
      <c r="AG425" s="398"/>
      <c r="AH425" s="399">
        <f t="shared" si="86"/>
        <v>-9328.1634099616786</v>
      </c>
      <c r="AI425" s="400">
        <f t="shared" si="87"/>
        <v>-8.7334574535115145E-2</v>
      </c>
      <c r="AJ425" s="404"/>
      <c r="AK425" s="397"/>
      <c r="AL425" s="87">
        <f t="shared" si="91"/>
        <v>97200.88</v>
      </c>
      <c r="AM425" s="401"/>
      <c r="AN425" s="399">
        <f t="shared" si="84"/>
        <v>280.47000000000116</v>
      </c>
      <c r="AO425" s="211">
        <f t="shared" si="88"/>
        <v>2.8854677035845882E-3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213067.19286666714</v>
      </c>
      <c r="AA429" s="387"/>
      <c r="AB429" s="387"/>
      <c r="AC429" s="388"/>
      <c r="AD429" s="407"/>
      <c r="AE429" s="406"/>
      <c r="AF429" s="388">
        <f t="shared" si="90"/>
        <v>172349.44</v>
      </c>
      <c r="AG429" s="389"/>
      <c r="AH429" s="390">
        <f t="shared" si="86"/>
        <v>-40717.752866667142</v>
      </c>
      <c r="AI429" s="408">
        <f t="shared" si="87"/>
        <v>-0.19110287378755411</v>
      </c>
      <c r="AJ429" s="407"/>
      <c r="AK429" s="387"/>
      <c r="AL429" s="388">
        <f t="shared" si="91"/>
        <v>184562.84000000003</v>
      </c>
      <c r="AM429" s="392"/>
      <c r="AN429" s="390">
        <f t="shared" si="84"/>
        <v>-12213.400000000023</v>
      </c>
      <c r="AO429" s="212">
        <f t="shared" si="88"/>
        <v>-6.6174751103743421E-2</v>
      </c>
      <c r="AP429" s="689"/>
      <c r="AQ429" s="894">
        <f>AF429/($AF$421+$AF$422+$AF$423+$AF$424+$AF$425+$AF$410+$AF$411+$K$186-$L$186)</f>
        <v>0.12399238771316125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223535.29089016182</v>
      </c>
      <c r="AA430" s="397"/>
      <c r="AB430" s="397"/>
      <c r="AC430" s="87"/>
      <c r="AD430" s="404"/>
      <c r="AE430" s="403"/>
      <c r="AF430" s="87">
        <f t="shared" si="90"/>
        <v>201159.87</v>
      </c>
      <c r="AG430" s="398"/>
      <c r="AH430" s="399">
        <f t="shared" si="86"/>
        <v>-22375.420890161826</v>
      </c>
      <c r="AI430" s="400">
        <f t="shared" si="87"/>
        <v>-0.10009793442931747</v>
      </c>
      <c r="AJ430" s="404"/>
      <c r="AK430" s="397"/>
      <c r="AL430" s="87">
        <f t="shared" si="91"/>
        <v>229704.93</v>
      </c>
      <c r="AM430" s="401"/>
      <c r="AN430" s="399">
        <f t="shared" si="84"/>
        <v>-28545.059999999998</v>
      </c>
      <c r="AO430" s="211">
        <f t="shared" si="88"/>
        <v>-0.12426838204996296</v>
      </c>
      <c r="AP430" s="689"/>
      <c r="AQ430" s="688">
        <f>AF430/($AF$421+$AF$422+$AF$423+$AF$424+$AF$425+$AF$410+$AF$411+$K$186-$L$186)</f>
        <v>0.14471931323576748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152268.63749974352</v>
      </c>
      <c r="AA431" s="397"/>
      <c r="AB431" s="397"/>
      <c r="AC431" s="87"/>
      <c r="AD431" s="404"/>
      <c r="AE431" s="403"/>
      <c r="AF431" s="87">
        <f t="shared" si="90"/>
        <v>101629.44</v>
      </c>
      <c r="AG431" s="398"/>
      <c r="AH431" s="399">
        <f t="shared" si="86"/>
        <v>-50639.197499743517</v>
      </c>
      <c r="AI431" s="400">
        <f t="shared" si="87"/>
        <v>-0.33256485597586577</v>
      </c>
      <c r="AJ431" s="404"/>
      <c r="AK431" s="397"/>
      <c r="AL431" s="87">
        <f t="shared" si="91"/>
        <v>102816.53000000001</v>
      </c>
      <c r="AM431" s="401"/>
      <c r="AN431" s="399">
        <f t="shared" si="84"/>
        <v>-1187.0900000000111</v>
      </c>
      <c r="AO431" s="211">
        <f t="shared" si="88"/>
        <v>-1.1545711569919846E-2</v>
      </c>
      <c r="AP431" s="689"/>
      <c r="AQ431" s="688">
        <f>AF431/($AF$421+$AF$422+$AF$423+$AF$424+$AF$425+$AF$410+$AF$411+$K$186-$L$186)</f>
        <v>7.3114696093886114E-2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41006.286449802523</v>
      </c>
      <c r="AA432" s="397"/>
      <c r="AB432" s="397"/>
      <c r="AC432" s="87"/>
      <c r="AD432" s="404"/>
      <c r="AE432" s="403"/>
      <c r="AF432" s="87">
        <f t="shared" si="90"/>
        <v>30799.98</v>
      </c>
      <c r="AG432" s="398"/>
      <c r="AH432" s="399">
        <f t="shared" si="86"/>
        <v>-10206.306449802523</v>
      </c>
      <c r="AI432" s="97">
        <f t="shared" si="87"/>
        <v>-0.24889614089528642</v>
      </c>
      <c r="AJ432" s="404"/>
      <c r="AK432" s="397"/>
      <c r="AL432" s="87">
        <f t="shared" si="91"/>
        <v>38470.03</v>
      </c>
      <c r="AM432" s="401"/>
      <c r="AN432" s="399">
        <f t="shared" si="84"/>
        <v>-7670.0499999999993</v>
      </c>
      <c r="AO432" s="212">
        <f t="shared" si="88"/>
        <v>-0.19937728148379399</v>
      </c>
      <c r="AP432" s="689"/>
      <c r="AQ432" s="688">
        <f>AF432/($AF$421+$AF$422+$AF$423+$AF$424+$AF$425+$AF$410+$AF$411+$K$186-$L$186)</f>
        <v>2.2158256282803192E-2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0.41269527346395241</v>
      </c>
      <c r="Y434" s="88"/>
      <c r="Z434" s="90">
        <f>SUM(Z421:Z433)</f>
        <v>1417726.488740925</v>
      </c>
      <c r="AA434" s="89"/>
      <c r="AB434" s="88"/>
      <c r="AC434" s="90"/>
      <c r="AD434" s="91">
        <f>AF434/AF408</f>
        <v>0.3848643779914685</v>
      </c>
      <c r="AE434" s="98"/>
      <c r="AF434" s="90">
        <f>SUM(AF421:AF433)</f>
        <v>1186209.25</v>
      </c>
      <c r="AG434" s="99"/>
      <c r="AH434" s="93">
        <f t="shared" si="86"/>
        <v>-231517.23874092498</v>
      </c>
      <c r="AI434" s="89">
        <f>AH434/Z434</f>
        <v>-0.16330176559410564</v>
      </c>
      <c r="AJ434" s="91">
        <f>IF($AL$408=0,0,AL434/$AL$408)</f>
        <v>0.42626113241332531</v>
      </c>
      <c r="AK434" s="88"/>
      <c r="AL434" s="90">
        <f>SUM(AL421:AL433)</f>
        <v>1303763.2799999998</v>
      </c>
      <c r="AM434" s="100"/>
      <c r="AN434" s="93">
        <f t="shared" ref="AN434:AN448" si="92">AF434-AL434</f>
        <v>-117554.0299999998</v>
      </c>
      <c r="AO434" s="395">
        <f>IF(AL434=0,0,AN434/AL434)</f>
        <v>-9.0165164031924427E-2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22218.169762579924</v>
      </c>
      <c r="AA435" s="411"/>
      <c r="AB435" s="411"/>
      <c r="AC435" s="237"/>
      <c r="AD435" s="412"/>
      <c r="AE435" s="413"/>
      <c r="AF435" s="237">
        <f t="shared" ref="AF435:AF452" si="94">+SUMIF($C:$C,$V435,L:L)</f>
        <v>21949.739999999998</v>
      </c>
      <c r="AG435" s="412"/>
      <c r="AH435" s="414">
        <f t="shared" si="86"/>
        <v>-268.42976257992632</v>
      </c>
      <c r="AI435" s="415">
        <f t="shared" ref="AI435:AI452" si="95">IF(Z435=0,0,AH435/Z435)</f>
        <v>-1.2081542514452228E-2</v>
      </c>
      <c r="AJ435" s="412"/>
      <c r="AK435" s="411"/>
      <c r="AL435" s="237">
        <f t="shared" ref="AL435:AL448" si="96">+SUMIF($C:$C,$V435,Q:Q)</f>
        <v>64146.33</v>
      </c>
      <c r="AM435" s="416"/>
      <c r="AN435" s="414">
        <f t="shared" si="92"/>
        <v>-42196.590000000004</v>
      </c>
      <c r="AO435" s="210">
        <f t="shared" ref="AO435:AO448" si="97">IF(AL435=0,0,AN435/AL435)</f>
        <v>-0.65781768029441434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30625</v>
      </c>
      <c r="AA436" s="397"/>
      <c r="AB436" s="397"/>
      <c r="AC436" s="87"/>
      <c r="AD436" s="404"/>
      <c r="AE436" s="403"/>
      <c r="AF436" s="87">
        <f t="shared" si="94"/>
        <v>31956</v>
      </c>
      <c r="AG436" s="398"/>
      <c r="AH436" s="399">
        <f t="shared" si="86"/>
        <v>1331</v>
      </c>
      <c r="AI436" s="400">
        <f t="shared" si="95"/>
        <v>4.3461224489795919E-2</v>
      </c>
      <c r="AJ436" s="404"/>
      <c r="AK436" s="397"/>
      <c r="AL436" s="87">
        <f t="shared" si="96"/>
        <v>25120.85</v>
      </c>
      <c r="AM436" s="401"/>
      <c r="AN436" s="399">
        <f t="shared" si="92"/>
        <v>6835.1500000000015</v>
      </c>
      <c r="AO436" s="211">
        <f t="shared" si="97"/>
        <v>0.27209071349098468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105539.00000000001</v>
      </c>
      <c r="AA437" s="387"/>
      <c r="AB437" s="387"/>
      <c r="AC437" s="388"/>
      <c r="AD437" s="407"/>
      <c r="AE437" s="406"/>
      <c r="AF437" s="388">
        <f t="shared" si="94"/>
        <v>95361.7</v>
      </c>
      <c r="AG437" s="389"/>
      <c r="AH437" s="390">
        <f t="shared" si="86"/>
        <v>-10177.300000000017</v>
      </c>
      <c r="AI437" s="408">
        <f t="shared" si="95"/>
        <v>-9.6431650858924342E-2</v>
      </c>
      <c r="AJ437" s="407"/>
      <c r="AK437" s="387"/>
      <c r="AL437" s="388">
        <f t="shared" si="96"/>
        <v>143116.62999999995</v>
      </c>
      <c r="AM437" s="392"/>
      <c r="AN437" s="390">
        <f t="shared" si="92"/>
        <v>-47754.929999999949</v>
      </c>
      <c r="AO437" s="393">
        <f t="shared" si="97"/>
        <v>-0.33367841319349101</v>
      </c>
      <c r="AP437" s="79"/>
      <c r="AQ437" s="79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157974.27333333332</v>
      </c>
      <c r="AA438" s="397"/>
      <c r="AB438" s="397"/>
      <c r="AC438" s="87"/>
      <c r="AD438" s="404"/>
      <c r="AE438" s="403"/>
      <c r="AF438" s="87">
        <f t="shared" si="94"/>
        <v>156030.74999999997</v>
      </c>
      <c r="AG438" s="398"/>
      <c r="AH438" s="399">
        <f t="shared" si="86"/>
        <v>-1943.5233333333454</v>
      </c>
      <c r="AI438" s="400">
        <f t="shared" si="95"/>
        <v>-1.230278381614972E-2</v>
      </c>
      <c r="AJ438" s="404"/>
      <c r="AK438" s="397"/>
      <c r="AL438" s="87">
        <f t="shared" si="96"/>
        <v>104202.01</v>
      </c>
      <c r="AM438" s="401"/>
      <c r="AN438" s="399">
        <f t="shared" si="92"/>
        <v>51828.739999999976</v>
      </c>
      <c r="AO438" s="211">
        <f t="shared" si="97"/>
        <v>0.49738714253208721</v>
      </c>
      <c r="AP438" s="808"/>
      <c r="AQ438" s="79"/>
      <c r="AR438" s="79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29108.333333333332</v>
      </c>
      <c r="AA439" s="397"/>
      <c r="AB439" s="397"/>
      <c r="AC439" s="87"/>
      <c r="AD439" s="404"/>
      <c r="AE439" s="403"/>
      <c r="AF439" s="87">
        <f t="shared" si="94"/>
        <v>41915.779999999992</v>
      </c>
      <c r="AG439" s="398"/>
      <c r="AH439" s="399">
        <f t="shared" si="86"/>
        <v>12807.446666666659</v>
      </c>
      <c r="AI439" s="400">
        <f t="shared" si="95"/>
        <v>0.43999244202691074</v>
      </c>
      <c r="AJ439" s="404"/>
      <c r="AK439" s="397"/>
      <c r="AL439" s="87">
        <f t="shared" si="96"/>
        <v>18622.649999999998</v>
      </c>
      <c r="AM439" s="401"/>
      <c r="AN439" s="399">
        <f t="shared" si="92"/>
        <v>23293.129999999994</v>
      </c>
      <c r="AO439" s="211">
        <f t="shared" si="97"/>
        <v>1.2507956708631691</v>
      </c>
      <c r="AP439" s="808"/>
      <c r="AQ439" s="79"/>
      <c r="AR439" s="808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80375.743333333317</v>
      </c>
      <c r="AA440" s="397"/>
      <c r="AB440" s="397"/>
      <c r="AC440" s="87"/>
      <c r="AD440" s="404"/>
      <c r="AE440" s="403"/>
      <c r="AF440" s="87">
        <f t="shared" si="94"/>
        <v>112731.48</v>
      </c>
      <c r="AG440" s="398"/>
      <c r="AH440" s="399">
        <f t="shared" si="86"/>
        <v>32355.736666666679</v>
      </c>
      <c r="AI440" s="400">
        <f t="shared" si="95"/>
        <v>0.40255598672949566</v>
      </c>
      <c r="AJ440" s="404"/>
      <c r="AK440" s="397"/>
      <c r="AL440" s="87">
        <f t="shared" si="96"/>
        <v>62608.519999999982</v>
      </c>
      <c r="AM440" s="401"/>
      <c r="AN440" s="399">
        <f t="shared" si="92"/>
        <v>50122.960000000014</v>
      </c>
      <c r="AO440" s="211">
        <f t="shared" si="97"/>
        <v>0.80057730161965224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23476.25</v>
      </c>
      <c r="AA442" s="397"/>
      <c r="AB442" s="403"/>
      <c r="AC442" s="87"/>
      <c r="AD442" s="404"/>
      <c r="AE442" s="403"/>
      <c r="AF442" s="87">
        <f t="shared" si="94"/>
        <v>25943.32</v>
      </c>
      <c r="AG442" s="398"/>
      <c r="AH442" s="399">
        <f t="shared" si="86"/>
        <v>2467.0699999999997</v>
      </c>
      <c r="AI442" s="400">
        <f t="shared" si="95"/>
        <v>0.10508790799211969</v>
      </c>
      <c r="AJ442" s="404"/>
      <c r="AK442" s="397"/>
      <c r="AL442" s="87">
        <f t="shared" si="96"/>
        <v>20011.89</v>
      </c>
      <c r="AM442" s="401"/>
      <c r="AN442" s="399">
        <f t="shared" si="92"/>
        <v>5931.43</v>
      </c>
      <c r="AO442" s="211">
        <f t="shared" si="97"/>
        <v>0.29639529299831252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9800</v>
      </c>
      <c r="AA443" s="397"/>
      <c r="AB443" s="397"/>
      <c r="AC443" s="87"/>
      <c r="AD443" s="404"/>
      <c r="AE443" s="403"/>
      <c r="AF443" s="87">
        <f t="shared" si="94"/>
        <v>9326.34</v>
      </c>
      <c r="AG443" s="398"/>
      <c r="AH443" s="399">
        <f t="shared" si="86"/>
        <v>-473.65999999999985</v>
      </c>
      <c r="AI443" s="97">
        <f t="shared" si="95"/>
        <v>-4.8332653061224473E-2</v>
      </c>
      <c r="AJ443" s="404"/>
      <c r="AK443" s="397"/>
      <c r="AL443" s="87">
        <f t="shared" si="96"/>
        <v>9291.0399999999991</v>
      </c>
      <c r="AM443" s="401"/>
      <c r="AN443" s="399">
        <f t="shared" si="92"/>
        <v>35.300000000001091</v>
      </c>
      <c r="AO443" s="211">
        <f t="shared" si="97"/>
        <v>3.7993593828033346E-3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10150</v>
      </c>
      <c r="AA444" s="397"/>
      <c r="AB444" s="397"/>
      <c r="AC444" s="87"/>
      <c r="AD444" s="404"/>
      <c r="AE444" s="403"/>
      <c r="AF444" s="87">
        <f t="shared" si="94"/>
        <v>11440.59</v>
      </c>
      <c r="AG444" s="398"/>
      <c r="AH444" s="399">
        <f t="shared" si="86"/>
        <v>1290.5900000000001</v>
      </c>
      <c r="AI444" s="400">
        <f t="shared" si="95"/>
        <v>0.12715172413793105</v>
      </c>
      <c r="AJ444" s="404"/>
      <c r="AK444" s="397"/>
      <c r="AL444" s="87">
        <f t="shared" si="96"/>
        <v>10380.939999999999</v>
      </c>
      <c r="AM444" s="401"/>
      <c r="AN444" s="399">
        <f t="shared" si="92"/>
        <v>1059.6500000000015</v>
      </c>
      <c r="AO444" s="211">
        <f t="shared" si="97"/>
        <v>0.1020764978894013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3143</v>
      </c>
      <c r="AA445" s="397"/>
      <c r="AB445" s="397"/>
      <c r="AC445" s="87"/>
      <c r="AD445" s="404"/>
      <c r="AE445" s="403"/>
      <c r="AF445" s="87">
        <f t="shared" si="94"/>
        <v>4184.7</v>
      </c>
      <c r="AG445" s="398"/>
      <c r="AH445" s="399">
        <f t="shared" si="86"/>
        <v>1041.6999999999998</v>
      </c>
      <c r="AI445" s="97">
        <f t="shared" si="95"/>
        <v>0.33143493477569197</v>
      </c>
      <c r="AJ445" s="404"/>
      <c r="AK445" s="397"/>
      <c r="AL445" s="87">
        <f t="shared" si="96"/>
        <v>5176.59</v>
      </c>
      <c r="AM445" s="401"/>
      <c r="AN445" s="399">
        <f t="shared" si="92"/>
        <v>-991.89000000000033</v>
      </c>
      <c r="AO445" s="211">
        <f t="shared" si="97"/>
        <v>-0.19161069352604712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19775.000000000004</v>
      </c>
      <c r="AA446" s="397"/>
      <c r="AB446" s="397"/>
      <c r="AC446" s="87"/>
      <c r="AD446" s="404"/>
      <c r="AE446" s="403"/>
      <c r="AF446" s="87">
        <f t="shared" si="94"/>
        <v>11110.71</v>
      </c>
      <c r="AG446" s="398"/>
      <c r="AH446" s="399">
        <f t="shared" si="86"/>
        <v>-8664.2900000000045</v>
      </c>
      <c r="AI446" s="400">
        <f t="shared" si="95"/>
        <v>-0.43814361567635918</v>
      </c>
      <c r="AJ446" s="404"/>
      <c r="AK446" s="397"/>
      <c r="AL446" s="87">
        <f t="shared" si="96"/>
        <v>7878.27</v>
      </c>
      <c r="AM446" s="401"/>
      <c r="AN446" s="399">
        <f t="shared" si="92"/>
        <v>3232.4399999999987</v>
      </c>
      <c r="AO446" s="211">
        <f t="shared" si="97"/>
        <v>0.41029819998552963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10884.999999999996</v>
      </c>
      <c r="AA447" s="397"/>
      <c r="AB447" s="403"/>
      <c r="AC447" s="87"/>
      <c r="AD447" s="404"/>
      <c r="AE447" s="403"/>
      <c r="AF447" s="87">
        <f t="shared" si="94"/>
        <v>11866.130000000001</v>
      </c>
      <c r="AG447" s="398"/>
      <c r="AH447" s="399">
        <f t="shared" si="86"/>
        <v>981.13000000000466</v>
      </c>
      <c r="AI447" s="97">
        <f t="shared" si="95"/>
        <v>9.013596692696417E-2</v>
      </c>
      <c r="AJ447" s="404"/>
      <c r="AK447" s="397"/>
      <c r="AL447" s="87">
        <f t="shared" si="96"/>
        <v>17006.479999999996</v>
      </c>
      <c r="AM447" s="401"/>
      <c r="AN447" s="399">
        <f t="shared" si="92"/>
        <v>-5140.3499999999949</v>
      </c>
      <c r="AO447" s="211">
        <f t="shared" si="97"/>
        <v>-0.30225831565379763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16594.573333333334</v>
      </c>
      <c r="AA448" s="397"/>
      <c r="AB448" s="403"/>
      <c r="AC448" s="87"/>
      <c r="AD448" s="404"/>
      <c r="AE448" s="403"/>
      <c r="AF448" s="87">
        <f t="shared" si="94"/>
        <v>13545.359999999999</v>
      </c>
      <c r="AG448" s="398"/>
      <c r="AH448" s="399">
        <f t="shared" si="86"/>
        <v>-3049.213333333335</v>
      </c>
      <c r="AI448" s="400">
        <f t="shared" si="95"/>
        <v>-0.18374761869944642</v>
      </c>
      <c r="AJ448" s="404"/>
      <c r="AK448" s="397"/>
      <c r="AL448" s="87">
        <f t="shared" si="96"/>
        <v>18382.61</v>
      </c>
      <c r="AM448" s="401"/>
      <c r="AN448" s="399">
        <f t="shared" si="92"/>
        <v>-4837.2500000000018</v>
      </c>
      <c r="AO448" s="211">
        <f t="shared" si="97"/>
        <v>-0.26314272021220064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61307.413904906301</v>
      </c>
      <c r="AA449" s="397"/>
      <c r="AB449" s="403"/>
      <c r="AC449" s="87"/>
      <c r="AD449" s="404"/>
      <c r="AE449" s="403"/>
      <c r="AF449" s="87">
        <f t="shared" si="94"/>
        <v>48893.98</v>
      </c>
      <c r="AG449" s="398"/>
      <c r="AH449" s="399">
        <f t="shared" si="86"/>
        <v>-12413.433904906298</v>
      </c>
      <c r="AI449" s="400">
        <f t="shared" si="95"/>
        <v>-0.20247851139440864</v>
      </c>
      <c r="AJ449" s="404"/>
      <c r="AK449" s="397"/>
      <c r="AL449" s="87" cm="1">
        <f t="array" ref="AL449">+SUMPRODUCT(('Réel 2025'!$A$8:$A$500=$A449)*('Réel 2025'!$C$3:$AO$3=Z$2),'Réel 2025'!$C$8:$AO$500)</f>
        <v>46713.149999999994</v>
      </c>
      <c r="AM449" s="401"/>
      <c r="AN449" s="399">
        <f>AF449-AL449</f>
        <v>2180.830000000009</v>
      </c>
      <c r="AO449" s="211">
        <f>IF(AL449=0,0,AN449/AL449)</f>
        <v>4.6685569266898277E-2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0.16911886745039198</v>
      </c>
      <c r="Y453" s="88"/>
      <c r="Z453" s="90">
        <f>+SUM(Z435:Z452)</f>
        <v>580971.75700081955</v>
      </c>
      <c r="AA453" s="89"/>
      <c r="AB453" s="88"/>
      <c r="AC453" s="90"/>
      <c r="AD453" s="91">
        <f>AF453/AF408</f>
        <v>0.19345483757188731</v>
      </c>
      <c r="AE453" s="88"/>
      <c r="AF453" s="90">
        <f>+SUM(AF435:AF452)</f>
        <v>596256.57999999996</v>
      </c>
      <c r="AG453" s="99"/>
      <c r="AH453" s="93">
        <f>+SUM(AH435:AH452)</f>
        <v>15284.822999180411</v>
      </c>
      <c r="AI453" s="89">
        <f>AH453/Z453</f>
        <v>2.6309063762558857E-2</v>
      </c>
      <c r="AJ453" s="91">
        <f>IF($AL$408=0,0,AL453/$AL$408)</f>
        <v>0.18068970915244542</v>
      </c>
      <c r="AK453" s="89"/>
      <c r="AL453" s="90">
        <f>+SUM(AL435:AL452)</f>
        <v>552657.96</v>
      </c>
      <c r="AM453" s="100"/>
      <c r="AN453" s="93">
        <f>+SUM(AN435:AN452)</f>
        <v>43598.620000000061</v>
      </c>
      <c r="AO453" s="544">
        <f>IF(AL453=0,0,AN453/AL453)</f>
        <v>7.8888975018110777E-2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350000</v>
      </c>
      <c r="AA454" s="397"/>
      <c r="AB454" s="403"/>
      <c r="AC454" s="87"/>
      <c r="AD454" s="404"/>
      <c r="AE454" s="403"/>
      <c r="AF454" s="87">
        <f>SUMIFS(BV_Data_An_Cour!$P:$P,BV_Data_An_Cour!$V:$V,$V454)</f>
        <v>350000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350000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44425.71</v>
      </c>
      <c r="AA455" s="397"/>
      <c r="AB455" s="403"/>
      <c r="AC455" s="87"/>
      <c r="AD455" s="404"/>
      <c r="AE455" s="403"/>
      <c r="AF455" s="87">
        <f>SUMIFS(BV_Data_An_Cour!$P:$P,BV_Data_An_Cour!$V:$V,$V455)</f>
        <v>44214.740000000005</v>
      </c>
      <c r="AG455" s="398"/>
      <c r="AH455" s="399">
        <f t="shared" si="98"/>
        <v>-210.96999999999389</v>
      </c>
      <c r="AI455" s="400">
        <f t="shared" si="99"/>
        <v>-4.7488267491953172E-3</v>
      </c>
      <c r="AJ455" s="404"/>
      <c r="AK455" s="397"/>
      <c r="AL455" s="87" cm="1">
        <f t="array" ref="AL455">+SUMPRODUCT(('Réel 2025'!$A$8:$A$500=$A455)*('Réel 2025'!$C$3:$AO$3=Z$2),'Réel 2025'!$C$8:$AO$500)</f>
        <v>43147.789999999994</v>
      </c>
      <c r="AM455" s="401"/>
      <c r="AN455" s="399">
        <f t="shared" si="100"/>
        <v>1066.9500000000116</v>
      </c>
      <c r="AO455" s="211">
        <f t="shared" si="101"/>
        <v>2.4727801817891758E-2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19039.580000000002</v>
      </c>
      <c r="AA456" s="387"/>
      <c r="AB456" s="406"/>
      <c r="AC456" s="388"/>
      <c r="AD456" s="407"/>
      <c r="AE456" s="406"/>
      <c r="AF456" s="388">
        <f>SUMIFS(BV_Data_An_Cour!$P:$P,BV_Data_An_Cour!$V:$V,$V456)</f>
        <v>18949.21</v>
      </c>
      <c r="AG456" s="389"/>
      <c r="AH456" s="390">
        <f t="shared" si="98"/>
        <v>-90.370000000002619</v>
      </c>
      <c r="AI456" s="408">
        <f t="shared" si="99"/>
        <v>-4.7464282300346229E-3</v>
      </c>
      <c r="AJ456" s="407"/>
      <c r="AK456" s="387"/>
      <c r="AL456" s="388" cm="1">
        <f t="array" ref="AL456">+SUMPRODUCT(('Réel 2025'!$A$8:$A$500=$A456)*('Réel 2025'!$C$3:$AO$3=Z$2),'Réel 2025'!$C$8:$AO$500)</f>
        <v>18491.91</v>
      </c>
      <c r="AM456" s="392"/>
      <c r="AN456" s="390">
        <f t="shared" si="100"/>
        <v>457.29999999999927</v>
      </c>
      <c r="AO456" s="393">
        <f t="shared" si="101"/>
        <v>2.4729733164394554E-2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24998.166666666672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24998.12</v>
      </c>
      <c r="AG458" s="389"/>
      <c r="AH458" s="390">
        <f t="shared" si="98"/>
        <v>-4.6666666672535939E-2</v>
      </c>
      <c r="AI458" s="408">
        <f t="shared" si="99"/>
        <v>-1.866803565829598E-6</v>
      </c>
      <c r="AJ458" s="407"/>
      <c r="AK458" s="387"/>
      <c r="AL458" s="388" cm="1">
        <f t="array" ref="AL458">+SUMPRODUCT(('Réel 2025'!$A$8:$A$500=$A458)*('Réel 2025'!$C$3:$AO$3=Z$2),'Réel 2025'!$C$8:$AO$500)</f>
        <v>33976.810000000005</v>
      </c>
      <c r="AM458" s="392"/>
      <c r="AN458" s="390">
        <f t="shared" si="100"/>
        <v>-8978.690000000006</v>
      </c>
      <c r="AO458" s="393">
        <f t="shared" si="101"/>
        <v>-0.26425935807393353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46725</v>
      </c>
      <c r="AA459" s="243"/>
      <c r="AB459" s="236"/>
      <c r="AC459" s="87"/>
      <c r="AD459" s="404"/>
      <c r="AE459" s="403"/>
      <c r="AF459" s="87">
        <f>SUMIFS(BV_Data_An_Cour!$P:$P,BV_Data_An_Cour!$V:$V,$V459)</f>
        <v>46310.95</v>
      </c>
      <c r="AG459" s="398"/>
      <c r="AH459" s="399">
        <f t="shared" si="98"/>
        <v>-414.05000000000291</v>
      </c>
      <c r="AI459" s="400">
        <f t="shared" si="99"/>
        <v>-8.8614232209738453E-3</v>
      </c>
      <c r="AJ459" s="404"/>
      <c r="AK459" s="397"/>
      <c r="AL459" s="87" cm="1">
        <f t="array" ref="AL459">+SUMPRODUCT(('Réel 2025'!$A$8:$A$500=$A459)*('Réel 2025'!$C$3:$AO$3=Z$2),'Réel 2025'!$C$8:$AO$500)</f>
        <v>40663.83</v>
      </c>
      <c r="AM459" s="401"/>
      <c r="AN459" s="399">
        <f t="shared" si="100"/>
        <v>5647.1199999999953</v>
      </c>
      <c r="AO459" s="211">
        <f t="shared" si="101"/>
        <v>0.13887329353875411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12250</v>
      </c>
      <c r="AA460" s="397"/>
      <c r="AB460" s="403"/>
      <c r="AC460" s="87"/>
      <c r="AD460" s="404"/>
      <c r="AE460" s="403"/>
      <c r="AF460" s="87">
        <f>SUMIFS(BV_Data_An_Cour!$P:$P,BV_Data_An_Cour!$V:$V,$V460)</f>
        <v>10816</v>
      </c>
      <c r="AG460" s="398"/>
      <c r="AH460" s="399">
        <f t="shared" si="98"/>
        <v>-1434</v>
      </c>
      <c r="AI460" s="400">
        <f t="shared" si="99"/>
        <v>-0.11706122448979592</v>
      </c>
      <c r="AJ460" s="404"/>
      <c r="AK460" s="397"/>
      <c r="AL460" s="87" cm="1">
        <f t="array" ref="AL460">+SUMPRODUCT(('Réel 2025'!$A$8:$A$500=$A460)*('Réel 2025'!$C$3:$AO$3=Z$2),'Réel 2025'!$C$8:$AO$500)</f>
        <v>44151.310000000005</v>
      </c>
      <c r="AM460" s="401"/>
      <c r="AN460" s="399">
        <f t="shared" si="100"/>
        <v>-33335.310000000005</v>
      </c>
      <c r="AO460" s="211">
        <f t="shared" si="101"/>
        <v>-0.75502425635841841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3150</v>
      </c>
      <c r="AA461" s="387"/>
      <c r="AB461" s="406"/>
      <c r="AC461" s="388"/>
      <c r="AD461" s="407"/>
      <c r="AE461" s="406"/>
      <c r="AF461" s="388">
        <f>SUMIFS(BV_Data_An_Cour!$P:$P,BV_Data_An_Cour!$V:$V,$V461)</f>
        <v>3150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5191.8999999999996</v>
      </c>
      <c r="AM461" s="392"/>
      <c r="AN461" s="390">
        <f t="shared" si="100"/>
        <v>-2041.8999999999996</v>
      </c>
      <c r="AO461" s="393">
        <f t="shared" si="101"/>
        <v>-0.39328569502494265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1953</v>
      </c>
      <c r="AA462" s="397"/>
      <c r="AB462" s="403"/>
      <c r="AC462" s="87"/>
      <c r="AD462" s="404"/>
      <c r="AE462" s="403"/>
      <c r="AF462" s="87">
        <f>SUMIFS(BV_Data_An_Cour!$P:$P,BV_Data_An_Cour!$V:$V,$V462)</f>
        <v>2863.92</v>
      </c>
      <c r="AG462" s="398"/>
      <c r="AH462" s="399">
        <f t="shared" si="98"/>
        <v>910.92000000000007</v>
      </c>
      <c r="AI462" s="417">
        <f t="shared" si="99"/>
        <v>0.46642089093701999</v>
      </c>
      <c r="AJ462" s="397"/>
      <c r="AK462" s="397"/>
      <c r="AL462" s="87" cm="1">
        <f t="array" ref="AL462">+SUMPRODUCT(('Réel 2025'!$A$8:$A$500=$A462)*('Réel 2025'!$C$3:$AO$3=Z$2),'Réel 2025'!$C$8:$AO$500)</f>
        <v>1509.8799999999992</v>
      </c>
      <c r="AM462" s="401"/>
      <c r="AN462" s="399">
        <f t="shared" si="100"/>
        <v>1354.0400000000009</v>
      </c>
      <c r="AO462" s="211">
        <f t="shared" si="101"/>
        <v>0.8967864995893724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0.14628807850674405</v>
      </c>
      <c r="Y467" s="88"/>
      <c r="Z467" s="90">
        <f>SUM(Z454:Z466)</f>
        <v>502541.45666666672</v>
      </c>
      <c r="AA467" s="89"/>
      <c r="AB467" s="88"/>
      <c r="AC467" s="90"/>
      <c r="AD467" s="91">
        <f>AF467/AF408</f>
        <v>0.16264722618576313</v>
      </c>
      <c r="AE467" s="88"/>
      <c r="AF467" s="90">
        <f>SUM(AF454:AF466)</f>
        <v>501302.94</v>
      </c>
      <c r="AG467" s="99"/>
      <c r="AH467" s="93">
        <f>SUM(AH454:AH466)</f>
        <v>-1238.5166666666719</v>
      </c>
      <c r="AI467" s="89">
        <f>IF(Z467=0,0,AH467/Z467)</f>
        <v>-2.4645064605847513E-3</v>
      </c>
      <c r="AJ467" s="91">
        <f>IF($AL$408=0,0,AL467/$AL$408)</f>
        <v>0.17561401493747672</v>
      </c>
      <c r="AK467" s="89"/>
      <c r="AL467" s="90">
        <f>SUM(AL454:AL466)</f>
        <v>537133.43000000005</v>
      </c>
      <c r="AM467" s="100"/>
      <c r="AN467" s="93">
        <f>SUM(AN454:AN466)</f>
        <v>-35830.490000000005</v>
      </c>
      <c r="AO467" s="544">
        <f t="shared" ref="AO467:AO484" si="102">IF(AL467=0,0,AN467/AL467)</f>
        <v>-6.6706870209139651E-2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0.96099103197195512</v>
      </c>
      <c r="Y469" s="88"/>
      <c r="Z469" s="90">
        <f>Z420+Z434+Z453+Z467</f>
        <v>3301279.4889402124</v>
      </c>
      <c r="AA469" s="89"/>
      <c r="AB469" s="88"/>
      <c r="AC469" s="90"/>
      <c r="AD469" s="91">
        <f>AF469/AF408</f>
        <v>0.96659190086064428</v>
      </c>
      <c r="AE469" s="88"/>
      <c r="AF469" s="90">
        <f>AF420+AF434+AF453+AF467</f>
        <v>2979179.9899999998</v>
      </c>
      <c r="AG469" s="99"/>
      <c r="AH469" s="93">
        <f t="shared" si="103"/>
        <v>-322099.49894021265</v>
      </c>
      <c r="AI469" s="89">
        <f>AH469/Z469</f>
        <v>-9.7568079291467102E-2</v>
      </c>
      <c r="AJ469" s="91">
        <f>IF($AL$408=0,0,AL469/$AL$408)</f>
        <v>1.0475296314267479</v>
      </c>
      <c r="AK469" s="89"/>
      <c r="AL469" s="90">
        <f>AL420+AL434+AL453+AL467</f>
        <v>3203976.5399999996</v>
      </c>
      <c r="AM469" s="100"/>
      <c r="AN469" s="93">
        <f t="shared" si="104"/>
        <v>-224796.54999999981</v>
      </c>
      <c r="AO469" s="395">
        <f t="shared" si="102"/>
        <v>-7.0161734080612159E-2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48846.77</v>
      </c>
      <c r="AG470" s="240"/>
      <c r="AH470" s="399">
        <f t="shared" si="103"/>
        <v>48846.77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7578.2699999999904</v>
      </c>
      <c r="AM470" s="242"/>
      <c r="AN470" s="399">
        <f t="shared" si="104"/>
        <v>41268.500000000007</v>
      </c>
      <c r="AO470" s="211">
        <f t="shared" si="102"/>
        <v>5.4456360092738922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340895.65714285709</v>
      </c>
      <c r="AA471" s="243"/>
      <c r="AB471" s="236"/>
      <c r="AC471" s="87"/>
      <c r="AD471" s="245"/>
      <c r="AE471" s="236"/>
      <c r="AF471" s="87">
        <f t="shared" ref="AF471:AF477" si="106">+SUMIF($C:$C,$V471,L:L)</f>
        <v>316788.8</v>
      </c>
      <c r="AG471" s="244"/>
      <c r="AH471" s="399">
        <f t="shared" si="103"/>
        <v>-24106.857142857101</v>
      </c>
      <c r="AI471" s="97">
        <f>IF(Z471=0,0,AH471/Z471)</f>
        <v>-7.0716234242769446E-2</v>
      </c>
      <c r="AJ471" s="245"/>
      <c r="AK471" s="243"/>
      <c r="AL471" s="246">
        <f t="shared" ref="AL471:AL477" si="107">+SUMIF($C:$C,$V471,Q:Q)</f>
        <v>273067</v>
      </c>
      <c r="AM471" s="247"/>
      <c r="AN471" s="399">
        <f t="shared" si="104"/>
        <v>43721.799999999988</v>
      </c>
      <c r="AO471" s="211">
        <f t="shared" si="102"/>
        <v>0.16011381822043669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281238.91714285722</v>
      </c>
      <c r="AA472" s="243"/>
      <c r="AB472" s="236"/>
      <c r="AC472" s="87"/>
      <c r="AD472" s="245"/>
      <c r="AE472" s="236"/>
      <c r="AF472" s="87">
        <f t="shared" si="106"/>
        <v>265363.21000000002</v>
      </c>
      <c r="AG472" s="244"/>
      <c r="AH472" s="399">
        <f t="shared" si="103"/>
        <v>-15875.707142857194</v>
      </c>
      <c r="AI472" s="97">
        <f t="shared" ref="AI472:AI481" si="108">IF(AH472=0,0,AH472/Z472)</f>
        <v>-5.6449183150541794E-2</v>
      </c>
      <c r="AJ472" s="245"/>
      <c r="AK472" s="243"/>
      <c r="AL472" s="246">
        <f t="shared" si="107"/>
        <v>285298.36000000004</v>
      </c>
      <c r="AM472" s="247"/>
      <c r="AN472" s="399">
        <f t="shared" si="104"/>
        <v>-19935.150000000023</v>
      </c>
      <c r="AO472" s="211">
        <f t="shared" si="102"/>
        <v>-6.9874744460501001E-2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32625</v>
      </c>
      <c r="AA475" s="243"/>
      <c r="AB475" s="236"/>
      <c r="AC475" s="87"/>
      <c r="AD475" s="245"/>
      <c r="AE475" s="236"/>
      <c r="AF475" s="87">
        <f t="shared" si="106"/>
        <v>28650</v>
      </c>
      <c r="AG475" s="244"/>
      <c r="AH475" s="399">
        <f t="shared" si="103"/>
        <v>-3975</v>
      </c>
      <c r="AI475" s="97">
        <f t="shared" si="108"/>
        <v>-0.12183908045977011</v>
      </c>
      <c r="AJ475" s="245"/>
      <c r="AK475" s="243"/>
      <c r="AL475" s="246">
        <f t="shared" si="107"/>
        <v>12525</v>
      </c>
      <c r="AM475" s="247"/>
      <c r="AN475" s="399">
        <f t="shared" ref="AN475:AN484" si="109">AF475-AL475</f>
        <v>16125</v>
      </c>
      <c r="AO475" s="211">
        <f t="shared" si="102"/>
        <v>1.2874251497005988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21975</v>
      </c>
      <c r="AG476" s="244"/>
      <c r="AH476" s="399">
        <f t="shared" si="103"/>
        <v>21975</v>
      </c>
      <c r="AI476" s="97" t="e">
        <f t="shared" si="108"/>
        <v>#DIV/0!</v>
      </c>
      <c r="AJ476" s="245"/>
      <c r="AK476" s="243"/>
      <c r="AL476" s="246">
        <f t="shared" si="107"/>
        <v>775</v>
      </c>
      <c r="AM476" s="247"/>
      <c r="AN476" s="399">
        <f t="shared" si="109"/>
        <v>21200</v>
      </c>
      <c r="AO476" s="211">
        <f t="shared" si="102"/>
        <v>27.35483870967742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187492.6114285714</v>
      </c>
      <c r="AA478" s="243"/>
      <c r="AB478" s="236"/>
      <c r="AC478" s="87"/>
      <c r="AD478" s="245"/>
      <c r="AE478" s="236"/>
      <c r="AF478" s="87">
        <f>-SUMIFS(BV_Data_An_Cour!$P:$P,BV_Data_An_Cour!$V:$V,$V478)</f>
        <v>174204.13</v>
      </c>
      <c r="AG478" s="244"/>
      <c r="AH478" s="399">
        <f t="shared" si="103"/>
        <v>-13288.481428571395</v>
      </c>
      <c r="AI478" s="97">
        <f t="shared" si="108"/>
        <v>-7.0874693820315554E-2</v>
      </c>
      <c r="AJ478" s="245"/>
      <c r="AK478" s="243"/>
      <c r="AL478" s="246" cm="1">
        <f t="array" ref="AL478">+SUMPRODUCT(('Réel 2025'!$A$8:$A$500=$A478)*('Réel 2025'!$C$3:$AO$3=Z$2),'Réel 2025'!$C$8:$AO$500)</f>
        <v>163808.28000000003</v>
      </c>
      <c r="AM478" s="247"/>
      <c r="AN478" s="399">
        <f t="shared" si="109"/>
        <v>10395.849999999977</v>
      </c>
      <c r="AO478" s="211">
        <f t="shared" si="102"/>
        <v>6.3463519670678273E-2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186377.8</v>
      </c>
      <c r="AA481" s="243"/>
      <c r="AB481" s="236"/>
      <c r="AC481" s="87"/>
      <c r="AD481" s="245"/>
      <c r="AE481" s="236"/>
      <c r="AF481" s="87">
        <f>+SUMIF($C:$C,$V481,L:L)</f>
        <v>178500</v>
      </c>
      <c r="AG481" s="244"/>
      <c r="AH481" s="399">
        <f t="shared" si="103"/>
        <v>-7877.7999999999884</v>
      </c>
      <c r="AI481" s="97">
        <f t="shared" si="108"/>
        <v>-4.2267909590090608E-2</v>
      </c>
      <c r="AJ481" s="245"/>
      <c r="AK481" s="243"/>
      <c r="AL481" s="246" cm="1">
        <f t="array" ref="AL481">+SUMPRODUCT(('Réel 2025'!$A$8:$A$500=$A481)*('Réel 2025'!$C$3:$AO$3=Z$2),'Réel 2025'!$C$8:$AO$500)</f>
        <v>158865</v>
      </c>
      <c r="AM481" s="247"/>
      <c r="AN481" s="399">
        <f t="shared" si="109"/>
        <v>19635</v>
      </c>
      <c r="AO481" s="211">
        <f t="shared" si="102"/>
        <v>0.12359550561797752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0.29943062827625105</v>
      </c>
      <c r="Y482" s="103"/>
      <c r="Z482" s="90">
        <f>SUM(Z470:Z481)</f>
        <v>1028629.9857142856</v>
      </c>
      <c r="AA482" s="89"/>
      <c r="AB482" s="103"/>
      <c r="AC482" s="90"/>
      <c r="AD482" s="89">
        <f>AF482/+AF408</f>
        <v>0.33558663256197474</v>
      </c>
      <c r="AE482" s="103"/>
      <c r="AF482" s="90">
        <f>SUM(AF470:AF481)</f>
        <v>1034327.91</v>
      </c>
      <c r="AG482" s="99"/>
      <c r="AH482" s="93">
        <f t="shared" si="103"/>
        <v>5697.9242857143981</v>
      </c>
      <c r="AI482" s="89">
        <f>AH482/Z482</f>
        <v>5.5393332537916748E-3</v>
      </c>
      <c r="AJ482" s="109"/>
      <c r="AK482" s="110"/>
      <c r="AL482" s="90">
        <f>SUM(AL470:AL481)</f>
        <v>901916.91000000015</v>
      </c>
      <c r="AM482" s="111"/>
      <c r="AN482" s="93">
        <f t="shared" si="109"/>
        <v>132410.99999999988</v>
      </c>
      <c r="AO482" s="544">
        <f t="shared" si="102"/>
        <v>0.14681064134832539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20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3.4364172967931303E-2</v>
      </c>
      <c r="Z484" s="427">
        <f>Z408-Z469+Z482</f>
        <v>1162636.9657497322</v>
      </c>
      <c r="AA484" s="425"/>
      <c r="AB484" s="426"/>
      <c r="AC484" s="427"/>
      <c r="AD484" s="425" t="s">
        <v>247</v>
      </c>
      <c r="AE484" s="426">
        <f>AF484/AF407</f>
        <v>3.238872866383629E-2</v>
      </c>
      <c r="AF484" s="214">
        <f>AF408-AF469+AF482</f>
        <v>1137296.6399999983</v>
      </c>
      <c r="AG484" s="428"/>
      <c r="AH484" s="214">
        <f>AF484-Z484</f>
        <v>-25340.325749733951</v>
      </c>
      <c r="AI484" s="721">
        <f>AH484/Z484</f>
        <v>-2.1795561724113181E-2</v>
      </c>
      <c r="AJ484" s="429" t="s">
        <v>247</v>
      </c>
      <c r="AK484" s="426">
        <f>IF($AL$407=0,0,AL484/$AL$407)</f>
        <v>2.7949781555184457E-2</v>
      </c>
      <c r="AL484" s="214">
        <f>AL408-AL469+AL482</f>
        <v>756542.66999999713</v>
      </c>
      <c r="AM484" s="215"/>
      <c r="AN484" s="214">
        <f t="shared" si="109"/>
        <v>380753.97000000114</v>
      </c>
      <c r="AO484" s="430">
        <f t="shared" si="102"/>
        <v>0.50328155317399692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Juillet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20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4.0523033913465394E-2</v>
      </c>
      <c r="Z489" s="914">
        <f>Z490+Z416</f>
        <v>1371008.6151670625</v>
      </c>
      <c r="AA489" s="911"/>
      <c r="AB489" s="912"/>
      <c r="AC489" s="913"/>
      <c r="AD489" s="911" t="s">
        <v>247</v>
      </c>
      <c r="AE489" s="912">
        <f>AF489/AF407</f>
        <v>3.8013457963478936E-2</v>
      </c>
      <c r="AF489" s="914">
        <f>AF490+AF416</f>
        <v>1334803.1799999983</v>
      </c>
      <c r="AG489" s="915"/>
      <c r="AH489" s="914">
        <f t="shared" ref="AH489" si="111">AF489-Z489</f>
        <v>-36205.435167064192</v>
      </c>
      <c r="AI489" s="968">
        <f>AH489/Z489</f>
        <v>-2.6407883047950376E-2</v>
      </c>
      <c r="AJ489" s="911" t="s">
        <v>247</v>
      </c>
      <c r="AK489" s="912">
        <f>IF($AL$407=0,0,AL489/$AL$407)</f>
        <v>3.5218326130729831E-2</v>
      </c>
      <c r="AL489" s="914">
        <f>AL490+AL416</f>
        <v>953287.10999999708</v>
      </c>
      <c r="AM489" s="916"/>
      <c r="AN489" s="914">
        <f t="shared" ref="AN489" si="112">AF489-AL489</f>
        <v>381516.07000000123</v>
      </c>
      <c r="AO489" s="917">
        <f t="shared" ref="AO489" si="113">IF(AL489=0,0,AN489/AL489)</f>
        <v>0.40021108645851972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20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3.4364172967931303E-2</v>
      </c>
      <c r="Z490" s="435">
        <f>Z484</f>
        <v>1162636.9657497322</v>
      </c>
      <c r="AA490" s="433"/>
      <c r="AB490" s="434"/>
      <c r="AC490" s="435"/>
      <c r="AD490" s="433" t="s">
        <v>247</v>
      </c>
      <c r="AE490" s="434">
        <f>AF490/AF407</f>
        <v>3.238872866383629E-2</v>
      </c>
      <c r="AF490" s="435">
        <f>AF484</f>
        <v>1137296.6399999983</v>
      </c>
      <c r="AG490" s="436"/>
      <c r="AH490" s="214">
        <f>AF490-Z490</f>
        <v>-25340.325749733951</v>
      </c>
      <c r="AI490" s="721">
        <f>AH490/Z490</f>
        <v>-2.1795561724113181E-2</v>
      </c>
      <c r="AJ490" s="433" t="s">
        <v>247</v>
      </c>
      <c r="AK490" s="434">
        <f>IF($AL$407=0,0,AL490/$AL$407)</f>
        <v>2.7949781555184457E-2</v>
      </c>
      <c r="AL490" s="437">
        <f>AL484</f>
        <v>756542.66999999713</v>
      </c>
      <c r="AM490" s="438"/>
      <c r="AN490" s="439">
        <f>AF490-AL490</f>
        <v>380753.97000000114</v>
      </c>
      <c r="AO490" s="440">
        <f>IF(AL490=0,0,AN490/AL490)</f>
        <v>0.50328155317399692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28544.25</v>
      </c>
      <c r="AA492" s="397"/>
      <c r="AB492" s="403"/>
      <c r="AC492" s="87"/>
      <c r="AD492" s="397"/>
      <c r="AE492" s="403"/>
      <c r="AF492" s="87">
        <f>SUMIFS(BV_Data_An_Cour!$P:$P,BV_Data_An_Cour!$V:$V,$V492)</f>
        <v>28544.250000000004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135100</v>
      </c>
      <c r="AM492" s="401"/>
      <c r="AN492" s="399">
        <f t="shared" ref="AN492:AN499" si="116">AF492-AL492</f>
        <v>-106555.75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-26104.91</v>
      </c>
      <c r="AG497" s="398"/>
      <c r="AH497" s="399">
        <f t="shared" si="114"/>
        <v>-26104.91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-18087.54</v>
      </c>
      <c r="AM497" s="444"/>
      <c r="AN497" s="399">
        <f t="shared" si="116"/>
        <v>-8017.369999999999</v>
      </c>
      <c r="AO497" s="211">
        <f t="shared" si="117"/>
        <v>0.44325375368900349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20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3.3520487816730782E-2</v>
      </c>
      <c r="Z499" s="427">
        <f>Z490-Z492-Z493-Z494-Z498-Z497-Z495-Z496</f>
        <v>1134092.7157497322</v>
      </c>
      <c r="AA499" s="425"/>
      <c r="AB499" s="426"/>
      <c r="AC499" s="427"/>
      <c r="AD499" s="425" t="s">
        <v>247</v>
      </c>
      <c r="AE499" s="426">
        <f>AF499/AF407</f>
        <v>3.2319259434261456E-2</v>
      </c>
      <c r="AF499" s="214">
        <f>AF490-AF492-AF493-AF494-AF498-AF497-AF495-AF496</f>
        <v>1134857.2999999982</v>
      </c>
      <c r="AG499" s="428"/>
      <c r="AH499" s="214">
        <f t="shared" si="114"/>
        <v>764.58425026596524</v>
      </c>
      <c r="AI499" s="721">
        <f>AH499/Z499</f>
        <v>6.7418143124260319E-4</v>
      </c>
      <c r="AJ499" s="429" t="s">
        <v>247</v>
      </c>
      <c r="AK499" s="426">
        <f>IF($AL$407=0,0,AL499/$AL$407)</f>
        <v>2.3626862536968642E-2</v>
      </c>
      <c r="AL499" s="214">
        <f>AL490-AL492-AL493-AL494-AL498-AL497-AL495-AL496</f>
        <v>639530.20999999717</v>
      </c>
      <c r="AM499" s="215"/>
      <c r="AN499" s="214">
        <f t="shared" si="116"/>
        <v>495327.09000000102</v>
      </c>
      <c r="AO499" s="445">
        <f t="shared" si="117"/>
        <v>0.77451710998922663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7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1134857.2999999982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AF499/Z499</f>
        <v>1.0006741814312425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1.0006741814312425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6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6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6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6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6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6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6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6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6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6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6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6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6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6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6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6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6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6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6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6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6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6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6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6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6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6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6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6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6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6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6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6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224" priority="5" stopIfTrue="1">
      <formula>"esterreur(reference)"</formula>
    </cfRule>
  </conditionalFormatting>
  <conditionalFormatting sqref="D293">
    <cfRule type="expression" dxfId="223" priority="4" stopIfTrue="1">
      <formula>"esterreur(reference)"</formula>
    </cfRule>
  </conditionalFormatting>
  <conditionalFormatting sqref="E103:E105">
    <cfRule type="expression" dxfId="222" priority="2" stopIfTrue="1">
      <formula>"esterreur(reference)"</formula>
    </cfRule>
  </conditionalFormatting>
  <conditionalFormatting sqref="F5">
    <cfRule type="expression" dxfId="221" priority="71" stopIfTrue="1">
      <formula>"esterreur(reference)"</formula>
    </cfRule>
  </conditionalFormatting>
  <conditionalFormatting sqref="F185">
    <cfRule type="expression" dxfId="220" priority="81" stopIfTrue="1">
      <formula>"esterreur(reference)"</formula>
    </cfRule>
  </conditionalFormatting>
  <conditionalFormatting sqref="G31:G32">
    <cfRule type="expression" dxfId="219" priority="9" stopIfTrue="1">
      <formula>"esterreur(reference)"</formula>
    </cfRule>
  </conditionalFormatting>
  <conditionalFormatting sqref="G113:G114">
    <cfRule type="expression" dxfId="218" priority="6" stopIfTrue="1">
      <formula>"esterreur(reference)"</formula>
    </cfRule>
  </conditionalFormatting>
  <conditionalFormatting sqref="H137:H153">
    <cfRule type="expression" dxfId="217" priority="35" stopIfTrue="1">
      <formula>"esterreur(reference)"</formula>
    </cfRule>
  </conditionalFormatting>
  <conditionalFormatting sqref="H361">
    <cfRule type="expression" dxfId="216" priority="114" stopIfTrue="1">
      <formula>"esterreur(reference)"</formula>
    </cfRule>
  </conditionalFormatting>
  <conditionalFormatting sqref="H198:L198">
    <cfRule type="expression" dxfId="215" priority="116" stopIfTrue="1">
      <formula>"esterreur(reference)"</formula>
    </cfRule>
  </conditionalFormatting>
  <conditionalFormatting sqref="H397:L400">
    <cfRule type="expression" dxfId="214" priority="112" stopIfTrue="1">
      <formula>"esterreur(reference)"</formula>
    </cfRule>
  </conditionalFormatting>
  <conditionalFormatting sqref="I378:L378 H379:H396">
    <cfRule type="expression" dxfId="213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2" priority="106" stopIfTrue="1">
      <formula>"esterreur(reference)"</formula>
    </cfRule>
  </conditionalFormatting>
  <conditionalFormatting sqref="J55:K71">
    <cfRule type="expression" dxfId="211" priority="117" stopIfTrue="1">
      <formula>"esterreur(reference)"</formula>
    </cfRule>
  </conditionalFormatting>
  <conditionalFormatting sqref="J103:L105">
    <cfRule type="expression" dxfId="210" priority="102" stopIfTrue="1">
      <formula>"esterreur(reference)"</formula>
    </cfRule>
  </conditionalFormatting>
  <conditionalFormatting sqref="J150:L153">
    <cfRule type="expression" dxfId="209" priority="34" stopIfTrue="1">
      <formula>"esterreur(reference)"</formula>
    </cfRule>
  </conditionalFormatting>
  <conditionalFormatting sqref="J296:L304">
    <cfRule type="expression" dxfId="208" priority="98" stopIfTrue="1">
      <formula>"esterreur(reference)"</formula>
    </cfRule>
  </conditionalFormatting>
  <conditionalFormatting sqref="J308:L309">
    <cfRule type="expression" dxfId="207" priority="88" stopIfTrue="1">
      <formula>"esterreur(reference)"</formula>
    </cfRule>
  </conditionalFormatting>
  <conditionalFormatting sqref="J361:L361">
    <cfRule type="expression" dxfId="206" priority="80" stopIfTrue="1">
      <formula>"esterreur(reference)"</formula>
    </cfRule>
  </conditionalFormatting>
  <conditionalFormatting sqref="J366:L377">
    <cfRule type="expression" dxfId="205" priority="85" stopIfTrue="1">
      <formula>"esterreur(reference)"</formula>
    </cfRule>
  </conditionalFormatting>
  <conditionalFormatting sqref="J379:L395">
    <cfRule type="expression" dxfId="204" priority="84" stopIfTrue="1">
      <formula>"esterreur(reference)"</formula>
    </cfRule>
  </conditionalFormatting>
  <conditionalFormatting sqref="J313:M313">
    <cfRule type="expression" dxfId="203" priority="86" stopIfTrue="1">
      <formula>"esterreur(reference)"</formula>
    </cfRule>
  </conditionalFormatting>
  <conditionalFormatting sqref="J113:Q122">
    <cfRule type="expression" dxfId="202" priority="7" stopIfTrue="1">
      <formula>"esterreur(reference)"</formula>
    </cfRule>
  </conditionalFormatting>
  <conditionalFormatting sqref="J124:Q135">
    <cfRule type="expression" dxfId="201" priority="61" stopIfTrue="1">
      <formula>"esterreur(reference)"</formula>
    </cfRule>
  </conditionalFormatting>
  <conditionalFormatting sqref="K5">
    <cfRule type="expression" dxfId="200" priority="95" stopIfTrue="1">
      <formula>"esterreur(reference)"</formula>
    </cfRule>
  </conditionalFormatting>
  <conditionalFormatting sqref="K176">
    <cfRule type="expression" dxfId="199" priority="92" stopIfTrue="1">
      <formula>"esterreur(reference)"</formula>
    </cfRule>
  </conditionalFormatting>
  <conditionalFormatting sqref="K184:K185">
    <cfRule type="expression" dxfId="198" priority="94" stopIfTrue="1">
      <formula>"esterreur(reference)"</formula>
    </cfRule>
  </conditionalFormatting>
  <conditionalFormatting sqref="K288">
    <cfRule type="expression" dxfId="197" priority="78" stopIfTrue="1">
      <formula>"esterreur(reference)"</formula>
    </cfRule>
  </conditionalFormatting>
  <conditionalFormatting sqref="K396">
    <cfRule type="expression" dxfId="196" priority="115" stopIfTrue="1">
      <formula>"esterreur(reference)"</formula>
    </cfRule>
  </conditionalFormatting>
  <conditionalFormatting sqref="K93:L96">
    <cfRule type="expression" dxfId="195" priority="83" stopIfTrue="1">
      <formula>"esterreur(reference)"</formula>
    </cfRule>
  </conditionalFormatting>
  <conditionalFormatting sqref="K100:L101">
    <cfRule type="expression" dxfId="194" priority="103" stopIfTrue="1">
      <formula>"esterreur(reference)"</formula>
    </cfRule>
  </conditionalFormatting>
  <conditionalFormatting sqref="K172:L174">
    <cfRule type="expression" dxfId="193" priority="93" stopIfTrue="1">
      <formula>"esterreur(reference)"</formula>
    </cfRule>
  </conditionalFormatting>
  <conditionalFormatting sqref="K177:L183">
    <cfRule type="expression" dxfId="192" priority="91" stopIfTrue="1">
      <formula>"esterreur(reference)"</formula>
    </cfRule>
  </conditionalFormatting>
  <conditionalFormatting sqref="K186:L197">
    <cfRule type="expression" dxfId="191" priority="87" stopIfTrue="1">
      <formula>"esterreur(reference)"</formula>
    </cfRule>
  </conditionalFormatting>
  <conditionalFormatting sqref="K240:L242">
    <cfRule type="expression" dxfId="190" priority="82" stopIfTrue="1">
      <formula>"esterreur(reference)"</formula>
    </cfRule>
  </conditionalFormatting>
  <conditionalFormatting sqref="K245:L245">
    <cfRule type="expression" dxfId="189" priority="90" stopIfTrue="1">
      <formula>"esterreur(reference)"</formula>
    </cfRule>
  </conditionalFormatting>
  <conditionalFormatting sqref="K248:L248">
    <cfRule type="expression" dxfId="188" priority="89" stopIfTrue="1">
      <formula>"esterreur(reference)"</formula>
    </cfRule>
  </conditionalFormatting>
  <conditionalFormatting sqref="L16:L24 Q16:Q24 O18:O24 D31:D32 L99 O99 Q99">
    <cfRule type="expression" dxfId="187" priority="10" stopIfTrue="1">
      <formula>"esterreur(reference)"</formula>
    </cfRule>
  </conditionalFormatting>
  <conditionalFormatting sqref="L42:L48">
    <cfRule type="expression" dxfId="186" priority="104" stopIfTrue="1">
      <formula>"esterreur(reference)"</formula>
    </cfRule>
  </conditionalFormatting>
  <conditionalFormatting sqref="L55:L66">
    <cfRule type="expression" dxfId="185" priority="72" stopIfTrue="1">
      <formula>"esterreur(reference)"</formula>
    </cfRule>
  </conditionalFormatting>
  <conditionalFormatting sqref="L69:L71">
    <cfRule type="expression" dxfId="184" priority="36" stopIfTrue="1">
      <formula>"esterreur(reference)"</formula>
    </cfRule>
  </conditionalFormatting>
  <conditionalFormatting sqref="L75:L82">
    <cfRule type="expression" dxfId="183" priority="73" stopIfTrue="1">
      <formula>"esterreur(reference)"</formula>
    </cfRule>
  </conditionalFormatting>
  <conditionalFormatting sqref="L137:L148">
    <cfRule type="expression" dxfId="182" priority="77" stopIfTrue="1">
      <formula>"esterreur(reference)"</formula>
    </cfRule>
  </conditionalFormatting>
  <conditionalFormatting sqref="L175:L176">
    <cfRule type="expression" dxfId="181" priority="101" stopIfTrue="1">
      <formula>"esterreur(reference)"</formula>
    </cfRule>
  </conditionalFormatting>
  <conditionalFormatting sqref="L199:L210">
    <cfRule type="expression" dxfId="180" priority="100" stopIfTrue="1">
      <formula>"esterreur(reference)"</formula>
    </cfRule>
  </conditionalFormatting>
  <conditionalFormatting sqref="L212:L229">
    <cfRule type="expression" dxfId="179" priority="76" stopIfTrue="1">
      <formula>"esterreur(reference)"</formula>
    </cfRule>
  </conditionalFormatting>
  <conditionalFormatting sqref="L255:L266">
    <cfRule type="expression" dxfId="178" priority="99" stopIfTrue="1">
      <formula>"esterreur(reference)"</formula>
    </cfRule>
  </conditionalFormatting>
  <conditionalFormatting sqref="L268:L285">
    <cfRule type="expression" dxfId="177" priority="75" stopIfTrue="1">
      <formula>"esterreur(reference)"</formula>
    </cfRule>
  </conditionalFormatting>
  <conditionalFormatting sqref="L319:L330">
    <cfRule type="expression" dxfId="176" priority="97" stopIfTrue="1">
      <formula>"esterreur(reference)"</formula>
    </cfRule>
  </conditionalFormatting>
  <conditionalFormatting sqref="L332">
    <cfRule type="expression" dxfId="175" priority="74" stopIfTrue="1">
      <formula>"esterreur(reference)"</formula>
    </cfRule>
  </conditionalFormatting>
  <conditionalFormatting sqref="L335:L344 L346:L349">
    <cfRule type="expression" dxfId="174" priority="96" stopIfTrue="1">
      <formula>"esterreur(reference)"</formula>
    </cfRule>
  </conditionalFormatting>
  <conditionalFormatting sqref="L357:L358 H358:I358 K358 J358:J359 H360:L360">
    <cfRule type="expression" dxfId="173" priority="111" stopIfTrue="1">
      <formula>"esterreur(reference)"</formula>
    </cfRule>
  </conditionalFormatting>
  <conditionalFormatting sqref="L5:Q14">
    <cfRule type="expression" dxfId="172" priority="66" stopIfTrue="1">
      <formula>"esterreur(reference)"</formula>
    </cfRule>
  </conditionalFormatting>
  <conditionalFormatting sqref="L157:Q163">
    <cfRule type="expression" dxfId="171" priority="32" stopIfTrue="1">
      <formula>"esterreur(reference)"</formula>
    </cfRule>
  </conditionalFormatting>
  <conditionalFormatting sqref="M95:M97">
    <cfRule type="expression" dxfId="170" priority="107" stopIfTrue="1">
      <formula>"esterreur(reference)"</formula>
    </cfRule>
  </conditionalFormatting>
  <conditionalFormatting sqref="O13:O14 O16 O83:Q85">
    <cfRule type="expression" dxfId="169" priority="70" stopIfTrue="1">
      <formula>"esterreur(reference)"</formula>
    </cfRule>
  </conditionalFormatting>
  <conditionalFormatting sqref="O173:O197 Q184 O199:P230 O233:Q233 O234:P234">
    <cfRule type="expression" dxfId="168" priority="59" stopIfTrue="1">
      <formula>"esterreur(reference)"</formula>
    </cfRule>
  </conditionalFormatting>
  <conditionalFormatting sqref="O293">
    <cfRule type="expression" dxfId="167" priority="3" stopIfTrue="1">
      <formula>"esterreur(reference)"</formula>
    </cfRule>
  </conditionalFormatting>
  <conditionalFormatting sqref="O319:P349 O350:Q350 O353:Q353 O354:P354">
    <cfRule type="expression" dxfId="166" priority="43" stopIfTrue="1">
      <formula>"esterreur(reference)"</formula>
    </cfRule>
  </conditionalFormatting>
  <conditionalFormatting sqref="O25:Q72">
    <cfRule type="expression" dxfId="165" priority="8" stopIfTrue="1">
      <formula>"esterreur(reference)"</formula>
    </cfRule>
  </conditionalFormatting>
  <conditionalFormatting sqref="O97:Q99 O123:Q123 O157:P158 O165:Q165 O166:P166">
    <cfRule type="expression" dxfId="164" priority="65" stopIfTrue="1">
      <formula>"esterreur(reference)"</formula>
    </cfRule>
  </conditionalFormatting>
  <conditionalFormatting sqref="O102:Q112">
    <cfRule type="expression" dxfId="163" priority="1" stopIfTrue="1">
      <formula>"esterreur(reference)"</formula>
    </cfRule>
  </conditionalFormatting>
  <conditionalFormatting sqref="O136:Q154">
    <cfRule type="expression" dxfId="162" priority="33" stopIfTrue="1">
      <formula>"esterreur(reference)"</formula>
    </cfRule>
  </conditionalFormatting>
  <conditionalFormatting sqref="O198:Q198">
    <cfRule type="expression" dxfId="161" priority="60" stopIfTrue="1">
      <formula>"esterreur(reference)"</formula>
    </cfRule>
  </conditionalFormatting>
  <conditionalFormatting sqref="O244:Q244 O253:Q254 O255:P285 O286:Q286 O289:Q289 O290:P290">
    <cfRule type="expression" dxfId="160" priority="50" stopIfTrue="1">
      <formula>"esterreur(reference)"</formula>
    </cfRule>
  </conditionalFormatting>
  <conditionalFormatting sqref="O296:Q318">
    <cfRule type="expression" dxfId="159" priority="41" stopIfTrue="1">
      <formula>"esterreur(reference)"</formula>
    </cfRule>
  </conditionalFormatting>
  <conditionalFormatting sqref="O360:Q395">
    <cfRule type="expression" dxfId="158" priority="37" stopIfTrue="1">
      <formula>"esterreur(reference)"</formula>
    </cfRule>
  </conditionalFormatting>
  <conditionalFormatting sqref="O397:Q400">
    <cfRule type="expression" dxfId="157" priority="38" stopIfTrue="1">
      <formula>"esterreur(reference)"</formula>
    </cfRule>
  </conditionalFormatting>
  <conditionalFormatting sqref="P5">
    <cfRule type="expression" dxfId="156" priority="67" stopIfTrue="1">
      <formula>"esterreur(reference)"</formula>
    </cfRule>
  </conditionalFormatting>
  <conditionalFormatting sqref="P176">
    <cfRule type="expression" dxfId="155" priority="54" stopIfTrue="1">
      <formula>"esterreur(reference)"</formula>
    </cfRule>
  </conditionalFormatting>
  <conditionalFormatting sqref="P184:P185">
    <cfRule type="expression" dxfId="154" priority="56" stopIfTrue="1">
      <formula>"esterreur(reference)"</formula>
    </cfRule>
  </conditionalFormatting>
  <conditionalFormatting sqref="P288">
    <cfRule type="expression" dxfId="153" priority="45" stopIfTrue="1">
      <formula>"esterreur(reference)"</formula>
    </cfRule>
  </conditionalFormatting>
  <conditionalFormatting sqref="P396">
    <cfRule type="expression" dxfId="152" priority="39" stopIfTrue="1">
      <formula>"esterreur(reference)"</formula>
    </cfRule>
  </conditionalFormatting>
  <conditionalFormatting sqref="P93:Q96">
    <cfRule type="expression" dxfId="151" priority="62" stopIfTrue="1">
      <formula>"esterreur(reference)"</formula>
    </cfRule>
  </conditionalFormatting>
  <conditionalFormatting sqref="P100:Q101">
    <cfRule type="expression" dxfId="150" priority="64" stopIfTrue="1">
      <formula>"esterreur(reference)"</formula>
    </cfRule>
  </conditionalFormatting>
  <conditionalFormatting sqref="P173:Q174">
    <cfRule type="expression" dxfId="149" priority="55" stopIfTrue="1">
      <formula>"esterreur(reference)"</formula>
    </cfRule>
  </conditionalFormatting>
  <conditionalFormatting sqref="P177:Q183">
    <cfRule type="expression" dxfId="148" priority="53" stopIfTrue="1">
      <formula>"esterreur(reference)"</formula>
    </cfRule>
  </conditionalFormatting>
  <conditionalFormatting sqref="P186:Q197">
    <cfRule type="expression" dxfId="147" priority="52" stopIfTrue="1">
      <formula>"esterreur(reference)"</formula>
    </cfRule>
  </conditionalFormatting>
  <conditionalFormatting sqref="P242:Q242">
    <cfRule type="expression" dxfId="146" priority="46" stopIfTrue="1">
      <formula>"esterreur(reference)"</formula>
    </cfRule>
  </conditionalFormatting>
  <conditionalFormatting sqref="P245:Q245">
    <cfRule type="expression" dxfId="145" priority="48" stopIfTrue="1">
      <formula>"esterreur(reference)"</formula>
    </cfRule>
  </conditionalFormatting>
  <conditionalFormatting sqref="P248:Q248">
    <cfRule type="expression" dxfId="144" priority="47" stopIfTrue="1">
      <formula>"esterreur(reference)"</formula>
    </cfRule>
  </conditionalFormatting>
  <conditionalFormatting sqref="Q75:Q82">
    <cfRule type="expression" dxfId="143" priority="68" stopIfTrue="1">
      <formula>"esterreur(reference)"</formula>
    </cfRule>
  </conditionalFormatting>
  <conditionalFormatting sqref="Q175:Q176">
    <cfRule type="expression" dxfId="142" priority="58" stopIfTrue="1">
      <formula>"esterreur(reference)"</formula>
    </cfRule>
  </conditionalFormatting>
  <conditionalFormatting sqref="Q199:Q210">
    <cfRule type="expression" dxfId="141" priority="57" stopIfTrue="1">
      <formula>"esterreur(reference)"</formula>
    </cfRule>
  </conditionalFormatting>
  <conditionalFormatting sqref="Q212:Q229">
    <cfRule type="expression" dxfId="140" priority="51" stopIfTrue="1">
      <formula>"esterreur(reference)"</formula>
    </cfRule>
  </conditionalFormatting>
  <conditionalFormatting sqref="Q255:Q266">
    <cfRule type="expression" dxfId="139" priority="49" stopIfTrue="1">
      <formula>"esterreur(reference)"</formula>
    </cfRule>
  </conditionalFormatting>
  <conditionalFormatting sqref="Q268:Q285">
    <cfRule type="expression" dxfId="138" priority="44" stopIfTrue="1">
      <formula>"esterreur(reference)"</formula>
    </cfRule>
  </conditionalFormatting>
  <conditionalFormatting sqref="Q319:Q330">
    <cfRule type="expression" dxfId="137" priority="42" stopIfTrue="1">
      <formula>"esterreur(reference)"</formula>
    </cfRule>
  </conditionalFormatting>
  <conditionalFormatting sqref="Q332:Q349">
    <cfRule type="expression" dxfId="136" priority="40" stopIfTrue="1">
      <formula>"esterreur(reference)"</formula>
    </cfRule>
  </conditionalFormatting>
  <conditionalFormatting sqref="R313">
    <cfRule type="expression" dxfId="135" priority="108" stopIfTrue="1">
      <formula>"esterreur(reference)"</formula>
    </cfRule>
  </conditionalFormatting>
  <conditionalFormatting sqref="S187">
    <cfRule type="expression" dxfId="134" priority="79" stopIfTrue="1">
      <formula>"esterreur(reference)"</formula>
    </cfRule>
  </conditionalFormatting>
  <conditionalFormatting sqref="Z426:Z428">
    <cfRule type="cellIs" dxfId="133" priority="28" operator="greaterThan">
      <formula>0</formula>
    </cfRule>
  </conditionalFormatting>
  <conditionalFormatting sqref="Z433">
    <cfRule type="cellIs" dxfId="132" priority="25" operator="greaterThan">
      <formula>0</formula>
    </cfRule>
  </conditionalFormatting>
  <conditionalFormatting sqref="Z450:Z452">
    <cfRule type="cellIs" dxfId="131" priority="21" operator="greaterThan">
      <formula>0</formula>
    </cfRule>
  </conditionalFormatting>
  <conditionalFormatting sqref="Z464:Z466">
    <cfRule type="cellIs" dxfId="130" priority="17" operator="greaterThan">
      <formula>0</formula>
    </cfRule>
  </conditionalFormatting>
  <conditionalFormatting sqref="Z479:Z480">
    <cfRule type="cellIs" dxfId="129" priority="14" operator="greaterThan">
      <formula>0</formula>
    </cfRule>
  </conditionalFormatting>
  <conditionalFormatting sqref="Z496:Z498">
    <cfRule type="cellIs" dxfId="128" priority="11" operator="greaterThan">
      <formula>0</formula>
    </cfRule>
  </conditionalFormatting>
  <conditionalFormatting sqref="AC426:AC428">
    <cfRule type="cellIs" dxfId="127" priority="29" operator="greaterThan">
      <formula>0</formula>
    </cfRule>
  </conditionalFormatting>
  <conditionalFormatting sqref="AC433">
    <cfRule type="cellIs" dxfId="126" priority="26" operator="greaterThan">
      <formula>0</formula>
    </cfRule>
  </conditionalFormatting>
  <conditionalFormatting sqref="AC450:AC452">
    <cfRule type="cellIs" dxfId="125" priority="22" operator="greaterThan">
      <formula>0</formula>
    </cfRule>
  </conditionalFormatting>
  <conditionalFormatting sqref="AC464:AC466">
    <cfRule type="cellIs" dxfId="124" priority="18" operator="greaterThan">
      <formula>0</formula>
    </cfRule>
  </conditionalFormatting>
  <conditionalFormatting sqref="AC479:AC480">
    <cfRule type="cellIs" dxfId="123" priority="15" operator="greaterThan">
      <formula>0</formula>
    </cfRule>
  </conditionalFormatting>
  <conditionalFormatting sqref="AC496:AC498">
    <cfRule type="cellIs" dxfId="122" priority="12" operator="greaterThan">
      <formula>0</formula>
    </cfRule>
  </conditionalFormatting>
  <conditionalFormatting sqref="AG410:AI419">
    <cfRule type="cellIs" dxfId="121" priority="31" operator="greaterThan">
      <formula>0</formula>
    </cfRule>
  </conditionalFormatting>
  <conditionalFormatting sqref="AH450:AH453">
    <cfRule type="cellIs" dxfId="120" priority="23" operator="greaterThan">
      <formula>0</formula>
    </cfRule>
  </conditionalFormatting>
  <conditionalFormatting sqref="AH462:AH467">
    <cfRule type="cellIs" dxfId="119" priority="19" operator="greaterThan">
      <formula>0</formula>
    </cfRule>
  </conditionalFormatting>
  <conditionalFormatting sqref="AH421:AI449">
    <cfRule type="cellIs" dxfId="118" priority="27" operator="greaterThan">
      <formula>0</formula>
    </cfRule>
  </conditionalFormatting>
  <conditionalFormatting sqref="AH454:AI461 AH468:AI469">
    <cfRule type="cellIs" dxfId="117" priority="109" operator="greaterThan">
      <formula>0</formula>
    </cfRule>
  </conditionalFormatting>
  <conditionalFormatting sqref="AH470:AI478 AH481:AI481">
    <cfRule type="cellIs" dxfId="116" priority="110" operator="lessThan">
      <formula>0</formula>
    </cfRule>
  </conditionalFormatting>
  <conditionalFormatting sqref="AH479:AI480">
    <cfRule type="cellIs" dxfId="115" priority="16" operator="greaterThan">
      <formula>0</formula>
    </cfRule>
  </conditionalFormatting>
  <conditionalFormatting sqref="AH492:AI498">
    <cfRule type="cellIs" dxfId="114" priority="13" operator="greaterThan">
      <formula>0</formula>
    </cfRule>
  </conditionalFormatting>
  <conditionalFormatting sqref="AI450:AI452">
    <cfRule type="cellIs" dxfId="113" priority="24" operator="greaterThan">
      <formula>0</formula>
    </cfRule>
  </conditionalFormatting>
  <conditionalFormatting sqref="AI464:AI466">
    <cfRule type="cellIs" dxfId="112" priority="20" operator="greaterThan">
      <formula>0</formula>
    </cfRule>
  </conditionalFormatting>
  <conditionalFormatting sqref="AO410:AO419">
    <cfRule type="cellIs" dxfId="111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29"/>
    </sheetView>
  </sheetViews>
  <sheetFormatPr baseColWidth="10" defaultColWidth="12.6640625" defaultRowHeight="15" customHeight="1"/>
  <cols>
    <col min="1" max="1" width="29.1640625" style="592" customWidth="1"/>
    <col min="2" max="2" width="31.1640625" style="592" customWidth="1"/>
    <col min="3" max="3" width="14.6640625" style="592" customWidth="1"/>
    <col min="4" max="11" width="12.83203125" style="592" customWidth="1"/>
    <col min="12" max="12" width="12.83203125" customWidth="1"/>
    <col min="13" max="13" width="39.6640625" customWidth="1"/>
    <col min="14" max="14" width="14.83203125" customWidth="1"/>
    <col min="15" max="15" width="12.83203125" style="499" customWidth="1"/>
    <col min="16" max="16" width="12.83203125" customWidth="1"/>
    <col min="17" max="17" width="17.33203125" customWidth="1"/>
    <col min="18" max="19" width="12.83203125" customWidth="1"/>
    <col min="20" max="20" width="13" customWidth="1"/>
    <col min="21" max="21" width="42.6640625" customWidth="1"/>
    <col min="22" max="22" width="25.33203125" customWidth="1"/>
    <col min="23" max="23" width="16.83203125" customWidth="1"/>
    <col min="24" max="24" width="8.8320312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4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3074</v>
      </c>
      <c r="I2" s="1400">
        <v>19780</v>
      </c>
      <c r="J2" s="1400">
        <v>0</v>
      </c>
      <c r="K2" s="1400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3074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3074</v>
      </c>
      <c r="I4" s="1400">
        <v>107843</v>
      </c>
      <c r="J4" s="1400">
        <v>0</v>
      </c>
      <c r="K4" s="1400">
        <v>107843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107843</v>
      </c>
      <c r="O4" s="151">
        <f>+IF(OR($Q4=Parametres!$G$2,$Q4=Parametres!$G$3),J4,D4)</f>
        <v>0</v>
      </c>
      <c r="P4" s="151">
        <f>+IF(OR($Q4=Parametres!$G$2,$Q4=Parametres!$G$3),K4,E4)</f>
        <v>107843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38"/>
      <c r="D5" s="1038"/>
      <c r="E5" s="1038"/>
      <c r="F5" s="685" t="s">
        <v>1</v>
      </c>
      <c r="G5" s="685" t="s">
        <v>482</v>
      </c>
      <c r="H5" s="686" t="s">
        <v>3074</v>
      </c>
      <c r="I5" s="687">
        <v>260079</v>
      </c>
      <c r="J5" s="687">
        <v>0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260079</v>
      </c>
      <c r="O5" s="496">
        <f>+IF(OR($Q5=Parametres!$G$2,$Q5=Parametres!$G$3),J5,D5)</f>
        <v>0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 t="s">
        <v>3074</v>
      </c>
      <c r="I6" s="640">
        <v>312701</v>
      </c>
      <c r="J6" s="640">
        <v>0</v>
      </c>
      <c r="K6" s="640">
        <v>312701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312701</v>
      </c>
      <c r="O6" s="151">
        <f>+IF(OR($Q6=Parametres!$G$2,$Q6=Parametres!$G$3),J6,D6)</f>
        <v>0</v>
      </c>
      <c r="P6" s="151">
        <f>+IF(OR($Q6=Parametres!$G$2,$Q6=Parametres!$G$3),K6,E6)</f>
        <v>312701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 t="s">
        <v>3074</v>
      </c>
      <c r="I7" s="641">
        <v>0</v>
      </c>
      <c r="J7" s="1400">
        <v>185616</v>
      </c>
      <c r="K7" s="1400">
        <v>185616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0</v>
      </c>
      <c r="O7" s="151">
        <f>+IF(OR($Q7=Parametres!$G$2,$Q7=Parametres!$G$3),J7,D7)</f>
        <v>185616</v>
      </c>
      <c r="P7" s="151">
        <f>+IF(OR($Q7=Parametres!$G$2,$Q7=Parametres!$G$3),K7,E7)</f>
        <v>185616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1244</v>
      </c>
      <c r="B8" s="685" t="s">
        <v>496</v>
      </c>
      <c r="C8" s="687"/>
      <c r="D8" s="687"/>
      <c r="E8" s="687"/>
      <c r="F8" s="685" t="s">
        <v>1</v>
      </c>
      <c r="G8" s="685" t="s">
        <v>2446</v>
      </c>
      <c r="H8" s="634" t="s">
        <v>3074</v>
      </c>
      <c r="I8" s="633">
        <v>0.03</v>
      </c>
      <c r="J8" s="633">
        <v>0</v>
      </c>
      <c r="K8" s="633">
        <v>0.03</v>
      </c>
      <c r="L8" s="149" t="str">
        <f t="shared" si="0"/>
        <v>120A</v>
      </c>
      <c r="M8" s="150" t="str">
        <f t="shared" si="1"/>
        <v>JANV. NB VENTE NEUF BMW AUTO</v>
      </c>
      <c r="N8" s="151">
        <f>+IF(OR($Q8=Parametres!$G$2,$Q8=Parametres!$G$3),I8,C8)</f>
        <v>0.03</v>
      </c>
      <c r="O8" s="151">
        <f>+IF(OR($Q8=Parametres!$G$2,$Q8=Parametres!$G$3),J8,D8)</f>
        <v>0</v>
      </c>
      <c r="P8" s="151">
        <f>+IF(OR($Q8=Parametres!$G$2,$Q8=Parametres!$G$3),K8,E8)</f>
        <v>0.03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1245</v>
      </c>
      <c r="B9" s="685" t="s">
        <v>497</v>
      </c>
      <c r="C9" s="687"/>
      <c r="D9" s="687"/>
      <c r="E9" s="687"/>
      <c r="F9" s="685" t="s">
        <v>1</v>
      </c>
      <c r="G9" s="685" t="s">
        <v>2446</v>
      </c>
      <c r="H9" s="634" t="s">
        <v>3074</v>
      </c>
      <c r="I9" s="633">
        <v>0.02</v>
      </c>
      <c r="J9" s="633">
        <v>0</v>
      </c>
      <c r="K9" s="633">
        <v>0.02</v>
      </c>
      <c r="L9" s="149" t="str">
        <f t="shared" si="0"/>
        <v>120B</v>
      </c>
      <c r="M9" s="150" t="str">
        <f t="shared" si="1"/>
        <v>FEV. NB VENTE NEUF BMW AUTO</v>
      </c>
      <c r="N9" s="151">
        <f>+IF(OR($Q9=Parametres!$G$2,$Q9=Parametres!$G$3),I9,C9)</f>
        <v>0.02</v>
      </c>
      <c r="O9" s="496">
        <f>+IF(OR($Q9=Parametres!$G$2,$Q9=Parametres!$G$3),J9,D9)</f>
        <v>0</v>
      </c>
      <c r="P9" s="151">
        <f>+IF(OR($Q9=Parametres!$G$2,$Q9=Parametres!$G$3),K9,E9)</f>
        <v>0.02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1246</v>
      </c>
      <c r="B10" s="685" t="s">
        <v>498</v>
      </c>
      <c r="C10" s="687"/>
      <c r="D10" s="687"/>
      <c r="E10" s="687"/>
      <c r="F10" s="685" t="s">
        <v>1</v>
      </c>
      <c r="G10" s="685" t="s">
        <v>2446</v>
      </c>
      <c r="H10" s="641" t="s">
        <v>3074</v>
      </c>
      <c r="I10" s="640">
        <v>0.03</v>
      </c>
      <c r="J10" s="640">
        <v>0</v>
      </c>
      <c r="K10" s="640">
        <v>0.03</v>
      </c>
      <c r="L10" s="149" t="str">
        <f t="shared" si="0"/>
        <v>120C</v>
      </c>
      <c r="M10" s="150" t="str">
        <f t="shared" si="1"/>
        <v>MARS NB VENTE NEUF BMW AUTO</v>
      </c>
      <c r="N10" s="151">
        <f>+IF(OR($Q10=Parametres!$G$2,$Q10=Parametres!$G$3),I10,C10)</f>
        <v>0.03</v>
      </c>
      <c r="O10" s="151">
        <f>+IF(OR($Q10=Parametres!$G$2,$Q10=Parametres!$G$3),J10,D10)</f>
        <v>0</v>
      </c>
      <c r="P10" s="151">
        <f>+IF(OR($Q10=Parametres!$G$2,$Q10=Parametres!$G$3),K10,E10)</f>
        <v>0.03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1247</v>
      </c>
      <c r="B11" s="685" t="s">
        <v>988</v>
      </c>
      <c r="C11" s="687"/>
      <c r="D11" s="687"/>
      <c r="E11" s="687"/>
      <c r="F11" s="685" t="s">
        <v>1</v>
      </c>
      <c r="G11" s="685" t="s">
        <v>2446</v>
      </c>
      <c r="H11" s="641" t="s">
        <v>3074</v>
      </c>
      <c r="I11" s="640">
        <v>0.11</v>
      </c>
      <c r="J11" s="640">
        <v>0</v>
      </c>
      <c r="K11" s="640">
        <v>0.11</v>
      </c>
      <c r="L11" s="149" t="str">
        <f t="shared" si="0"/>
        <v>120D</v>
      </c>
      <c r="M11" s="150" t="str">
        <f t="shared" si="1"/>
        <v>AVRIL NB VENTE NEUF BMW AUTO</v>
      </c>
      <c r="N11" s="151">
        <f>+IF(OR($Q11=Parametres!$G$2,$Q11=Parametres!$G$3),I11,C11)</f>
        <v>0.11</v>
      </c>
      <c r="O11" s="151">
        <f>+IF(OR($Q11=Parametres!$G$2,$Q11=Parametres!$G$3),J11,D11)</f>
        <v>0</v>
      </c>
      <c r="P11" s="151">
        <f>+IF(OR($Q11=Parametres!$G$2,$Q11=Parametres!$G$3),K11,E11)</f>
        <v>0.11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1248</v>
      </c>
      <c r="B12" s="685" t="s">
        <v>499</v>
      </c>
      <c r="C12" s="1038"/>
      <c r="D12" s="1038"/>
      <c r="E12" s="1038"/>
      <c r="F12" s="685" t="s">
        <v>1</v>
      </c>
      <c r="G12" s="685" t="s">
        <v>2446</v>
      </c>
      <c r="H12" s="686" t="s">
        <v>3074</v>
      </c>
      <c r="I12" s="687">
        <v>0.17</v>
      </c>
      <c r="J12" s="687">
        <v>0</v>
      </c>
      <c r="K12" s="687">
        <v>0.17</v>
      </c>
      <c r="L12" s="149" t="str">
        <f t="shared" si="0"/>
        <v>120E</v>
      </c>
      <c r="M12" s="150" t="str">
        <f t="shared" si="1"/>
        <v>MAI NB VENTE NEUF BMW AUTO</v>
      </c>
      <c r="N12" s="151">
        <f>+IF(OR($Q12=Parametres!$G$2,$Q12=Parametres!$G$3),I12,C12)</f>
        <v>0.17</v>
      </c>
      <c r="O12" s="151">
        <f>+IF(OR($Q12=Parametres!$G$2,$Q12=Parametres!$G$3),J12,D12)</f>
        <v>0</v>
      </c>
      <c r="P12" s="151">
        <f>+IF(OR($Q12=Parametres!$G$2,$Q12=Parametres!$G$3),K12,E12)</f>
        <v>0.17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120E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1249</v>
      </c>
      <c r="B13" s="685" t="s">
        <v>500</v>
      </c>
      <c r="C13" s="687"/>
      <c r="D13" s="687"/>
      <c r="E13" s="687"/>
      <c r="F13" s="685" t="s">
        <v>1</v>
      </c>
      <c r="G13" s="685" t="s">
        <v>2446</v>
      </c>
      <c r="H13" s="641" t="s">
        <v>3074</v>
      </c>
      <c r="I13" s="640">
        <v>0.1</v>
      </c>
      <c r="J13" s="640">
        <v>0</v>
      </c>
      <c r="K13" s="640">
        <v>0.1</v>
      </c>
      <c r="L13" s="149" t="str">
        <f t="shared" si="0"/>
        <v>120F</v>
      </c>
      <c r="M13" s="150" t="str">
        <f t="shared" si="1"/>
        <v>JUIN NB VENTE NEUF BMW AUTO</v>
      </c>
      <c r="N13" s="151">
        <f>+IF(OR($Q13=Parametres!$G$2,$Q13=Parametres!$G$3),I13,C13)</f>
        <v>0.1</v>
      </c>
      <c r="O13" s="151">
        <f>+IF(OR($Q13=Parametres!$G$2,$Q13=Parametres!$G$3),J13,D13)</f>
        <v>0</v>
      </c>
      <c r="P13" s="151">
        <f>+IF(OR($Q13=Parametres!$G$2,$Q13=Parametres!$G$3),K13,E13)</f>
        <v>0.1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120F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1250</v>
      </c>
      <c r="B14" s="685" t="s">
        <v>501</v>
      </c>
      <c r="C14" s="687"/>
      <c r="D14" s="687"/>
      <c r="E14" s="687"/>
      <c r="F14" s="685" t="s">
        <v>1</v>
      </c>
      <c r="G14" s="685" t="s">
        <v>2446</v>
      </c>
      <c r="H14" s="641" t="s">
        <v>3074</v>
      </c>
      <c r="I14" s="640">
        <v>0</v>
      </c>
      <c r="J14" s="640">
        <v>0.09</v>
      </c>
      <c r="K14" s="640">
        <v>0.09</v>
      </c>
      <c r="L14" s="149" t="str">
        <f t="shared" si="0"/>
        <v>120G</v>
      </c>
      <c r="M14" s="150" t="str">
        <f t="shared" si="1"/>
        <v>JUIL. NB VENTE NEUF BMW AUTO</v>
      </c>
      <c r="N14" s="151">
        <f>+IF(OR($Q14=Parametres!$G$2,$Q14=Parametres!$G$3),I14,C14)</f>
        <v>0</v>
      </c>
      <c r="O14" s="151">
        <f>+IF(OR($Q14=Parametres!$G$2,$Q14=Parametres!$G$3),J14,D14)</f>
        <v>0.09</v>
      </c>
      <c r="P14" s="151">
        <f>+IF(OR($Q14=Parametres!$G$2,$Q14=Parametres!$G$3),K14,E14)</f>
        <v>0.09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120G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1997</v>
      </c>
      <c r="B15" s="685" t="s">
        <v>1998</v>
      </c>
      <c r="C15" s="1038"/>
      <c r="D15" s="1038"/>
      <c r="E15" s="1038"/>
      <c r="F15" s="685" t="s">
        <v>1</v>
      </c>
      <c r="G15" s="685" t="s">
        <v>2466</v>
      </c>
      <c r="H15" s="686" t="s">
        <v>3074</v>
      </c>
      <c r="I15" s="687">
        <v>0.02</v>
      </c>
      <c r="J15" s="687">
        <v>0</v>
      </c>
      <c r="K15" s="687">
        <v>0.02</v>
      </c>
      <c r="L15" s="149" t="str">
        <f t="shared" si="0"/>
        <v>122A</v>
      </c>
      <c r="M15" s="150" t="str">
        <f t="shared" si="1"/>
        <v>JANV. NB VENTE NEUF BMW I</v>
      </c>
      <c r="N15" s="151">
        <f>+IF(OR($Q15=Parametres!$G$2,$Q15=Parametres!$G$3),I15,C15)</f>
        <v>0.02</v>
      </c>
      <c r="O15" s="151">
        <f>+IF(OR($Q15=Parametres!$G$2,$Q15=Parametres!$G$3),J15,D15)</f>
        <v>0</v>
      </c>
      <c r="P15" s="151">
        <f>+IF(OR($Q15=Parametres!$G$2,$Q15=Parametres!$G$3),K15,E15)</f>
        <v>0.02</v>
      </c>
      <c r="Q15" s="150" t="str">
        <f t="shared" si="2"/>
        <v>1-Mémo</v>
      </c>
      <c r="R15" s="149" t="str">
        <f t="shared" si="3"/>
        <v>122</v>
      </c>
      <c r="S15" s="150" t="str">
        <f t="shared" si="4"/>
        <v>_</v>
      </c>
      <c r="T15" s="152" t="str">
        <f>+VLOOKUP($L15,Data_Validation!$A:$D,1,0)</f>
        <v>122A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1067</v>
      </c>
      <c r="B16" s="685" t="s">
        <v>508</v>
      </c>
      <c r="C16" s="1038"/>
      <c r="D16" s="1038"/>
      <c r="E16" s="1038"/>
      <c r="F16" s="685" t="s">
        <v>1</v>
      </c>
      <c r="G16" s="685" t="s">
        <v>2466</v>
      </c>
      <c r="H16" s="686" t="s">
        <v>3074</v>
      </c>
      <c r="I16" s="687">
        <v>0.05</v>
      </c>
      <c r="J16" s="687">
        <v>0</v>
      </c>
      <c r="K16" s="687">
        <v>0.05</v>
      </c>
      <c r="L16" s="149" t="str">
        <f t="shared" si="0"/>
        <v>122B</v>
      </c>
      <c r="M16" s="150" t="str">
        <f t="shared" si="1"/>
        <v>FEV. NB VENTE NEUF BMW I</v>
      </c>
      <c r="N16" s="151">
        <f>+IF(OR($Q16=Parametres!$G$2,$Q16=Parametres!$G$3),I16,C16)</f>
        <v>0.05</v>
      </c>
      <c r="O16" s="497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122</v>
      </c>
      <c r="S16" s="150" t="str">
        <f t="shared" si="4"/>
        <v>_</v>
      </c>
      <c r="T16" s="152" t="str">
        <f>+VLOOKUP($L16,Data_Validation!$A:$D,1,0)</f>
        <v>122B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1257</v>
      </c>
      <c r="B17" s="685" t="s">
        <v>1258</v>
      </c>
      <c r="C17" s="687"/>
      <c r="D17" s="687"/>
      <c r="E17" s="687"/>
      <c r="F17" s="685" t="s">
        <v>1</v>
      </c>
      <c r="G17" s="685" t="s">
        <v>2466</v>
      </c>
      <c r="H17" s="641" t="s">
        <v>3074</v>
      </c>
      <c r="I17" s="640">
        <v>0.05</v>
      </c>
      <c r="J17" s="640">
        <v>0</v>
      </c>
      <c r="K17" s="640">
        <v>0.05</v>
      </c>
      <c r="L17" s="149" t="str">
        <f t="shared" si="0"/>
        <v>122C</v>
      </c>
      <c r="M17" s="150" t="str">
        <f t="shared" si="1"/>
        <v>MARS NB VENTE NEUF BMW I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122C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2047</v>
      </c>
      <c r="B18" s="685" t="s">
        <v>2048</v>
      </c>
      <c r="C18" s="687"/>
      <c r="D18" s="687"/>
      <c r="E18" s="687"/>
      <c r="F18" s="685" t="s">
        <v>1</v>
      </c>
      <c r="G18" s="685" t="s">
        <v>2466</v>
      </c>
      <c r="H18" s="634" t="s">
        <v>3074</v>
      </c>
      <c r="I18" s="633">
        <v>0.03</v>
      </c>
      <c r="J18" s="633">
        <v>0</v>
      </c>
      <c r="K18" s="633">
        <v>0.03</v>
      </c>
      <c r="L18" s="149" t="str">
        <f t="shared" si="0"/>
        <v>122E</v>
      </c>
      <c r="M18" s="150" t="str">
        <f t="shared" si="1"/>
        <v>MAI NB VENTE NEUF BMW I</v>
      </c>
      <c r="N18" s="151">
        <f>+IF(OR($Q18=Parametres!$G$2,$Q18=Parametres!$G$3),I18,C18)</f>
        <v>0.03</v>
      </c>
      <c r="O18" s="151">
        <f>+IF(OR($Q18=Parametres!$G$2,$Q18=Parametres!$G$3),J18,D18)</f>
        <v>0</v>
      </c>
      <c r="P18" s="151">
        <f>+IF(OR($Q18=Parametres!$G$2,$Q18=Parametres!$G$3),K18,E18)</f>
        <v>0.03</v>
      </c>
      <c r="Q18" s="150" t="str">
        <f t="shared" si="2"/>
        <v>1-Mémo</v>
      </c>
      <c r="R18" s="149" t="str">
        <f t="shared" si="3"/>
        <v>122</v>
      </c>
      <c r="S18" s="150" t="str">
        <f t="shared" si="4"/>
        <v>_</v>
      </c>
      <c r="T18" s="152" t="str">
        <f>+VLOOKUP($L18,Data_Validation!$A:$D,1,0)</f>
        <v>122E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2076</v>
      </c>
      <c r="B19" s="685" t="s">
        <v>2077</v>
      </c>
      <c r="C19" s="687"/>
      <c r="D19" s="687"/>
      <c r="E19" s="687"/>
      <c r="F19" s="685" t="s">
        <v>1</v>
      </c>
      <c r="G19" s="685" t="s">
        <v>2466</v>
      </c>
      <c r="H19" s="641" t="s">
        <v>3074</v>
      </c>
      <c r="I19" s="640">
        <v>0.03</v>
      </c>
      <c r="J19" s="640">
        <v>0</v>
      </c>
      <c r="K19" s="640">
        <v>0.03</v>
      </c>
      <c r="L19" s="149" t="str">
        <f t="shared" si="0"/>
        <v>122F</v>
      </c>
      <c r="M19" s="150" t="str">
        <f t="shared" si="1"/>
        <v>JUIN NB VENTE NEUF BMW I</v>
      </c>
      <c r="N19" s="151">
        <f>+IF(OR($Q19=Parametres!$G$2,$Q19=Parametres!$G$3),I19,C19)</f>
        <v>0.03</v>
      </c>
      <c r="O19" s="151">
        <f>+IF(OR($Q19=Parametres!$G$2,$Q19=Parametres!$G$3),J19,D19)</f>
        <v>0</v>
      </c>
      <c r="P19" s="151">
        <f>+IF(OR($Q19=Parametres!$G$2,$Q19=Parametres!$G$3),K19,E19)</f>
        <v>0.03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122F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1259</v>
      </c>
      <c r="B20" s="685" t="s">
        <v>509</v>
      </c>
      <c r="C20" s="687"/>
      <c r="D20" s="687"/>
      <c r="E20" s="687"/>
      <c r="F20" s="685" t="s">
        <v>1</v>
      </c>
      <c r="G20" s="685" t="s">
        <v>2447</v>
      </c>
      <c r="H20" s="593" t="s">
        <v>3074</v>
      </c>
      <c r="I20" s="594">
        <v>0.09</v>
      </c>
      <c r="J20" s="594">
        <v>0</v>
      </c>
      <c r="K20" s="594">
        <v>0.09</v>
      </c>
      <c r="L20" s="149" t="str">
        <f t="shared" si="0"/>
        <v>124A</v>
      </c>
      <c r="M20" s="150" t="str">
        <f t="shared" si="1"/>
        <v>JANV. NB VENTE USAGE DETAIL</v>
      </c>
      <c r="N20" s="151">
        <f>+IF(OR($Q20=Parametres!$G$2,$Q20=Parametres!$G$3),I20,C20)</f>
        <v>0.09</v>
      </c>
      <c r="O20" s="151">
        <f>+IF(OR($Q20=Parametres!$G$2,$Q20=Parametres!$G$3),J20,D20)</f>
        <v>0</v>
      </c>
      <c r="P20" s="151">
        <f>+IF(OR($Q20=Parametres!$G$2,$Q20=Parametres!$G$3),K20,E20)</f>
        <v>0.09</v>
      </c>
      <c r="Q20" s="150" t="str">
        <f t="shared" si="2"/>
        <v>1-Mémo</v>
      </c>
      <c r="R20" s="149" t="str">
        <f t="shared" si="3"/>
        <v>124</v>
      </c>
      <c r="S20" s="150" t="str">
        <f t="shared" si="4"/>
        <v>_</v>
      </c>
      <c r="T20" s="152" t="str">
        <f>+VLOOKUP($L20,Data_Validation!$A:$D,1,0)</f>
        <v>124A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1260</v>
      </c>
      <c r="B21" s="685" t="s">
        <v>510</v>
      </c>
      <c r="C21" s="687"/>
      <c r="D21" s="687"/>
      <c r="E21" s="687"/>
      <c r="F21" s="685" t="s">
        <v>1</v>
      </c>
      <c r="G21" s="685" t="s">
        <v>2447</v>
      </c>
      <c r="H21" s="641" t="s">
        <v>3074</v>
      </c>
      <c r="I21" s="640">
        <v>0.16</v>
      </c>
      <c r="J21" s="640">
        <v>0</v>
      </c>
      <c r="K21" s="640">
        <v>0.16</v>
      </c>
      <c r="L21" s="149" t="str">
        <f t="shared" si="0"/>
        <v>124B</v>
      </c>
      <c r="M21" s="150" t="str">
        <f t="shared" si="1"/>
        <v>FEV. NB VENTE USAGE DETAIL</v>
      </c>
      <c r="N21" s="151">
        <f>+IF(OR($Q21=Parametres!$G$2,$Q21=Parametres!$G$3),I21,C21)</f>
        <v>0.16</v>
      </c>
      <c r="O21" s="151">
        <f>+IF(OR($Q21=Parametres!$G$2,$Q21=Parametres!$G$3),J21,D21)</f>
        <v>0</v>
      </c>
      <c r="P21" s="151">
        <f>+IF(OR($Q21=Parametres!$G$2,$Q21=Parametres!$G$3),K21,E21)</f>
        <v>0.16</v>
      </c>
      <c r="Q21" s="150" t="str">
        <f t="shared" si="2"/>
        <v>1-Mémo</v>
      </c>
      <c r="R21" s="149" t="str">
        <f t="shared" si="3"/>
        <v>124</v>
      </c>
      <c r="S21" s="150" t="str">
        <f t="shared" si="4"/>
        <v>_</v>
      </c>
      <c r="T21" s="152" t="str">
        <f>+VLOOKUP($L21,Data_Validation!$A:$D,1,0)</f>
        <v>124B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1261</v>
      </c>
      <c r="B22" s="685" t="s">
        <v>511</v>
      </c>
      <c r="C22" s="1038"/>
      <c r="D22" s="1038"/>
      <c r="E22" s="1038"/>
      <c r="F22" s="685" t="s">
        <v>1</v>
      </c>
      <c r="G22" s="685" t="s">
        <v>2447</v>
      </c>
      <c r="H22" s="686" t="s">
        <v>3074</v>
      </c>
      <c r="I22" s="687">
        <v>0.15</v>
      </c>
      <c r="J22" s="687">
        <v>0</v>
      </c>
      <c r="K22" s="687">
        <v>0.15</v>
      </c>
      <c r="L22" s="149" t="str">
        <f t="shared" si="0"/>
        <v>124C</v>
      </c>
      <c r="M22" s="150" t="str">
        <f t="shared" si="1"/>
        <v>MARS NB VENTE USAGE DETAIL</v>
      </c>
      <c r="N22" s="151">
        <f>+IF(OR($Q22=Parametres!$G$2,$Q22=Parametres!$G$3),I22,C22)</f>
        <v>0.15</v>
      </c>
      <c r="O22" s="151">
        <f>+IF(OR($Q22=Parametres!$G$2,$Q22=Parametres!$G$3),J22,D22)</f>
        <v>0</v>
      </c>
      <c r="P22" s="151">
        <f>+IF(OR($Q22=Parametres!$G$2,$Q22=Parametres!$G$3),K22,E22)</f>
        <v>0.15</v>
      </c>
      <c r="Q22" s="150" t="str">
        <f t="shared" si="2"/>
        <v>1-Mémo</v>
      </c>
      <c r="R22" s="149" t="str">
        <f t="shared" si="3"/>
        <v>124</v>
      </c>
      <c r="S22" s="150" t="str">
        <f t="shared" si="4"/>
        <v>_</v>
      </c>
      <c r="T22" s="152" t="str">
        <f>+VLOOKUP($L22,Data_Validation!$A:$D,1,0)</f>
        <v>124C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1262</v>
      </c>
      <c r="B23" s="685" t="s">
        <v>512</v>
      </c>
      <c r="C23" s="687"/>
      <c r="D23" s="687"/>
      <c r="E23" s="687"/>
      <c r="F23" s="685" t="s">
        <v>1</v>
      </c>
      <c r="G23" s="685" t="s">
        <v>2447</v>
      </c>
      <c r="H23" s="641" t="s">
        <v>3074</v>
      </c>
      <c r="I23" s="640">
        <v>0.1</v>
      </c>
      <c r="J23" s="640">
        <v>0</v>
      </c>
      <c r="K23" s="640">
        <v>0.1</v>
      </c>
      <c r="L23" s="149" t="str">
        <f t="shared" si="0"/>
        <v>124D</v>
      </c>
      <c r="M23" s="150" t="str">
        <f t="shared" si="1"/>
        <v>AVRIL NB VENTE USAGE DETAIL</v>
      </c>
      <c r="N23" s="151">
        <f>+IF(OR($Q23=Parametres!$G$2,$Q23=Parametres!$G$3),I23,C23)</f>
        <v>0.1</v>
      </c>
      <c r="O23" s="151">
        <f>+IF(OR($Q23=Parametres!$G$2,$Q23=Parametres!$G$3),J23,D23)</f>
        <v>0</v>
      </c>
      <c r="P23" s="151">
        <f>+IF(OR($Q23=Parametres!$G$2,$Q23=Parametres!$G$3),K23,E23)</f>
        <v>0.1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1263</v>
      </c>
      <c r="B24" s="685" t="s">
        <v>513</v>
      </c>
      <c r="C24" s="687"/>
      <c r="D24" s="687"/>
      <c r="E24" s="687"/>
      <c r="F24" s="685" t="s">
        <v>1</v>
      </c>
      <c r="G24" s="685" t="s">
        <v>2447</v>
      </c>
      <c r="H24" s="641" t="s">
        <v>3074</v>
      </c>
      <c r="I24" s="1400">
        <v>0.24</v>
      </c>
      <c r="J24" s="1400">
        <v>0</v>
      </c>
      <c r="K24" s="1400">
        <v>0.24</v>
      </c>
      <c r="L24" s="149" t="str">
        <f t="shared" si="0"/>
        <v>124E</v>
      </c>
      <c r="M24" s="150" t="str">
        <f t="shared" si="1"/>
        <v>MAI NB VENTE USAGE DETAIL</v>
      </c>
      <c r="N24" s="151">
        <f>+IF(OR($Q24=Parametres!$G$2,$Q24=Parametres!$G$3),I24,C24)</f>
        <v>0.24</v>
      </c>
      <c r="O24" s="151">
        <f>+IF(OR($Q24=Parametres!$G$2,$Q24=Parametres!$G$3),J24,D24)</f>
        <v>0</v>
      </c>
      <c r="P24" s="151">
        <f>+IF(OR($Q24=Parametres!$G$2,$Q24=Parametres!$G$3),K24,E24)</f>
        <v>0.24</v>
      </c>
      <c r="Q24" s="150" t="str">
        <f t="shared" si="2"/>
        <v>1-Mémo</v>
      </c>
      <c r="R24" s="149" t="str">
        <f t="shared" si="3"/>
        <v>124</v>
      </c>
      <c r="S24" s="150" t="str">
        <f t="shared" si="4"/>
        <v>_</v>
      </c>
      <c r="T24" s="152" t="str">
        <f>+VLOOKUP($L24,Data_Validation!$A:$D,1,0)</f>
        <v>124E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1264</v>
      </c>
      <c r="B25" s="685" t="s">
        <v>514</v>
      </c>
      <c r="C25" s="687"/>
      <c r="D25" s="687"/>
      <c r="E25" s="687"/>
      <c r="F25" s="685" t="s">
        <v>1</v>
      </c>
      <c r="G25" s="685" t="s">
        <v>2447</v>
      </c>
      <c r="H25" s="634" t="s">
        <v>3074</v>
      </c>
      <c r="I25" s="633">
        <v>0.28999999999999998</v>
      </c>
      <c r="J25" s="633">
        <v>0</v>
      </c>
      <c r="K25" s="633">
        <v>0.28999999999999998</v>
      </c>
      <c r="L25" s="149" t="str">
        <f t="shared" si="0"/>
        <v>124F</v>
      </c>
      <c r="M25" s="150" t="str">
        <f t="shared" si="1"/>
        <v>JUIN NB VENTE USAGE DETAIL</v>
      </c>
      <c r="N25" s="151">
        <f>+IF(OR($Q25=Parametres!$G$2,$Q25=Parametres!$G$3),I25,C25)</f>
        <v>0.28999999999999998</v>
      </c>
      <c r="O25" s="151">
        <f>+IF(OR($Q25=Parametres!$G$2,$Q25=Parametres!$G$3),J25,D25)</f>
        <v>0</v>
      </c>
      <c r="P25" s="151">
        <f>+IF(OR($Q25=Parametres!$G$2,$Q25=Parametres!$G$3),K25,E25)</f>
        <v>0.28999999999999998</v>
      </c>
      <c r="Q25" s="150" t="str">
        <f t="shared" si="2"/>
        <v>1-Mémo</v>
      </c>
      <c r="R25" s="149" t="str">
        <f t="shared" si="3"/>
        <v>124</v>
      </c>
      <c r="S25" s="150" t="str">
        <f t="shared" si="4"/>
        <v>_</v>
      </c>
      <c r="T25" s="152" t="str">
        <f>+VLOOKUP($L25,Data_Validation!$A:$D,1,0)</f>
        <v>124F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1265</v>
      </c>
      <c r="B26" s="685" t="s">
        <v>515</v>
      </c>
      <c r="C26" s="687"/>
      <c r="D26" s="687"/>
      <c r="E26" s="687"/>
      <c r="F26" s="685" t="s">
        <v>1</v>
      </c>
      <c r="G26" s="685" t="s">
        <v>2447</v>
      </c>
      <c r="H26" s="641" t="s">
        <v>3074</v>
      </c>
      <c r="I26" s="640">
        <v>0</v>
      </c>
      <c r="J26" s="640">
        <v>0.28000000000000003</v>
      </c>
      <c r="K26" s="640">
        <v>0.28000000000000003</v>
      </c>
      <c r="L26" s="149" t="str">
        <f t="shared" si="0"/>
        <v>124G</v>
      </c>
      <c r="M26" s="150" t="str">
        <f t="shared" si="1"/>
        <v>JUIL. NB VENTE UDAGE DETAIL</v>
      </c>
      <c r="N26" s="151">
        <f>+IF(OR($Q26=Parametres!$G$2,$Q26=Parametres!$G$3),I26,C26)</f>
        <v>0</v>
      </c>
      <c r="O26" s="151">
        <f>+IF(OR($Q26=Parametres!$G$2,$Q26=Parametres!$G$3),J26,D26)</f>
        <v>0.28000000000000003</v>
      </c>
      <c r="P26" s="151">
        <f>+IF(OR($Q26=Parametres!$G$2,$Q26=Parametres!$G$3),K26,E26)</f>
        <v>0.28000000000000003</v>
      </c>
      <c r="Q26" s="150" t="str">
        <f t="shared" si="2"/>
        <v>1-Mémo</v>
      </c>
      <c r="R26" s="149" t="str">
        <f t="shared" si="3"/>
        <v>124</v>
      </c>
      <c r="S26" s="150" t="str">
        <f t="shared" si="4"/>
        <v>_</v>
      </c>
      <c r="T26" s="152" t="str">
        <f>+VLOOKUP($L26,Data_Validation!$A:$D,1,0)</f>
        <v>124G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1270</v>
      </c>
      <c r="B27" s="685" t="s">
        <v>520</v>
      </c>
      <c r="C27" s="687"/>
      <c r="D27" s="687"/>
      <c r="E27" s="687"/>
      <c r="F27" s="685" t="s">
        <v>1</v>
      </c>
      <c r="G27" s="685" t="s">
        <v>2448</v>
      </c>
      <c r="H27" s="641" t="s">
        <v>3074</v>
      </c>
      <c r="I27" s="640">
        <v>0.15</v>
      </c>
      <c r="J27" s="640">
        <v>0</v>
      </c>
      <c r="K27" s="640">
        <v>0.15</v>
      </c>
      <c r="L27" s="149" t="str">
        <f t="shared" si="0"/>
        <v>126A</v>
      </c>
      <c r="M27" s="150" t="str">
        <f t="shared" si="1"/>
        <v>JANV. NB VENTE NEUF BMW CAMION</v>
      </c>
      <c r="N27" s="151">
        <f>+IF(OR($Q27=Parametres!$G$2,$Q27=Parametres!$G$3),I27,C27)</f>
        <v>0.15</v>
      </c>
      <c r="O27" s="151">
        <f>+IF(OR($Q27=Parametres!$G$2,$Q27=Parametres!$G$3),J27,D27)</f>
        <v>0</v>
      </c>
      <c r="P27" s="151">
        <f>+IF(OR($Q27=Parametres!$G$2,$Q27=Parametres!$G$3),K27,E27)</f>
        <v>0.15</v>
      </c>
      <c r="Q27" s="150" t="str">
        <f t="shared" si="2"/>
        <v>1-Mémo</v>
      </c>
      <c r="R27" s="149" t="str">
        <f t="shared" si="3"/>
        <v>126</v>
      </c>
      <c r="S27" s="150" t="str">
        <f t="shared" si="4"/>
        <v>_</v>
      </c>
      <c r="T27" s="152" t="str">
        <f>+VLOOKUP($L27,Data_Validation!$A:$D,1,0)</f>
        <v>126A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1271</v>
      </c>
      <c r="B28" s="639" t="s">
        <v>521</v>
      </c>
      <c r="C28" s="640"/>
      <c r="D28" s="640"/>
      <c r="E28" s="640"/>
      <c r="F28" s="639" t="s">
        <v>1</v>
      </c>
      <c r="G28" s="639" t="s">
        <v>2448</v>
      </c>
      <c r="H28" s="634" t="s">
        <v>3074</v>
      </c>
      <c r="I28" s="633">
        <v>0.14000000000000001</v>
      </c>
      <c r="J28" s="633">
        <v>0</v>
      </c>
      <c r="K28" s="633">
        <v>0.14000000000000001</v>
      </c>
      <c r="L28" s="149" t="str">
        <f t="shared" si="0"/>
        <v>126B</v>
      </c>
      <c r="M28" s="150" t="str">
        <f t="shared" si="1"/>
        <v>FEV. NB VENTE NEUF BMW CAMION</v>
      </c>
      <c r="N28" s="151">
        <f>+IF(OR($Q28=Parametres!$G$2,$Q28=Parametres!$G$3),I28,C28)</f>
        <v>0.14000000000000001</v>
      </c>
      <c r="O28" s="151">
        <f>+IF(OR($Q28=Parametres!$G$2,$Q28=Parametres!$G$3),J28,D28)</f>
        <v>0</v>
      </c>
      <c r="P28" s="151">
        <f>+IF(OR($Q28=Parametres!$G$2,$Q28=Parametres!$G$3),K28,E28)</f>
        <v>0.14000000000000001</v>
      </c>
      <c r="Q28" s="150" t="str">
        <f t="shared" si="2"/>
        <v>1-Mémo</v>
      </c>
      <c r="R28" s="149" t="str">
        <f t="shared" si="3"/>
        <v>126</v>
      </c>
      <c r="S28" s="150" t="str">
        <f t="shared" si="4"/>
        <v>_</v>
      </c>
      <c r="T28" s="152" t="str">
        <f>+VLOOKUP($L28,Data_Validation!$A:$D,1,0)</f>
        <v>126B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1272</v>
      </c>
      <c r="B29" s="685" t="s">
        <v>522</v>
      </c>
      <c r="C29" s="1038"/>
      <c r="D29" s="1038"/>
      <c r="E29" s="1038"/>
      <c r="F29" s="685" t="s">
        <v>1</v>
      </c>
      <c r="G29" s="685" t="s">
        <v>2448</v>
      </c>
      <c r="H29" s="686" t="s">
        <v>3074</v>
      </c>
      <c r="I29" s="687">
        <v>0.1</v>
      </c>
      <c r="J29" s="687">
        <v>0</v>
      </c>
      <c r="K29" s="687">
        <v>0.1</v>
      </c>
      <c r="L29" s="149" t="str">
        <f t="shared" si="0"/>
        <v>126C</v>
      </c>
      <c r="M29" s="150" t="str">
        <f t="shared" si="1"/>
        <v>MARS NB VENTE NEUF BMW CAMION</v>
      </c>
      <c r="N29" s="151">
        <f>+IF(OR($Q29=Parametres!$G$2,$Q29=Parametres!$G$3),I29,C29)</f>
        <v>0.1</v>
      </c>
      <c r="O29" s="497">
        <f>+IF(OR($Q29=Parametres!$G$2,$Q29=Parametres!$G$3),J29,D29)</f>
        <v>0</v>
      </c>
      <c r="P29" s="151">
        <f>+IF(OR($Q29=Parametres!$G$2,$Q29=Parametres!$G$3),K29,E29)</f>
        <v>0.1</v>
      </c>
      <c r="Q29" s="150" t="str">
        <f t="shared" si="2"/>
        <v>1-Mémo</v>
      </c>
      <c r="R29" s="149" t="str">
        <f t="shared" si="3"/>
        <v>126</v>
      </c>
      <c r="S29" s="150" t="str">
        <f t="shared" si="4"/>
        <v>_</v>
      </c>
      <c r="T29" s="152" t="str">
        <f>+VLOOKUP($L29,Data_Validation!$A:$D,1,0)</f>
        <v>126C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1273</v>
      </c>
      <c r="B30" s="685" t="s">
        <v>523</v>
      </c>
      <c r="C30" s="1038"/>
      <c r="D30" s="1038"/>
      <c r="E30" s="1038"/>
      <c r="F30" s="685" t="s">
        <v>1</v>
      </c>
      <c r="G30" s="685" t="s">
        <v>2448</v>
      </c>
      <c r="H30" s="686" t="s">
        <v>3074</v>
      </c>
      <c r="I30" s="687">
        <v>0.2</v>
      </c>
      <c r="J30" s="687">
        <v>0</v>
      </c>
      <c r="K30" s="687">
        <v>0.2</v>
      </c>
      <c r="L30" s="149" t="str">
        <f t="shared" si="0"/>
        <v>126D</v>
      </c>
      <c r="M30" s="150" t="str">
        <f t="shared" si="1"/>
        <v>AVRIL NB VENTE NEUF BMW CAMION</v>
      </c>
      <c r="N30" s="151">
        <f>+IF(OR($Q30=Parametres!$G$2,$Q30=Parametres!$G$3),I30,C30)</f>
        <v>0.2</v>
      </c>
      <c r="O30" s="496">
        <f>+IF(OR($Q30=Parametres!$G$2,$Q30=Parametres!$G$3),J30,D30)</f>
        <v>0</v>
      </c>
      <c r="P30" s="151">
        <f>+IF(OR($Q30=Parametres!$G$2,$Q30=Parametres!$G$3),K30,E30)</f>
        <v>0.2</v>
      </c>
      <c r="Q30" s="150" t="str">
        <f t="shared" si="2"/>
        <v>1-Mémo</v>
      </c>
      <c r="R30" s="149" t="str">
        <f t="shared" si="3"/>
        <v>126</v>
      </c>
      <c r="S30" s="150" t="str">
        <f t="shared" si="4"/>
        <v>_</v>
      </c>
      <c r="T30" s="152" t="str">
        <f>+VLOOKUP($L30,Data_Validation!$A:$D,1,0)</f>
        <v>126D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1274</v>
      </c>
      <c r="B31" s="685" t="s">
        <v>524</v>
      </c>
      <c r="C31" s="687"/>
      <c r="D31" s="687"/>
      <c r="E31" s="687"/>
      <c r="F31" s="685" t="s">
        <v>1</v>
      </c>
      <c r="G31" s="685" t="s">
        <v>2448</v>
      </c>
      <c r="H31" s="595" t="s">
        <v>3074</v>
      </c>
      <c r="I31" s="594">
        <v>0.23</v>
      </c>
      <c r="J31" s="594">
        <v>0</v>
      </c>
      <c r="K31" s="594">
        <v>0.23</v>
      </c>
      <c r="L31" s="149" t="str">
        <f t="shared" si="0"/>
        <v>126E</v>
      </c>
      <c r="M31" s="150" t="str">
        <f t="shared" si="1"/>
        <v>MAI NB VENTE NEUF BMW CAMION</v>
      </c>
      <c r="N31" s="151">
        <f>+IF(OR($Q31=Parametres!$G$2,$Q31=Parametres!$G$3),I31,C31)</f>
        <v>0.23</v>
      </c>
      <c r="O31" s="151">
        <f>+IF(OR($Q31=Parametres!$G$2,$Q31=Parametres!$G$3),J31,D31)</f>
        <v>0</v>
      </c>
      <c r="P31" s="151">
        <f>+IF(OR($Q31=Parametres!$G$2,$Q31=Parametres!$G$3),K31,E31)</f>
        <v>0.23</v>
      </c>
      <c r="Q31" s="150" t="str">
        <f t="shared" si="2"/>
        <v>1-Mémo</v>
      </c>
      <c r="R31" s="149" t="str">
        <f t="shared" si="3"/>
        <v>126</v>
      </c>
      <c r="S31" s="150" t="str">
        <f t="shared" si="4"/>
        <v>_</v>
      </c>
      <c r="T31" s="152" t="str">
        <f>+VLOOKUP($L31,Data_Validation!$A:$D,1,0)</f>
        <v>126E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1275</v>
      </c>
      <c r="B32" s="685" t="s">
        <v>525</v>
      </c>
      <c r="C32" s="687"/>
      <c r="D32" s="687"/>
      <c r="E32" s="687"/>
      <c r="F32" s="685" t="s">
        <v>1</v>
      </c>
      <c r="G32" s="685" t="s">
        <v>2448</v>
      </c>
      <c r="H32" s="634" t="s">
        <v>3074</v>
      </c>
      <c r="I32" s="633">
        <v>0.17</v>
      </c>
      <c r="J32" s="633">
        <v>0</v>
      </c>
      <c r="K32" s="633">
        <v>0.17</v>
      </c>
      <c r="L32" s="149" t="str">
        <f t="shared" si="0"/>
        <v>126F</v>
      </c>
      <c r="M32" s="150" t="str">
        <f t="shared" si="1"/>
        <v>JUIN NB VENTE NEUF BMW CAMION</v>
      </c>
      <c r="N32" s="151">
        <f>+IF(OR($Q32=Parametres!$G$2,$Q32=Parametres!$G$3),I32,C32)</f>
        <v>0.17</v>
      </c>
      <c r="O32" s="151">
        <f>+IF(OR($Q32=Parametres!$G$2,$Q32=Parametres!$G$3),J32,D32)</f>
        <v>0</v>
      </c>
      <c r="P32" s="151">
        <f>+IF(OR($Q32=Parametres!$G$2,$Q32=Parametres!$G$3),K32,E32)</f>
        <v>0.17</v>
      </c>
      <c r="Q32" s="150" t="str">
        <f t="shared" si="2"/>
        <v>1-Mémo</v>
      </c>
      <c r="R32" s="149" t="str">
        <f t="shared" si="3"/>
        <v>126</v>
      </c>
      <c r="S32" s="150" t="str">
        <f t="shared" si="4"/>
        <v>_</v>
      </c>
      <c r="T32" s="152" t="str">
        <f>+VLOOKUP($L32,Data_Validation!$A:$D,1,0)</f>
        <v>126F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1276</v>
      </c>
      <c r="B33" s="685" t="s">
        <v>526</v>
      </c>
      <c r="C33" s="687"/>
      <c r="D33" s="687"/>
      <c r="E33" s="687"/>
      <c r="F33" s="685" t="s">
        <v>1</v>
      </c>
      <c r="G33" s="685" t="s">
        <v>2448</v>
      </c>
      <c r="H33" s="641" t="s">
        <v>3074</v>
      </c>
      <c r="I33" s="640">
        <v>0</v>
      </c>
      <c r="J33" s="640">
        <v>0.17</v>
      </c>
      <c r="K33" s="640">
        <v>0.17</v>
      </c>
      <c r="L33" s="149" t="str">
        <f t="shared" si="0"/>
        <v>126G</v>
      </c>
      <c r="M33" s="150" t="str">
        <f t="shared" si="1"/>
        <v>JUIL. NB VENTE NEUF BMW CAMION</v>
      </c>
      <c r="N33" s="151">
        <f>+IF(OR($Q33=Parametres!$G$2,$Q33=Parametres!$G$3),I33,C33)</f>
        <v>0</v>
      </c>
      <c r="O33" s="151">
        <f>+IF(OR($Q33=Parametres!$G$2,$Q33=Parametres!$G$3),J33,D33)</f>
        <v>0.17</v>
      </c>
      <c r="P33" s="151">
        <f>+IF(OR($Q33=Parametres!$G$2,$Q33=Parametres!$G$3),K33,E33)</f>
        <v>0.17</v>
      </c>
      <c r="Q33" s="150" t="str">
        <f t="shared" si="2"/>
        <v>1-Mémo</v>
      </c>
      <c r="R33" s="149" t="str">
        <f t="shared" si="3"/>
        <v>126</v>
      </c>
      <c r="S33" s="150" t="str">
        <f t="shared" si="4"/>
        <v>_</v>
      </c>
      <c r="T33" s="152" t="str">
        <f>+VLOOKUP($L33,Data_Validation!$A:$D,1,0)</f>
        <v>126G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1279</v>
      </c>
      <c r="B34" s="685" t="s">
        <v>529</v>
      </c>
      <c r="C34" s="687"/>
      <c r="D34" s="687"/>
      <c r="E34" s="687"/>
      <c r="F34" s="685" t="s">
        <v>1</v>
      </c>
      <c r="G34" s="685" t="s">
        <v>2449</v>
      </c>
      <c r="H34" s="641" t="s">
        <v>3074</v>
      </c>
      <c r="I34" s="640">
        <v>0.09</v>
      </c>
      <c r="J34" s="640">
        <v>0</v>
      </c>
      <c r="K34" s="640">
        <v>0.09</v>
      </c>
      <c r="L34" s="149" t="str">
        <f t="shared" si="0"/>
        <v>127A</v>
      </c>
      <c r="M34" s="150" t="str">
        <f t="shared" si="1"/>
        <v>JANV. NB VENTE USAGE GROS</v>
      </c>
      <c r="N34" s="151">
        <f>+IF(OR($Q34=Parametres!$G$2,$Q34=Parametres!$G$3),I34,C34)</f>
        <v>0.09</v>
      </c>
      <c r="O34" s="151">
        <f>+IF(OR($Q34=Parametres!$G$2,$Q34=Parametres!$G$3),J34,D34)</f>
        <v>0</v>
      </c>
      <c r="P34" s="151">
        <f>+IF(OR($Q34=Parametres!$G$2,$Q34=Parametres!$G$3),K34,E34)</f>
        <v>0.09</v>
      </c>
      <c r="Q34" s="150" t="str">
        <f t="shared" si="2"/>
        <v>1-Mémo</v>
      </c>
      <c r="R34" s="149" t="str">
        <f t="shared" si="3"/>
        <v>127</v>
      </c>
      <c r="S34" s="150" t="str">
        <f t="shared" si="4"/>
        <v>_</v>
      </c>
      <c r="T34" s="152" t="str">
        <f>+VLOOKUP($L34,Data_Validation!$A:$D,1,0)</f>
        <v>127A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1280</v>
      </c>
      <c r="B35" s="685" t="s">
        <v>530</v>
      </c>
      <c r="C35" s="687"/>
      <c r="D35" s="687"/>
      <c r="E35" s="687"/>
      <c r="F35" s="685" t="s">
        <v>1</v>
      </c>
      <c r="G35" s="685" t="s">
        <v>2449</v>
      </c>
      <c r="H35" s="634" t="s">
        <v>3074</v>
      </c>
      <c r="I35" s="633">
        <v>0.18</v>
      </c>
      <c r="J35" s="633">
        <v>0</v>
      </c>
      <c r="K35" s="633">
        <v>0.18</v>
      </c>
      <c r="L35" s="149" t="str">
        <f t="shared" si="0"/>
        <v>127B</v>
      </c>
      <c r="M35" s="150" t="str">
        <f t="shared" si="1"/>
        <v>FEV. NB VENTE USAGE GROS</v>
      </c>
      <c r="N35" s="151">
        <f>+IF(OR($Q35=Parametres!$G$2,$Q35=Parametres!$G$3),I35,C35)</f>
        <v>0.18</v>
      </c>
      <c r="O35" s="151">
        <f>+IF(OR($Q35=Parametres!$G$2,$Q35=Parametres!$G$3),J35,D35)</f>
        <v>0</v>
      </c>
      <c r="P35" s="151">
        <f>+IF(OR($Q35=Parametres!$G$2,$Q35=Parametres!$G$3),K35,E35)</f>
        <v>0.18</v>
      </c>
      <c r="Q35" s="150" t="str">
        <f t="shared" si="2"/>
        <v>1-Mémo</v>
      </c>
      <c r="R35" s="149" t="str">
        <f t="shared" si="3"/>
        <v>127</v>
      </c>
      <c r="S35" s="150" t="str">
        <f t="shared" si="4"/>
        <v>_</v>
      </c>
      <c r="T35" s="152" t="str">
        <f>+VLOOKUP($L35,Data_Validation!$A:$D,1,0)</f>
        <v>127B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1281</v>
      </c>
      <c r="B36" s="685" t="s">
        <v>531</v>
      </c>
      <c r="C36" s="687"/>
      <c r="D36" s="687"/>
      <c r="E36" s="687"/>
      <c r="F36" s="685" t="s">
        <v>1</v>
      </c>
      <c r="G36" s="685" t="s">
        <v>2449</v>
      </c>
      <c r="H36" s="641" t="s">
        <v>3074</v>
      </c>
      <c r="I36" s="640">
        <v>0.27</v>
      </c>
      <c r="J36" s="640">
        <v>0</v>
      </c>
      <c r="K36" s="640">
        <v>0.27</v>
      </c>
      <c r="L36" s="149" t="str">
        <f t="shared" si="0"/>
        <v>127C</v>
      </c>
      <c r="M36" s="150" t="str">
        <f t="shared" si="1"/>
        <v>MARS NB VENTE USAGE GROS</v>
      </c>
      <c r="N36" s="151">
        <f>+IF(OR($Q36=Parametres!$G$2,$Q36=Parametres!$G$3),I36,C36)</f>
        <v>0.27</v>
      </c>
      <c r="O36" s="151">
        <f>+IF(OR($Q36=Parametres!$G$2,$Q36=Parametres!$G$3),J36,D36)</f>
        <v>0</v>
      </c>
      <c r="P36" s="151">
        <f>+IF(OR($Q36=Parametres!$G$2,$Q36=Parametres!$G$3),K36,E36)</f>
        <v>0.27</v>
      </c>
      <c r="Q36" s="150" t="str">
        <f t="shared" si="2"/>
        <v>1-Mémo</v>
      </c>
      <c r="R36" s="149" t="str">
        <f t="shared" si="3"/>
        <v>127</v>
      </c>
      <c r="S36" s="150" t="str">
        <f t="shared" si="4"/>
        <v>_</v>
      </c>
      <c r="T36" s="152" t="str">
        <f>+VLOOKUP($L36,Data_Validation!$A:$D,1,0)</f>
        <v>127C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1282</v>
      </c>
      <c r="B37" s="685" t="s">
        <v>532</v>
      </c>
      <c r="C37" s="687"/>
      <c r="D37" s="687"/>
      <c r="E37" s="687"/>
      <c r="F37" s="685" t="s">
        <v>1</v>
      </c>
      <c r="G37" s="685" t="s">
        <v>2449</v>
      </c>
      <c r="H37" s="634" t="s">
        <v>3074</v>
      </c>
      <c r="I37" s="633">
        <v>0.49</v>
      </c>
      <c r="J37" s="633">
        <v>0</v>
      </c>
      <c r="K37" s="633">
        <v>0.49</v>
      </c>
      <c r="L37" s="149" t="str">
        <f t="shared" si="0"/>
        <v>127D</v>
      </c>
      <c r="M37" s="150" t="str">
        <f t="shared" si="1"/>
        <v>AVRIL NB VENTE USAGE GROS</v>
      </c>
      <c r="N37" s="151">
        <f>+IF(OR($Q37=Parametres!$G$2,$Q37=Parametres!$G$3),I37,C37)</f>
        <v>0.49</v>
      </c>
      <c r="O37" s="151">
        <f>+IF(OR($Q37=Parametres!$G$2,$Q37=Parametres!$G$3),J37,D37)</f>
        <v>0</v>
      </c>
      <c r="P37" s="151">
        <f>+IF(OR($Q37=Parametres!$G$2,$Q37=Parametres!$G$3),K37,E37)</f>
        <v>0.49</v>
      </c>
      <c r="Q37" s="150" t="str">
        <f t="shared" si="2"/>
        <v>1-Mémo</v>
      </c>
      <c r="R37" s="149" t="str">
        <f t="shared" si="3"/>
        <v>127</v>
      </c>
      <c r="S37" s="150" t="str">
        <f t="shared" si="4"/>
        <v>_</v>
      </c>
      <c r="T37" s="152" t="str">
        <f>+VLOOKUP($L37,Data_Validation!$A:$D,1,0)</f>
        <v>127D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1283</v>
      </c>
      <c r="B38" s="685" t="s">
        <v>533</v>
      </c>
      <c r="C38" s="687"/>
      <c r="D38" s="687"/>
      <c r="E38" s="687"/>
      <c r="F38" s="685" t="s">
        <v>1</v>
      </c>
      <c r="G38" s="685" t="s">
        <v>2449</v>
      </c>
      <c r="H38" s="686" t="s">
        <v>3074</v>
      </c>
      <c r="I38" s="1038">
        <v>0.21</v>
      </c>
      <c r="J38" s="1038">
        <v>0</v>
      </c>
      <c r="K38" s="1038">
        <v>0.21</v>
      </c>
      <c r="L38" s="149" t="str">
        <f t="shared" si="0"/>
        <v>127E</v>
      </c>
      <c r="M38" s="150" t="str">
        <f t="shared" si="1"/>
        <v>MAI NB VENTE USAGE GROS</v>
      </c>
      <c r="N38" s="151">
        <f>+IF(OR($Q38=Parametres!$G$2,$Q38=Parametres!$G$3),I38,C38)</f>
        <v>0.21</v>
      </c>
      <c r="O38" s="151">
        <f>+IF(OR($Q38=Parametres!$G$2,$Q38=Parametres!$G$3),J38,D38)</f>
        <v>0</v>
      </c>
      <c r="P38" s="151">
        <f>+IF(OR($Q38=Parametres!$G$2,$Q38=Parametres!$G$3),K38,E38)</f>
        <v>0.21</v>
      </c>
      <c r="Q38" s="150" t="str">
        <f t="shared" si="2"/>
        <v>1-Mémo</v>
      </c>
      <c r="R38" s="149" t="str">
        <f t="shared" si="3"/>
        <v>127</v>
      </c>
      <c r="S38" s="150" t="str">
        <f t="shared" si="4"/>
        <v>_</v>
      </c>
      <c r="T38" s="152" t="str">
        <f>+VLOOKUP($L38,Data_Validation!$A:$D,1,0)</f>
        <v>127E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1284</v>
      </c>
      <c r="B39" s="685" t="s">
        <v>534</v>
      </c>
      <c r="C39" s="687"/>
      <c r="D39" s="687"/>
      <c r="E39" s="687"/>
      <c r="F39" s="685" t="s">
        <v>1</v>
      </c>
      <c r="G39" s="685" t="s">
        <v>2449</v>
      </c>
      <c r="H39" s="641" t="s">
        <v>3074</v>
      </c>
      <c r="I39" s="640">
        <v>0.38</v>
      </c>
      <c r="J39" s="640">
        <v>0</v>
      </c>
      <c r="K39" s="640">
        <v>0.38</v>
      </c>
      <c r="L39" s="149" t="str">
        <f t="shared" si="0"/>
        <v>127F</v>
      </c>
      <c r="M39" s="150" t="str">
        <f t="shared" si="1"/>
        <v>JUIN NB VENTE USAGE GROS</v>
      </c>
      <c r="N39" s="151">
        <f>+IF(OR($Q39=Parametres!$G$2,$Q39=Parametres!$G$3),I39,C39)</f>
        <v>0.38</v>
      </c>
      <c r="O39" s="496">
        <f>+IF(OR($Q39=Parametres!$G$2,$Q39=Parametres!$G$3),J39,D39)</f>
        <v>0</v>
      </c>
      <c r="P39" s="151">
        <f>+IF(OR($Q39=Parametres!$G$2,$Q39=Parametres!$G$3),K39,E39)</f>
        <v>0.38</v>
      </c>
      <c r="Q39" s="150" t="str">
        <f t="shared" si="2"/>
        <v>1-Mémo</v>
      </c>
      <c r="R39" s="149" t="str">
        <f t="shared" si="3"/>
        <v>127</v>
      </c>
      <c r="S39" s="150" t="str">
        <f t="shared" si="4"/>
        <v>_</v>
      </c>
      <c r="T39" s="152" t="str">
        <f>+VLOOKUP($L39,Data_Validation!$A:$D,1,0)</f>
        <v>127F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1285</v>
      </c>
      <c r="B40" s="685" t="s">
        <v>535</v>
      </c>
      <c r="C40" s="687"/>
      <c r="D40" s="687"/>
      <c r="E40" s="687"/>
      <c r="F40" s="685" t="s">
        <v>1</v>
      </c>
      <c r="G40" s="685" t="s">
        <v>2449</v>
      </c>
      <c r="H40" s="641" t="s">
        <v>3074</v>
      </c>
      <c r="I40" s="1400">
        <v>0</v>
      </c>
      <c r="J40" s="1400">
        <v>0.24</v>
      </c>
      <c r="K40" s="1400">
        <v>0.24</v>
      </c>
      <c r="L40" s="149" t="str">
        <f t="shared" si="0"/>
        <v>127G</v>
      </c>
      <c r="M40" s="150" t="str">
        <f t="shared" si="1"/>
        <v>JUIL. NB VENTE USAGE GROS</v>
      </c>
      <c r="N40" s="151">
        <f>+IF(OR($Q40=Parametres!$G$2,$Q40=Parametres!$G$3),I40,C40)</f>
        <v>0</v>
      </c>
      <c r="O40" s="496">
        <f>+IF(OR($Q40=Parametres!$G$2,$Q40=Parametres!$G$3),J40,D40)</f>
        <v>0.24</v>
      </c>
      <c r="P40" s="151">
        <f>+IF(OR($Q40=Parametres!$G$2,$Q40=Parametres!$G$3),K40,E40)</f>
        <v>0.24</v>
      </c>
      <c r="Q40" s="150" t="str">
        <f t="shared" si="2"/>
        <v>1-Mémo</v>
      </c>
      <c r="R40" s="149" t="str">
        <f t="shared" si="3"/>
        <v>127</v>
      </c>
      <c r="S40" s="150" t="str">
        <f t="shared" si="4"/>
        <v>_</v>
      </c>
      <c r="T40" s="152" t="str">
        <f>+VLOOKUP($L40,Data_Validation!$A:$D,1,0)</f>
        <v>127G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1290</v>
      </c>
      <c r="B41" s="685" t="s">
        <v>540</v>
      </c>
      <c r="C41" s="687"/>
      <c r="D41" s="687"/>
      <c r="E41" s="687"/>
      <c r="F41" s="685" t="s">
        <v>1</v>
      </c>
      <c r="G41" s="685" t="s">
        <v>573</v>
      </c>
      <c r="H41" s="634" t="s">
        <v>3074</v>
      </c>
      <c r="I41" s="633">
        <v>0.77</v>
      </c>
      <c r="J41" s="633">
        <v>0.16</v>
      </c>
      <c r="K41" s="633">
        <v>0.93</v>
      </c>
      <c r="L41" s="149" t="str">
        <f t="shared" si="0"/>
        <v>130D</v>
      </c>
      <c r="M41" s="150" t="str">
        <f t="shared" si="1"/>
        <v>NB INV + 30 JOURS USAGE BMW CAMION</v>
      </c>
      <c r="N41" s="151">
        <f>+IF(OR($Q41=Parametres!$G$2,$Q41=Parametres!$G$3),I41,C41)</f>
        <v>0.77</v>
      </c>
      <c r="O41" s="496">
        <f>+IF(OR($Q41=Parametres!$G$2,$Q41=Parametres!$G$3),J41,D41)</f>
        <v>0.16</v>
      </c>
      <c r="P41" s="151">
        <f>+IF(OR($Q41=Parametres!$G$2,$Q41=Parametres!$G$3),K41,E41)</f>
        <v>0.93</v>
      </c>
      <c r="Q41" s="150" t="str">
        <f t="shared" si="2"/>
        <v>1-Mémo</v>
      </c>
      <c r="R41" s="149" t="str">
        <f t="shared" si="3"/>
        <v>156</v>
      </c>
      <c r="S41" s="150" t="str">
        <f t="shared" si="4"/>
        <v>_</v>
      </c>
      <c r="T41" s="152" t="str">
        <f>+VLOOKUP($L41,Data_Validation!$A:$D,1,0)</f>
        <v>130D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1291</v>
      </c>
      <c r="B42" s="685" t="s">
        <v>541</v>
      </c>
      <c r="C42" s="687"/>
      <c r="D42" s="687"/>
      <c r="E42" s="687"/>
      <c r="F42" s="685" t="s">
        <v>1</v>
      </c>
      <c r="G42" s="685" t="s">
        <v>573</v>
      </c>
      <c r="H42" s="593" t="s">
        <v>3074</v>
      </c>
      <c r="I42" s="1401">
        <v>0.39</v>
      </c>
      <c r="J42" s="1401">
        <v>0.12</v>
      </c>
      <c r="K42" s="1401">
        <v>0.51</v>
      </c>
      <c r="L42" s="149" t="str">
        <f t="shared" si="0"/>
        <v>130F</v>
      </c>
      <c r="M42" s="150" t="str">
        <f t="shared" si="1"/>
        <v>NB INV + 30 JOURS USAGE AUTRES</v>
      </c>
      <c r="N42" s="151">
        <f>+IF(OR($Q42=Parametres!$G$2,$Q42=Parametres!$G$3),I42,C42)</f>
        <v>0.39</v>
      </c>
      <c r="O42" s="151">
        <f>+IF(OR($Q42=Parametres!$G$2,$Q42=Parametres!$G$3),J42,D42)</f>
        <v>0.12</v>
      </c>
      <c r="P42" s="151">
        <f>+IF(OR($Q42=Parametres!$G$2,$Q42=Parametres!$G$3),K42,E42)</f>
        <v>0.51</v>
      </c>
      <c r="Q42" s="150" t="str">
        <f t="shared" si="2"/>
        <v>1-Mémo</v>
      </c>
      <c r="R42" s="149" t="str">
        <f t="shared" si="3"/>
        <v>156</v>
      </c>
      <c r="S42" s="150" t="str">
        <f t="shared" si="4"/>
        <v>_</v>
      </c>
      <c r="T42" s="152" t="str">
        <f>+VLOOKUP($L42,Data_Validation!$A:$D,1,0)</f>
        <v>130F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1292</v>
      </c>
      <c r="B43" s="685" t="s">
        <v>542</v>
      </c>
      <c r="C43" s="687"/>
      <c r="D43" s="687"/>
      <c r="E43" s="687"/>
      <c r="F43" s="685" t="s">
        <v>1</v>
      </c>
      <c r="G43" s="685" t="s">
        <v>542</v>
      </c>
      <c r="H43" s="641" t="s">
        <v>3074</v>
      </c>
      <c r="I43" s="1400">
        <v>0.26</v>
      </c>
      <c r="J43" s="1400">
        <v>0.04</v>
      </c>
      <c r="K43" s="1400">
        <v>0.3</v>
      </c>
      <c r="L43" s="149" t="str">
        <f t="shared" si="0"/>
        <v>132B</v>
      </c>
      <c r="M43" s="150" t="str">
        <f t="shared" si="1"/>
        <v>NB INV USAGE BMW AUTO 31-60 JRS</v>
      </c>
      <c r="N43" s="151">
        <f>+IF(OR($Q43=Parametres!$G$2,$Q43=Parametres!$G$3),I43,C43)</f>
        <v>0.26</v>
      </c>
      <c r="O43" s="151">
        <f>+IF(OR($Q43=Parametres!$G$2,$Q43=Parametres!$G$3),J43,D43)</f>
        <v>0.04</v>
      </c>
      <c r="P43" s="151">
        <f>+IF(OR($Q43=Parametres!$G$2,$Q43=Parametres!$G$3),K43,E43)</f>
        <v>0.3</v>
      </c>
      <c r="Q43" s="150" t="str">
        <f t="shared" si="2"/>
        <v>1-Mémo</v>
      </c>
      <c r="R43" s="149" t="str">
        <f t="shared" si="3"/>
        <v>132B</v>
      </c>
      <c r="S43" s="150" t="str">
        <f t="shared" si="4"/>
        <v>_</v>
      </c>
      <c r="T43" s="152" t="str">
        <f>+VLOOKUP($L43,Data_Validation!$A:$D,1,0)</f>
        <v>132B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1293</v>
      </c>
      <c r="B44" s="685" t="s">
        <v>543</v>
      </c>
      <c r="C44" s="687"/>
      <c r="D44" s="687"/>
      <c r="E44" s="687"/>
      <c r="F44" s="685" t="s">
        <v>1</v>
      </c>
      <c r="G44" s="685" t="s">
        <v>542</v>
      </c>
      <c r="H44" s="641" t="s">
        <v>3074</v>
      </c>
      <c r="I44" s="1400">
        <v>0.18</v>
      </c>
      <c r="J44" s="1400">
        <v>0.04</v>
      </c>
      <c r="K44" s="1400">
        <v>0.22</v>
      </c>
      <c r="L44" s="149" t="str">
        <f t="shared" si="0"/>
        <v>132C</v>
      </c>
      <c r="M44" s="150" t="str">
        <f t="shared" si="1"/>
        <v>NB INV USAGE BMW AUTO 61-90 JRS</v>
      </c>
      <c r="N44" s="151">
        <f>+IF(OR($Q44=Parametres!$G$2,$Q44=Parametres!$G$3),I44,C44)</f>
        <v>0.18</v>
      </c>
      <c r="O44" s="496">
        <f>+IF(OR($Q44=Parametres!$G$2,$Q44=Parametres!$G$3),J44,D44)</f>
        <v>0.04</v>
      </c>
      <c r="P44" s="151">
        <f>+IF(OR($Q44=Parametres!$G$2,$Q44=Parametres!$G$3),K44,E44)</f>
        <v>0.22</v>
      </c>
      <c r="Q44" s="150" t="str">
        <f t="shared" si="2"/>
        <v>1-Mémo</v>
      </c>
      <c r="R44" s="149" t="str">
        <f t="shared" si="3"/>
        <v>132B</v>
      </c>
      <c r="S44" s="150" t="str">
        <f t="shared" si="4"/>
        <v>_</v>
      </c>
      <c r="T44" s="152" t="str">
        <f>+VLOOKUP($L44,Data_Validation!$A:$D,1,0)</f>
        <v>132C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1294</v>
      </c>
      <c r="B45" s="685" t="s">
        <v>544</v>
      </c>
      <c r="C45" s="687"/>
      <c r="D45" s="687"/>
      <c r="E45" s="687"/>
      <c r="F45" s="685" t="s">
        <v>1</v>
      </c>
      <c r="G45" s="685" t="s">
        <v>542</v>
      </c>
      <c r="H45" s="641" t="s">
        <v>3074</v>
      </c>
      <c r="I45" s="640">
        <v>0.06</v>
      </c>
      <c r="J45" s="640">
        <v>0.01</v>
      </c>
      <c r="K45" s="640">
        <v>7.0000000000000007E-2</v>
      </c>
      <c r="L45" s="149" t="str">
        <f t="shared" si="0"/>
        <v>132D</v>
      </c>
      <c r="M45" s="150" t="str">
        <f t="shared" si="1"/>
        <v>NB INV USAGE BMW AUTO 91-120 JRS</v>
      </c>
      <c r="N45" s="151">
        <f>+IF(OR($Q45=Parametres!$G$2,$Q45=Parametres!$G$3),I45,C45)</f>
        <v>0.06</v>
      </c>
      <c r="O45" s="151">
        <f>+IF(OR($Q45=Parametres!$G$2,$Q45=Parametres!$G$3),J45,D45)</f>
        <v>0.01</v>
      </c>
      <c r="P45" s="151">
        <f>+IF(OR($Q45=Parametres!$G$2,$Q45=Parametres!$G$3),K45,E45)</f>
        <v>7.0000000000000007E-2</v>
      </c>
      <c r="Q45" s="150" t="str">
        <f t="shared" si="2"/>
        <v>1-Mémo</v>
      </c>
      <c r="R45" s="149" t="str">
        <f t="shared" si="3"/>
        <v>132B</v>
      </c>
      <c r="S45" s="150" t="str">
        <f t="shared" si="4"/>
        <v>_</v>
      </c>
      <c r="T45" s="152" t="str">
        <f>+VLOOKUP($L45,Data_Validation!$A:$D,1,0)</f>
        <v>132D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1295</v>
      </c>
      <c r="B46" s="685" t="s">
        <v>545</v>
      </c>
      <c r="C46" s="687"/>
      <c r="D46" s="687"/>
      <c r="E46" s="687"/>
      <c r="F46" s="685" t="s">
        <v>1</v>
      </c>
      <c r="G46" s="685" t="s">
        <v>542</v>
      </c>
      <c r="H46" s="641" t="s">
        <v>3074</v>
      </c>
      <c r="I46" s="640">
        <v>0.06</v>
      </c>
      <c r="J46" s="640">
        <v>0</v>
      </c>
      <c r="K46" s="640">
        <v>0.06</v>
      </c>
      <c r="L46" s="149" t="str">
        <f t="shared" si="0"/>
        <v>132E</v>
      </c>
      <c r="M46" s="150" t="str">
        <f t="shared" si="1"/>
        <v>NB INV USAGE BMW AUTO 120+ JRS</v>
      </c>
      <c r="N46" s="151">
        <f>+IF(OR($Q46=Parametres!$G$2,$Q46=Parametres!$G$3),I46,C46)</f>
        <v>0.06</v>
      </c>
      <c r="O46" s="151">
        <f>+IF(OR($Q46=Parametres!$G$2,$Q46=Parametres!$G$3),J46,D46)</f>
        <v>0</v>
      </c>
      <c r="P46" s="151">
        <f>+IF(OR($Q46=Parametres!$G$2,$Q46=Parametres!$G$3),K46,E46)</f>
        <v>0.06</v>
      </c>
      <c r="Q46" s="150" t="str">
        <f t="shared" si="2"/>
        <v>1-Mémo</v>
      </c>
      <c r="R46" s="149" t="str">
        <f t="shared" si="3"/>
        <v>132B</v>
      </c>
      <c r="S46" s="150" t="str">
        <f t="shared" si="4"/>
        <v>_</v>
      </c>
      <c r="T46" s="152" t="str">
        <f>+VLOOKUP($L46,Data_Validation!$A:$D,1,0)</f>
        <v>132E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1296</v>
      </c>
      <c r="B47" s="685" t="s">
        <v>546</v>
      </c>
      <c r="C47" s="687"/>
      <c r="D47" s="687"/>
      <c r="E47" s="687"/>
      <c r="F47" s="685" t="s">
        <v>1</v>
      </c>
      <c r="G47" s="685" t="s">
        <v>546</v>
      </c>
      <c r="H47" s="641" t="s">
        <v>3074</v>
      </c>
      <c r="I47" s="1400">
        <v>0.48</v>
      </c>
      <c r="J47" s="1400">
        <v>7.0000000000000007E-2</v>
      </c>
      <c r="K47" s="1400">
        <v>0.55000000000000004</v>
      </c>
      <c r="L47" s="149" t="str">
        <f t="shared" si="0"/>
        <v>133B</v>
      </c>
      <c r="M47" s="150" t="str">
        <f t="shared" si="1"/>
        <v>NB INV USAGE BMW CAMION 31-60 JRS</v>
      </c>
      <c r="N47" s="151">
        <f>+IF(OR($Q47=Parametres!$G$2,$Q47=Parametres!$G$3),I47,C47)</f>
        <v>0.48</v>
      </c>
      <c r="O47" s="151">
        <f>+IF(OR($Q47=Parametres!$G$2,$Q47=Parametres!$G$3),J47,D47)</f>
        <v>7.0000000000000007E-2</v>
      </c>
      <c r="P47" s="151">
        <f>+IF(OR($Q47=Parametres!$G$2,$Q47=Parametres!$G$3),K47,E47)</f>
        <v>0.55000000000000004</v>
      </c>
      <c r="Q47" s="150" t="str">
        <f t="shared" si="2"/>
        <v>1-Mémo</v>
      </c>
      <c r="R47" s="149" t="str">
        <f t="shared" si="3"/>
        <v>133B</v>
      </c>
      <c r="S47" s="150" t="str">
        <f t="shared" si="4"/>
        <v>_</v>
      </c>
      <c r="T47" s="152" t="str">
        <f>+VLOOKUP($L47,Data_Validation!$A:$D,1,0)</f>
        <v>133B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1297</v>
      </c>
      <c r="B48" s="685" t="s">
        <v>547</v>
      </c>
      <c r="C48" s="1038"/>
      <c r="D48" s="1038"/>
      <c r="E48" s="1038"/>
      <c r="F48" s="685" t="s">
        <v>1</v>
      </c>
      <c r="G48" s="685" t="s">
        <v>546</v>
      </c>
      <c r="H48" s="686" t="s">
        <v>3074</v>
      </c>
      <c r="I48" s="687">
        <v>0.21</v>
      </c>
      <c r="J48" s="687">
        <v>0.05</v>
      </c>
      <c r="K48" s="687">
        <v>0.26</v>
      </c>
      <c r="L48" s="149" t="str">
        <f t="shared" si="0"/>
        <v>133C</v>
      </c>
      <c r="M48" s="150" t="str">
        <f t="shared" si="1"/>
        <v>NB INV USAGE BMW CAMION 61-90 JRS</v>
      </c>
      <c r="N48" s="151">
        <f>+IF(OR($Q48=Parametres!$G$2,$Q48=Parametres!$G$3),I48,C48)</f>
        <v>0.21</v>
      </c>
      <c r="O48" s="497">
        <f>+IF(OR($Q48=Parametres!$G$2,$Q48=Parametres!$G$3),J48,D48)</f>
        <v>0.05</v>
      </c>
      <c r="P48" s="151">
        <f>+IF(OR($Q48=Parametres!$G$2,$Q48=Parametres!$G$3),K48,E48)</f>
        <v>0.26</v>
      </c>
      <c r="Q48" s="150" t="str">
        <f t="shared" si="2"/>
        <v>1-Mémo</v>
      </c>
      <c r="R48" s="149" t="str">
        <f t="shared" si="3"/>
        <v>133B</v>
      </c>
      <c r="S48" s="150" t="str">
        <f t="shared" si="4"/>
        <v>_</v>
      </c>
      <c r="T48" s="152" t="str">
        <f>+VLOOKUP($L48,Data_Validation!$A:$D,1,0)</f>
        <v>133C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1298</v>
      </c>
      <c r="B49" s="685" t="s">
        <v>548</v>
      </c>
      <c r="C49" s="687"/>
      <c r="D49" s="687"/>
      <c r="E49" s="687"/>
      <c r="F49" s="685" t="s">
        <v>1</v>
      </c>
      <c r="G49" s="685" t="s">
        <v>546</v>
      </c>
      <c r="H49" s="641" t="s">
        <v>3074</v>
      </c>
      <c r="I49" s="640">
        <v>7.0000000000000007E-2</v>
      </c>
      <c r="J49" s="640">
        <v>0.01</v>
      </c>
      <c r="K49" s="640">
        <v>0.08</v>
      </c>
      <c r="L49" s="149" t="str">
        <f t="shared" si="0"/>
        <v>133D</v>
      </c>
      <c r="M49" s="150" t="str">
        <f t="shared" si="1"/>
        <v>NB INV USAGE BMW CAMION 91-120 JRS</v>
      </c>
      <c r="N49" s="151">
        <f>+IF(OR($Q49=Parametres!$G$2,$Q49=Parametres!$G$3),I49,C49)</f>
        <v>7.0000000000000007E-2</v>
      </c>
      <c r="O49" s="151">
        <f>+IF(OR($Q49=Parametres!$G$2,$Q49=Parametres!$G$3),J49,D49)</f>
        <v>0.01</v>
      </c>
      <c r="P49" s="151">
        <f>+IF(OR($Q49=Parametres!$G$2,$Q49=Parametres!$G$3),K49,E49)</f>
        <v>0.08</v>
      </c>
      <c r="Q49" s="150" t="str">
        <f t="shared" si="2"/>
        <v>1-Mémo</v>
      </c>
      <c r="R49" s="149" t="str">
        <f t="shared" si="3"/>
        <v>133B</v>
      </c>
      <c r="S49" s="150" t="str">
        <f t="shared" si="4"/>
        <v>_</v>
      </c>
      <c r="T49" s="152" t="str">
        <f>+VLOOKUP($L49,Data_Validation!$A:$D,1,0)</f>
        <v>133D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1299</v>
      </c>
      <c r="B50" s="685" t="s">
        <v>549</v>
      </c>
      <c r="C50" s="687"/>
      <c r="D50" s="687"/>
      <c r="E50" s="687"/>
      <c r="F50" s="685" t="s">
        <v>1</v>
      </c>
      <c r="G50" s="685" t="s">
        <v>546</v>
      </c>
      <c r="H50" s="641" t="s">
        <v>3074</v>
      </c>
      <c r="I50" s="1400">
        <v>0.01</v>
      </c>
      <c r="J50" s="1400">
        <v>0.03</v>
      </c>
      <c r="K50" s="1400">
        <v>0.04</v>
      </c>
      <c r="L50" s="149" t="str">
        <f t="shared" si="0"/>
        <v>133E</v>
      </c>
      <c r="M50" s="150" t="str">
        <f t="shared" si="1"/>
        <v>NB INV USAGE BMW CAMION 120+ JRS</v>
      </c>
      <c r="N50" s="151">
        <f>+IF(OR($Q50=Parametres!$G$2,$Q50=Parametres!$G$3),I50,C50)</f>
        <v>0.01</v>
      </c>
      <c r="O50" s="151">
        <f>+IF(OR($Q50=Parametres!$G$2,$Q50=Parametres!$G$3),J50,D50)</f>
        <v>0.03</v>
      </c>
      <c r="P50" s="151">
        <f>+IF(OR($Q50=Parametres!$G$2,$Q50=Parametres!$G$3),K50,E50)</f>
        <v>0.04</v>
      </c>
      <c r="Q50" s="150" t="str">
        <f t="shared" si="2"/>
        <v>1-Mémo</v>
      </c>
      <c r="R50" s="149" t="str">
        <f t="shared" si="3"/>
        <v>133B</v>
      </c>
      <c r="S50" s="150" t="str">
        <f t="shared" si="4"/>
        <v>_</v>
      </c>
      <c r="T50" s="152" t="str">
        <f>+VLOOKUP($L50,Data_Validation!$A:$D,1,0)</f>
        <v>133E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1300</v>
      </c>
      <c r="B51" s="685" t="s">
        <v>550</v>
      </c>
      <c r="C51" s="687"/>
      <c r="D51" s="687"/>
      <c r="E51" s="687"/>
      <c r="F51" s="685" t="s">
        <v>1</v>
      </c>
      <c r="G51" s="685" t="s">
        <v>550</v>
      </c>
      <c r="H51" s="641" t="s">
        <v>3074</v>
      </c>
      <c r="I51" s="640">
        <v>0.3</v>
      </c>
      <c r="J51" s="640">
        <v>0.08</v>
      </c>
      <c r="K51" s="640">
        <v>0.38</v>
      </c>
      <c r="L51" s="149" t="str">
        <f t="shared" si="0"/>
        <v>138B</v>
      </c>
      <c r="M51" s="150" t="str">
        <f t="shared" si="1"/>
        <v>NB INV USAGE AUTRE 31-60 JRS</v>
      </c>
      <c r="N51" s="151">
        <f>+IF(OR($Q51=Parametres!$G$2,$Q51=Parametres!$G$3),I51,C51)</f>
        <v>0.3</v>
      </c>
      <c r="O51" s="151">
        <f>+IF(OR($Q51=Parametres!$G$2,$Q51=Parametres!$G$3),J51,D51)</f>
        <v>0.08</v>
      </c>
      <c r="P51" s="151">
        <f>+IF(OR($Q51=Parametres!$G$2,$Q51=Parametres!$G$3),K51,E51)</f>
        <v>0.38</v>
      </c>
      <c r="Q51" s="150" t="str">
        <f t="shared" si="2"/>
        <v>1-Mémo</v>
      </c>
      <c r="R51" s="149" t="str">
        <f t="shared" si="3"/>
        <v>138B</v>
      </c>
      <c r="S51" s="150" t="str">
        <f t="shared" si="4"/>
        <v>_</v>
      </c>
      <c r="T51" s="152" t="str">
        <f>+VLOOKUP($L51,Data_Validation!$A:$D,1,0)</f>
        <v>138B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1301</v>
      </c>
      <c r="B52" s="685" t="s">
        <v>551</v>
      </c>
      <c r="C52" s="1038"/>
      <c r="D52" s="1038"/>
      <c r="E52" s="1038"/>
      <c r="F52" s="685" t="s">
        <v>1</v>
      </c>
      <c r="G52" s="685" t="s">
        <v>550</v>
      </c>
      <c r="H52" s="686" t="s">
        <v>3074</v>
      </c>
      <c r="I52" s="687">
        <v>7.0000000000000007E-2</v>
      </c>
      <c r="J52" s="687">
        <v>0.03</v>
      </c>
      <c r="K52" s="687">
        <v>0.1</v>
      </c>
      <c r="L52" s="149" t="str">
        <f t="shared" si="0"/>
        <v>138C</v>
      </c>
      <c r="M52" s="150" t="str">
        <f t="shared" si="1"/>
        <v>NB INV USAGE AUTRE 61-90 JRS</v>
      </c>
      <c r="N52" s="151">
        <f>+IF(OR($Q52=Parametres!$G$2,$Q52=Parametres!$G$3),I52,C52)</f>
        <v>7.0000000000000007E-2</v>
      </c>
      <c r="O52" s="151">
        <f>+IF(OR($Q52=Parametres!$G$2,$Q52=Parametres!$G$3),J52,D52)</f>
        <v>0.03</v>
      </c>
      <c r="P52" s="151">
        <f>+IF(OR($Q52=Parametres!$G$2,$Q52=Parametres!$G$3),K52,E52)</f>
        <v>0.1</v>
      </c>
      <c r="Q52" s="150" t="str">
        <f t="shared" si="2"/>
        <v>1-Mémo</v>
      </c>
      <c r="R52" s="149" t="str">
        <f t="shared" si="3"/>
        <v>138B</v>
      </c>
      <c r="S52" s="150" t="str">
        <f t="shared" si="4"/>
        <v>_</v>
      </c>
      <c r="T52" s="152" t="str">
        <f>+VLOOKUP($L52,Data_Validation!$A:$D,1,0)</f>
        <v>138C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1302</v>
      </c>
      <c r="B53" s="685" t="s">
        <v>552</v>
      </c>
      <c r="C53" s="687"/>
      <c r="D53" s="687"/>
      <c r="E53" s="687"/>
      <c r="F53" s="685" t="s">
        <v>1</v>
      </c>
      <c r="G53" s="685" t="s">
        <v>550</v>
      </c>
      <c r="H53" s="641" t="s">
        <v>3074</v>
      </c>
      <c r="I53" s="640">
        <v>0.02</v>
      </c>
      <c r="J53" s="640">
        <v>0</v>
      </c>
      <c r="K53" s="640">
        <v>0.02</v>
      </c>
      <c r="L53" s="149" t="str">
        <f t="shared" si="0"/>
        <v>138D</v>
      </c>
      <c r="M53" s="150" t="str">
        <f t="shared" si="1"/>
        <v>NB INV USAGE AUTRE 91-120 JRS</v>
      </c>
      <c r="N53" s="151">
        <f>+IF(OR($Q53=Parametres!$G$2,$Q53=Parametres!$G$3),I53,C53)</f>
        <v>0.02</v>
      </c>
      <c r="O53" s="151">
        <f>+IF(OR($Q53=Parametres!$G$2,$Q53=Parametres!$G$3),J53,D53)</f>
        <v>0</v>
      </c>
      <c r="P53" s="151">
        <f>+IF(OR($Q53=Parametres!$G$2,$Q53=Parametres!$G$3),K53,E53)</f>
        <v>0.02</v>
      </c>
      <c r="Q53" s="150" t="str">
        <f t="shared" si="2"/>
        <v>1-Mémo</v>
      </c>
      <c r="R53" s="149" t="str">
        <f t="shared" si="3"/>
        <v>138B</v>
      </c>
      <c r="S53" s="150" t="str">
        <f t="shared" si="4"/>
        <v>_</v>
      </c>
      <c r="T53" s="152" t="str">
        <f>+VLOOKUP($L53,Data_Validation!$A:$D,1,0)</f>
        <v>138D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1303</v>
      </c>
      <c r="B54" s="685" t="s">
        <v>1304</v>
      </c>
      <c r="C54" s="687"/>
      <c r="D54" s="687"/>
      <c r="E54" s="687"/>
      <c r="F54" s="685" t="s">
        <v>1</v>
      </c>
      <c r="G54" s="685" t="s">
        <v>550</v>
      </c>
      <c r="H54" s="641" t="s">
        <v>3074</v>
      </c>
      <c r="I54" s="1400">
        <v>0</v>
      </c>
      <c r="J54" s="1400">
        <v>0.01</v>
      </c>
      <c r="K54" s="1400">
        <v>0.01</v>
      </c>
      <c r="L54" s="149" t="str">
        <f t="shared" si="0"/>
        <v>138E</v>
      </c>
      <c r="M54" s="150" t="str">
        <f t="shared" si="1"/>
        <v>NB INV USAGE AUTRE 120+ JRS</v>
      </c>
      <c r="N54" s="151">
        <f>+IF(OR($Q54=Parametres!$G$2,$Q54=Parametres!$G$3),I54,C54)</f>
        <v>0</v>
      </c>
      <c r="O54" s="151">
        <f>+IF(OR($Q54=Parametres!$G$2,$Q54=Parametres!$G$3),J54,D54)</f>
        <v>0.01</v>
      </c>
      <c r="P54" s="151">
        <f>+IF(OR($Q54=Parametres!$G$2,$Q54=Parametres!$G$3),K54,E54)</f>
        <v>0.01</v>
      </c>
      <c r="Q54" s="150" t="str">
        <f t="shared" si="2"/>
        <v>1-Mémo</v>
      </c>
      <c r="R54" s="149" t="str">
        <f t="shared" si="3"/>
        <v>138B</v>
      </c>
      <c r="S54" s="150" t="str">
        <f t="shared" si="4"/>
        <v>_</v>
      </c>
      <c r="T54" s="152" t="str">
        <f>+VLOOKUP($L54,Data_Validation!$A:$D,1,0)</f>
        <v>138E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1305</v>
      </c>
      <c r="B55" s="685" t="s">
        <v>553</v>
      </c>
      <c r="C55" s="687"/>
      <c r="D55" s="687"/>
      <c r="E55" s="687"/>
      <c r="F55" s="685" t="s">
        <v>1</v>
      </c>
      <c r="G55" s="685" t="s">
        <v>553</v>
      </c>
      <c r="H55" s="641" t="s">
        <v>3074</v>
      </c>
      <c r="I55" s="640">
        <v>2163668</v>
      </c>
      <c r="J55" s="640">
        <v>351492</v>
      </c>
      <c r="K55" s="640">
        <v>2515160</v>
      </c>
      <c r="L55" s="149" t="str">
        <f t="shared" si="0"/>
        <v>141B</v>
      </c>
      <c r="M55" s="150" t="str">
        <f t="shared" si="1"/>
        <v>$ INV USAGE BMW CAMION 31-60 JRS</v>
      </c>
      <c r="N55" s="151">
        <f>+IF(OR($Q55=Parametres!$G$2,$Q55=Parametres!$G$3),I55,C55)</f>
        <v>2163668</v>
      </c>
      <c r="O55" s="151">
        <f>+IF(OR($Q55=Parametres!$G$2,$Q55=Parametres!$G$3),J55,D55)</f>
        <v>351492</v>
      </c>
      <c r="P55" s="151">
        <f>+IF(OR($Q55=Parametres!$G$2,$Q55=Parametres!$G$3),K55,E55)</f>
        <v>2515160</v>
      </c>
      <c r="Q55" s="150" t="str">
        <f t="shared" si="2"/>
        <v>1-Mémo</v>
      </c>
      <c r="R55" s="149" t="str">
        <f t="shared" si="3"/>
        <v>141B</v>
      </c>
      <c r="S55" s="150" t="str">
        <f t="shared" si="4"/>
        <v>_</v>
      </c>
      <c r="T55" s="152" t="str">
        <f>+VLOOKUP($L55,Data_Validation!$A:$D,1,0)</f>
        <v>141B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1306</v>
      </c>
      <c r="B56" s="685" t="s">
        <v>554</v>
      </c>
      <c r="C56" s="687"/>
      <c r="D56" s="687"/>
      <c r="E56" s="687"/>
      <c r="F56" s="685" t="s">
        <v>1</v>
      </c>
      <c r="G56" s="685" t="s">
        <v>553</v>
      </c>
      <c r="H56" s="641" t="s">
        <v>3074</v>
      </c>
      <c r="I56" s="640">
        <v>987143</v>
      </c>
      <c r="J56" s="640">
        <v>205613</v>
      </c>
      <c r="K56" s="640">
        <v>1192756</v>
      </c>
      <c r="L56" s="149" t="str">
        <f t="shared" si="0"/>
        <v>141C</v>
      </c>
      <c r="M56" s="150" t="str">
        <f t="shared" si="1"/>
        <v>$ INV USAGE BMW CAMION 61-90 JRS</v>
      </c>
      <c r="N56" s="151">
        <f>+IF(OR($Q56=Parametres!$G$2,$Q56=Parametres!$G$3),I56,C56)</f>
        <v>987143</v>
      </c>
      <c r="O56" s="151">
        <f>+IF(OR($Q56=Parametres!$G$2,$Q56=Parametres!$G$3),J56,D56)</f>
        <v>205613</v>
      </c>
      <c r="P56" s="151">
        <f>+IF(OR($Q56=Parametres!$G$2,$Q56=Parametres!$G$3),K56,E56)</f>
        <v>1192756</v>
      </c>
      <c r="Q56" s="150" t="str">
        <f t="shared" si="2"/>
        <v>1-Mémo</v>
      </c>
      <c r="R56" s="149" t="str">
        <f t="shared" si="3"/>
        <v>141B</v>
      </c>
      <c r="S56" s="150" t="str">
        <f t="shared" si="4"/>
        <v>_</v>
      </c>
      <c r="T56" s="152" t="str">
        <f>+VLOOKUP($L56,Data_Validation!$A:$D,1,0)</f>
        <v>141C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1307</v>
      </c>
      <c r="B57" s="685" t="s">
        <v>555</v>
      </c>
      <c r="C57" s="687"/>
      <c r="D57" s="687"/>
      <c r="E57" s="687"/>
      <c r="F57" s="685" t="s">
        <v>1</v>
      </c>
      <c r="G57" s="685" t="s">
        <v>553</v>
      </c>
      <c r="H57" s="641" t="s">
        <v>3074</v>
      </c>
      <c r="I57" s="640">
        <v>349858</v>
      </c>
      <c r="J57" s="640">
        <v>34630</v>
      </c>
      <c r="K57" s="640">
        <v>384488</v>
      </c>
      <c r="L57" s="149" t="str">
        <f t="shared" si="0"/>
        <v>141D</v>
      </c>
      <c r="M57" s="150" t="str">
        <f t="shared" si="1"/>
        <v>$ INV USAGE BMW CAMION 91-120 JRS</v>
      </c>
      <c r="N57" s="151">
        <f>+IF(OR($Q57=Parametres!$G$2,$Q57=Parametres!$G$3),I57,C57)</f>
        <v>349858</v>
      </c>
      <c r="O57" s="151">
        <f>+IF(OR($Q57=Parametres!$G$2,$Q57=Parametres!$G$3),J57,D57)</f>
        <v>34630</v>
      </c>
      <c r="P57" s="151">
        <f>+IF(OR($Q57=Parametres!$G$2,$Q57=Parametres!$G$3),K57,E57)</f>
        <v>384488</v>
      </c>
      <c r="Q57" s="150" t="str">
        <f t="shared" si="2"/>
        <v>1-Mémo</v>
      </c>
      <c r="R57" s="149" t="str">
        <f t="shared" si="3"/>
        <v>141B</v>
      </c>
      <c r="S57" s="150" t="str">
        <f t="shared" si="4"/>
        <v>_</v>
      </c>
      <c r="T57" s="152" t="str">
        <f>+VLOOKUP($L57,Data_Validation!$A:$D,1,0)</f>
        <v>141D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1308</v>
      </c>
      <c r="B58" s="685" t="s">
        <v>556</v>
      </c>
      <c r="C58" s="687"/>
      <c r="D58" s="687"/>
      <c r="E58" s="687"/>
      <c r="F58" s="685" t="s">
        <v>1</v>
      </c>
      <c r="G58" s="685" t="s">
        <v>553</v>
      </c>
      <c r="H58" s="593" t="s">
        <v>3074</v>
      </c>
      <c r="I58" s="594">
        <v>47286</v>
      </c>
      <c r="J58" s="594">
        <v>129363</v>
      </c>
      <c r="K58" s="594">
        <v>176649</v>
      </c>
      <c r="L58" s="149" t="str">
        <f t="shared" si="0"/>
        <v>141E</v>
      </c>
      <c r="M58" s="150" t="str">
        <f t="shared" si="1"/>
        <v>$ INV USAGE BMW CAMION 120+ JRS</v>
      </c>
      <c r="N58" s="151">
        <f>+IF(OR($Q58=Parametres!$G$2,$Q58=Parametres!$G$3),I58,C58)</f>
        <v>47286</v>
      </c>
      <c r="O58" s="151">
        <f>+IF(OR($Q58=Parametres!$G$2,$Q58=Parametres!$G$3),J58,D58)</f>
        <v>129363</v>
      </c>
      <c r="P58" s="151">
        <f>+IF(OR($Q58=Parametres!$G$2,$Q58=Parametres!$G$3),K58,E58)</f>
        <v>176649</v>
      </c>
      <c r="Q58" s="150" t="str">
        <f t="shared" si="2"/>
        <v>1-Mémo</v>
      </c>
      <c r="R58" s="149" t="str">
        <f t="shared" si="3"/>
        <v>141B</v>
      </c>
      <c r="S58" s="150" t="str">
        <f t="shared" si="4"/>
        <v>_</v>
      </c>
      <c r="T58" s="152" t="str">
        <f>+VLOOKUP($L58,Data_Validation!$A:$D,1,0)</f>
        <v>141E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1309</v>
      </c>
      <c r="B59" s="685" t="s">
        <v>557</v>
      </c>
      <c r="C59" s="687"/>
      <c r="D59" s="687"/>
      <c r="E59" s="687"/>
      <c r="F59" s="685" t="s">
        <v>1</v>
      </c>
      <c r="G59" s="685" t="s">
        <v>2450</v>
      </c>
      <c r="H59" s="641" t="s">
        <v>3074</v>
      </c>
      <c r="I59" s="640">
        <v>59811</v>
      </c>
      <c r="J59" s="640">
        <v>470</v>
      </c>
      <c r="K59" s="640">
        <v>60281</v>
      </c>
      <c r="L59" s="149" t="str">
        <f t="shared" si="0"/>
        <v>142B</v>
      </c>
      <c r="M59" s="150" t="str">
        <f t="shared" si="1"/>
        <v>A/R VEHICULES 31-60 JRS</v>
      </c>
      <c r="N59" s="151">
        <f>+IF(OR($Q59=Parametres!$G$2,$Q59=Parametres!$G$3),I59,C59)</f>
        <v>59811</v>
      </c>
      <c r="O59" s="151">
        <f>+IF(OR($Q59=Parametres!$G$2,$Q59=Parametres!$G$3),J59,D59)</f>
        <v>470</v>
      </c>
      <c r="P59" s="151">
        <f>+IF(OR($Q59=Parametres!$G$2,$Q59=Parametres!$G$3),K59,E59)</f>
        <v>60281</v>
      </c>
      <c r="Q59" s="150" t="str">
        <f t="shared" si="2"/>
        <v>1-Mémo</v>
      </c>
      <c r="R59" s="149" t="str">
        <f t="shared" si="3"/>
        <v>142</v>
      </c>
      <c r="S59" s="150" t="str">
        <f t="shared" si="4"/>
        <v>_</v>
      </c>
      <c r="T59" s="152" t="str">
        <f>+VLOOKUP($L59,Data_Validation!$A:$D,1,0)</f>
        <v>142B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1310</v>
      </c>
      <c r="B60" s="685" t="s">
        <v>558</v>
      </c>
      <c r="C60" s="687"/>
      <c r="D60" s="687"/>
      <c r="E60" s="687"/>
      <c r="F60" s="685" t="s">
        <v>1</v>
      </c>
      <c r="G60" s="685" t="s">
        <v>2450</v>
      </c>
      <c r="H60" s="641" t="s">
        <v>3074</v>
      </c>
      <c r="I60" s="1400">
        <v>3143</v>
      </c>
      <c r="J60" s="1400">
        <v>932</v>
      </c>
      <c r="K60" s="1400">
        <v>4075</v>
      </c>
      <c r="L60" s="149" t="str">
        <f t="shared" si="0"/>
        <v>142C</v>
      </c>
      <c r="M60" s="150" t="str">
        <f t="shared" si="1"/>
        <v>A/R VEHICULES 61-90 JRS</v>
      </c>
      <c r="N60" s="151">
        <f>+IF(OR($Q60=Parametres!$G$2,$Q60=Parametres!$G$3),I60,C60)</f>
        <v>3143</v>
      </c>
      <c r="O60" s="151">
        <f>+IF(OR($Q60=Parametres!$G$2,$Q60=Parametres!$G$3),J60,D60)</f>
        <v>932</v>
      </c>
      <c r="P60" s="151">
        <f>+IF(OR($Q60=Parametres!$G$2,$Q60=Parametres!$G$3),K60,E60)</f>
        <v>4075</v>
      </c>
      <c r="Q60" s="150" t="str">
        <f t="shared" si="2"/>
        <v>1-Mémo</v>
      </c>
      <c r="R60" s="149" t="str">
        <f t="shared" si="3"/>
        <v>142</v>
      </c>
      <c r="S60" s="150" t="str">
        <f t="shared" si="4"/>
        <v>_</v>
      </c>
      <c r="T60" s="152" t="str">
        <f>+VLOOKUP($L60,Data_Validation!$A:$D,1,0)</f>
        <v>142C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1311</v>
      </c>
      <c r="B61" s="685" t="s">
        <v>559</v>
      </c>
      <c r="C61" s="687"/>
      <c r="D61" s="687"/>
      <c r="E61" s="687"/>
      <c r="F61" s="685" t="s">
        <v>1</v>
      </c>
      <c r="G61" s="685" t="s">
        <v>2450</v>
      </c>
      <c r="H61" s="641" t="s">
        <v>3074</v>
      </c>
      <c r="I61" s="1400">
        <v>1766</v>
      </c>
      <c r="J61" s="1400">
        <v>241</v>
      </c>
      <c r="K61" s="1400">
        <v>2007</v>
      </c>
      <c r="L61" s="149" t="str">
        <f t="shared" si="0"/>
        <v>142D</v>
      </c>
      <c r="M61" s="150" t="str">
        <f t="shared" si="1"/>
        <v>A/R VEHICULES 91-120 JRS</v>
      </c>
      <c r="N61" s="151">
        <f>+IF(OR($Q61=Parametres!$G$2,$Q61=Parametres!$G$3),I61,C61)</f>
        <v>1766</v>
      </c>
      <c r="O61" s="151">
        <f>+IF(OR($Q61=Parametres!$G$2,$Q61=Parametres!$G$3),J61,D61)</f>
        <v>241</v>
      </c>
      <c r="P61" s="151">
        <f>+IF(OR($Q61=Parametres!$G$2,$Q61=Parametres!$G$3),K61,E61)</f>
        <v>2007</v>
      </c>
      <c r="Q61" s="150" t="str">
        <f t="shared" si="2"/>
        <v>1-Mémo</v>
      </c>
      <c r="R61" s="149" t="str">
        <f t="shared" si="3"/>
        <v>142</v>
      </c>
      <c r="S61" s="150" t="str">
        <f t="shared" si="4"/>
        <v>_</v>
      </c>
      <c r="T61" s="152" t="str">
        <f>+VLOOKUP($L61,Data_Validation!$A:$D,1,0)</f>
        <v>142D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1312</v>
      </c>
      <c r="B62" s="685" t="s">
        <v>560</v>
      </c>
      <c r="C62" s="687"/>
      <c r="D62" s="687"/>
      <c r="E62" s="687"/>
      <c r="F62" s="685" t="s">
        <v>1</v>
      </c>
      <c r="G62" s="685" t="s">
        <v>2450</v>
      </c>
      <c r="H62" s="593" t="s">
        <v>3074</v>
      </c>
      <c r="I62" s="1401">
        <v>3950</v>
      </c>
      <c r="J62" s="1401">
        <v>2166</v>
      </c>
      <c r="K62" s="1401">
        <v>6116</v>
      </c>
      <c r="L62" s="149" t="str">
        <f t="shared" si="0"/>
        <v>142E</v>
      </c>
      <c r="M62" s="150" t="str">
        <f t="shared" si="1"/>
        <v>A/R VEHICULES 120 + JRS</v>
      </c>
      <c r="N62" s="151">
        <f>+IF(OR($Q62=Parametres!$G$2,$Q62=Parametres!$G$3),I62,C62)</f>
        <v>3950</v>
      </c>
      <c r="O62" s="151">
        <f>+IF(OR($Q62=Parametres!$G$2,$Q62=Parametres!$G$3),J62,D62)</f>
        <v>2166</v>
      </c>
      <c r="P62" s="151">
        <f>+IF(OR($Q62=Parametres!$G$2,$Q62=Parametres!$G$3),K62,E62)</f>
        <v>6116</v>
      </c>
      <c r="Q62" s="150" t="str">
        <f t="shared" si="2"/>
        <v>1-Mémo</v>
      </c>
      <c r="R62" s="149" t="str">
        <f t="shared" si="3"/>
        <v>142</v>
      </c>
      <c r="S62" s="150" t="str">
        <f t="shared" si="4"/>
        <v>_</v>
      </c>
      <c r="T62" s="152" t="str">
        <f>+VLOOKUP($L62,Data_Validation!$A:$D,1,0)</f>
        <v>142E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1313</v>
      </c>
      <c r="B63" s="685" t="s">
        <v>561</v>
      </c>
      <c r="C63" s="687"/>
      <c r="D63" s="687"/>
      <c r="E63" s="687"/>
      <c r="F63" s="685" t="s">
        <v>1</v>
      </c>
      <c r="G63" s="685" t="s">
        <v>2482</v>
      </c>
      <c r="H63" s="641" t="s">
        <v>3074</v>
      </c>
      <c r="I63" s="640">
        <v>49578</v>
      </c>
      <c r="J63" s="640">
        <v>1099</v>
      </c>
      <c r="K63" s="640">
        <v>50677</v>
      </c>
      <c r="L63" s="149" t="str">
        <f t="shared" si="0"/>
        <v>143B</v>
      </c>
      <c r="M63" s="150" t="str">
        <f t="shared" si="1"/>
        <v>A/R GARANTIE BMW 31-60 JRS</v>
      </c>
      <c r="N63" s="151">
        <f>+IF(OR($Q63=Parametres!$G$2,$Q63=Parametres!$G$3),I63,C63)</f>
        <v>49578</v>
      </c>
      <c r="O63" s="151">
        <f>+IF(OR($Q63=Parametres!$G$2,$Q63=Parametres!$G$3),J63,D63)</f>
        <v>1099</v>
      </c>
      <c r="P63" s="151">
        <f>+IF(OR($Q63=Parametres!$G$2,$Q63=Parametres!$G$3),K63,E63)</f>
        <v>50677</v>
      </c>
      <c r="Q63" s="150" t="str">
        <f t="shared" si="2"/>
        <v>1-Mémo</v>
      </c>
      <c r="R63" s="149" t="str">
        <f t="shared" si="3"/>
        <v>143</v>
      </c>
      <c r="S63" s="150" t="str">
        <f t="shared" si="4"/>
        <v>_</v>
      </c>
      <c r="T63" s="152" t="str">
        <f>+VLOOKUP($L63,Data_Validation!$A:$D,1,0)</f>
        <v>143B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1314</v>
      </c>
      <c r="B64" s="685" t="s">
        <v>562</v>
      </c>
      <c r="C64" s="1038"/>
      <c r="D64" s="1038"/>
      <c r="E64" s="1038"/>
      <c r="F64" s="685" t="s">
        <v>1</v>
      </c>
      <c r="G64" s="685" t="s">
        <v>2482</v>
      </c>
      <c r="H64" s="686" t="s">
        <v>3074</v>
      </c>
      <c r="I64" s="687">
        <v>38725</v>
      </c>
      <c r="J64" s="687">
        <v>1638</v>
      </c>
      <c r="K64" s="687">
        <v>40363</v>
      </c>
      <c r="L64" s="149" t="str">
        <f t="shared" si="0"/>
        <v>143C</v>
      </c>
      <c r="M64" s="150" t="str">
        <f t="shared" si="1"/>
        <v>A/R GARANTTIE BMW 61-90 JRS</v>
      </c>
      <c r="N64" s="151">
        <f>+IF(OR($Q64=Parametres!$G$2,$Q64=Parametres!$G$3),I64,C64)</f>
        <v>38725</v>
      </c>
      <c r="O64" s="496">
        <f>+IF(OR($Q64=Parametres!$G$2,$Q64=Parametres!$G$3),J64,D64)</f>
        <v>1638</v>
      </c>
      <c r="P64" s="151">
        <f>+IF(OR($Q64=Parametres!$G$2,$Q64=Parametres!$G$3),K64,E64)</f>
        <v>40363</v>
      </c>
      <c r="Q64" s="150" t="str">
        <f t="shared" si="2"/>
        <v>1-Mémo</v>
      </c>
      <c r="R64" s="149" t="str">
        <f t="shared" si="3"/>
        <v>143</v>
      </c>
      <c r="S64" s="150" t="str">
        <f t="shared" si="4"/>
        <v>_</v>
      </c>
      <c r="T64" s="152" t="str">
        <f>+VLOOKUP($L64,Data_Validation!$A:$D,1,0)</f>
        <v>143C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1315</v>
      </c>
      <c r="B65" s="685" t="s">
        <v>563</v>
      </c>
      <c r="C65" s="687"/>
      <c r="D65" s="687"/>
      <c r="E65" s="687"/>
      <c r="F65" s="685" t="s">
        <v>1</v>
      </c>
      <c r="G65" s="685" t="s">
        <v>2482</v>
      </c>
      <c r="H65" s="641" t="s">
        <v>3074</v>
      </c>
      <c r="I65" s="640">
        <v>0</v>
      </c>
      <c r="J65" s="640">
        <v>27</v>
      </c>
      <c r="K65" s="640">
        <v>27</v>
      </c>
      <c r="L65" s="149" t="str">
        <f t="shared" si="0"/>
        <v>143D</v>
      </c>
      <c r="M65" s="150" t="str">
        <f t="shared" si="1"/>
        <v>A/R GARANTIE BMW 91-120 JRS</v>
      </c>
      <c r="N65" s="151">
        <f>+IF(OR($Q65=Parametres!$G$2,$Q65=Parametres!$G$3),I65,C65)</f>
        <v>0</v>
      </c>
      <c r="O65" s="151">
        <f>+IF(OR($Q65=Parametres!$G$2,$Q65=Parametres!$G$3),J65,D65)</f>
        <v>27</v>
      </c>
      <c r="P65" s="151">
        <f>+IF(OR($Q65=Parametres!$G$2,$Q65=Parametres!$G$3),K65,E65)</f>
        <v>27</v>
      </c>
      <c r="Q65" s="150" t="str">
        <f t="shared" si="2"/>
        <v>1-Mémo</v>
      </c>
      <c r="R65" s="149" t="str">
        <f t="shared" si="3"/>
        <v>143</v>
      </c>
      <c r="S65" s="150" t="str">
        <f t="shared" si="4"/>
        <v>_</v>
      </c>
      <c r="T65" s="152" t="str">
        <f>+VLOOKUP($L65,Data_Validation!$A:$D,1,0)</f>
        <v>143D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1316</v>
      </c>
      <c r="B66" s="685" t="s">
        <v>564</v>
      </c>
      <c r="C66" s="687"/>
      <c r="D66" s="687"/>
      <c r="E66" s="687"/>
      <c r="F66" s="685" t="s">
        <v>1</v>
      </c>
      <c r="G66" s="685" t="s">
        <v>2451</v>
      </c>
      <c r="H66" s="634" t="s">
        <v>3074</v>
      </c>
      <c r="I66" s="633">
        <v>150873</v>
      </c>
      <c r="J66" s="633">
        <v>19436</v>
      </c>
      <c r="K66" s="633">
        <v>170309</v>
      </c>
      <c r="L66" s="149" t="str">
        <f t="shared" ref="L66:L129" si="5">+B66</f>
        <v>144B</v>
      </c>
      <c r="M66" s="150" t="str">
        <f t="shared" ref="M66:M129" si="6">+A66</f>
        <v>A/R PIECES+SERVICE 31-60 JRS</v>
      </c>
      <c r="N66" s="151">
        <f>+IF(OR($Q66=Parametres!$G$2,$Q66=Parametres!$G$3),I66,C66)</f>
        <v>150873</v>
      </c>
      <c r="O66" s="151">
        <f>+IF(OR($Q66=Parametres!$G$2,$Q66=Parametres!$G$3),J66,D66)</f>
        <v>19436</v>
      </c>
      <c r="P66" s="151">
        <f>+IF(OR($Q66=Parametres!$G$2,$Q66=Parametres!$G$3),K66,E66)</f>
        <v>170309</v>
      </c>
      <c r="Q66" s="150" t="str">
        <f t="shared" ref="Q66:Q129" si="7">+F66</f>
        <v>1-Mémo</v>
      </c>
      <c r="R66" s="149" t="str">
        <f t="shared" ref="R66:R129" si="8">+G66</f>
        <v>144</v>
      </c>
      <c r="S66" s="150" t="str">
        <f t="shared" ref="S66:S129" si="9">+H66</f>
        <v>_</v>
      </c>
      <c r="T66" s="152" t="str">
        <f>+VLOOKUP($L66,Data_Validation!$A:$D,1,0)</f>
        <v>144B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1317</v>
      </c>
      <c r="B67" s="685" t="s">
        <v>565</v>
      </c>
      <c r="C67" s="687"/>
      <c r="D67" s="687"/>
      <c r="E67" s="687"/>
      <c r="F67" s="685" t="s">
        <v>1</v>
      </c>
      <c r="G67" s="685" t="s">
        <v>2451</v>
      </c>
      <c r="H67" s="641" t="s">
        <v>3074</v>
      </c>
      <c r="I67" s="640">
        <v>58819</v>
      </c>
      <c r="J67" s="640">
        <v>9029</v>
      </c>
      <c r="K67" s="640">
        <v>67848</v>
      </c>
      <c r="L67" s="149" t="str">
        <f t="shared" si="5"/>
        <v>144C</v>
      </c>
      <c r="M67" s="150" t="str">
        <f t="shared" si="6"/>
        <v>A/R PIECES+SERVICE 61-90 JRS</v>
      </c>
      <c r="N67" s="151">
        <f>+IF(OR($Q67=Parametres!$G$2,$Q67=Parametres!$G$3),I67,C67)</f>
        <v>58819</v>
      </c>
      <c r="O67" s="151">
        <f>+IF(OR($Q67=Parametres!$G$2,$Q67=Parametres!$G$3),J67,D67)</f>
        <v>9029</v>
      </c>
      <c r="P67" s="151">
        <f>+IF(OR($Q67=Parametres!$G$2,$Q67=Parametres!$G$3),K67,E67)</f>
        <v>67848</v>
      </c>
      <c r="Q67" s="150" t="str">
        <f t="shared" si="7"/>
        <v>1-Mémo</v>
      </c>
      <c r="R67" s="149" t="str">
        <f t="shared" si="8"/>
        <v>144</v>
      </c>
      <c r="S67" s="150" t="str">
        <f t="shared" si="9"/>
        <v>_</v>
      </c>
      <c r="T67" s="152" t="str">
        <f>+VLOOKUP($L67,Data_Validation!$A:$D,1,0)</f>
        <v>144C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1318</v>
      </c>
      <c r="B68" s="685" t="s">
        <v>566</v>
      </c>
      <c r="C68" s="687"/>
      <c r="D68" s="687"/>
      <c r="E68" s="687"/>
      <c r="F68" s="685" t="s">
        <v>1</v>
      </c>
      <c r="G68" s="685" t="s">
        <v>2451</v>
      </c>
      <c r="H68" s="634" t="s">
        <v>3074</v>
      </c>
      <c r="I68" s="633">
        <v>38069</v>
      </c>
      <c r="J68" s="633">
        <v>6779</v>
      </c>
      <c r="K68" s="633">
        <v>44848</v>
      </c>
      <c r="L68" s="149" t="str">
        <f t="shared" si="5"/>
        <v>144D</v>
      </c>
      <c r="M68" s="150" t="str">
        <f t="shared" si="6"/>
        <v>A/R PIECES+SERVICE 91-120 JRS</v>
      </c>
      <c r="N68" s="151">
        <f>+IF(OR($Q68=Parametres!$G$2,$Q68=Parametres!$G$3),I68,C68)</f>
        <v>38069</v>
      </c>
      <c r="O68" s="151">
        <f>+IF(OR($Q68=Parametres!$G$2,$Q68=Parametres!$G$3),J68,D68)</f>
        <v>6779</v>
      </c>
      <c r="P68" s="151">
        <f>+IF(OR($Q68=Parametres!$G$2,$Q68=Parametres!$G$3),K68,E68)</f>
        <v>44848</v>
      </c>
      <c r="Q68" s="150" t="str">
        <f t="shared" si="7"/>
        <v>1-Mémo</v>
      </c>
      <c r="R68" s="149" t="str">
        <f t="shared" si="8"/>
        <v>144</v>
      </c>
      <c r="S68" s="150" t="str">
        <f t="shared" si="9"/>
        <v>_</v>
      </c>
      <c r="T68" s="152" t="str">
        <f>+VLOOKUP($L68,Data_Validation!$A:$D,1,0)</f>
        <v>144D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1319</v>
      </c>
      <c r="B69" s="685" t="s">
        <v>567</v>
      </c>
      <c r="C69" s="687"/>
      <c r="D69" s="687"/>
      <c r="E69" s="687"/>
      <c r="F69" s="685" t="s">
        <v>1</v>
      </c>
      <c r="G69" s="685" t="s">
        <v>2451</v>
      </c>
      <c r="H69" s="641" t="s">
        <v>3074</v>
      </c>
      <c r="I69" s="640">
        <v>43039</v>
      </c>
      <c r="J69" s="640">
        <v>25096</v>
      </c>
      <c r="K69" s="640">
        <v>68135</v>
      </c>
      <c r="L69" s="149" t="str">
        <f t="shared" si="5"/>
        <v>144E</v>
      </c>
      <c r="M69" s="150" t="str">
        <f t="shared" si="6"/>
        <v>A/R PIECES+SERVICE 120+ JRS</v>
      </c>
      <c r="N69" s="151">
        <f>+IF(OR($Q69=Parametres!$G$2,$Q69=Parametres!$G$3),I69,C69)</f>
        <v>43039</v>
      </c>
      <c r="O69" s="151">
        <f>+IF(OR($Q69=Parametres!$G$2,$Q69=Parametres!$G$3),J69,D69)</f>
        <v>25096</v>
      </c>
      <c r="P69" s="151">
        <f>+IF(OR($Q69=Parametres!$G$2,$Q69=Parametres!$G$3),K69,E69)</f>
        <v>68135</v>
      </c>
      <c r="Q69" s="150" t="str">
        <f t="shared" si="7"/>
        <v>1-Mémo</v>
      </c>
      <c r="R69" s="149" t="str">
        <f t="shared" si="8"/>
        <v>144</v>
      </c>
      <c r="S69" s="150" t="str">
        <f t="shared" si="9"/>
        <v>_</v>
      </c>
      <c r="T69" s="152" t="str">
        <f>+VLOOKUP($L69,Data_Validation!$A:$D,1,0)</f>
        <v>144E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1320</v>
      </c>
      <c r="B70" s="685" t="s">
        <v>568</v>
      </c>
      <c r="C70" s="687"/>
      <c r="D70" s="687"/>
      <c r="E70" s="687"/>
      <c r="F70" s="685" t="s">
        <v>1</v>
      </c>
      <c r="G70" s="685" t="s">
        <v>568</v>
      </c>
      <c r="H70" s="634" t="s">
        <v>3074</v>
      </c>
      <c r="I70" s="633">
        <v>1025355</v>
      </c>
      <c r="J70" s="633">
        <v>0</v>
      </c>
      <c r="K70" s="633">
        <v>1025355</v>
      </c>
      <c r="L70" s="149" t="str">
        <f t="shared" si="5"/>
        <v>145</v>
      </c>
      <c r="M70" s="150" t="str">
        <f t="shared" si="6"/>
        <v>FONDS DE ROULEMENT REQUIS</v>
      </c>
      <c r="N70" s="151">
        <f>+IF(OR($Q70=Parametres!$G$2,$Q70=Parametres!$G$3),I70,C70)</f>
        <v>1025355</v>
      </c>
      <c r="O70" s="151">
        <f>+IF(OR($Q70=Parametres!$G$2,$Q70=Parametres!$G$3),J70,D70)</f>
        <v>0</v>
      </c>
      <c r="P70" s="151">
        <f>+IF(OR($Q70=Parametres!$G$2,$Q70=Parametres!$G$3),K70,E70)</f>
        <v>1025355</v>
      </c>
      <c r="Q70" s="150" t="str">
        <f t="shared" si="7"/>
        <v>1-Mémo</v>
      </c>
      <c r="R70" s="149" t="str">
        <f t="shared" si="8"/>
        <v>145</v>
      </c>
      <c r="S70" s="150" t="str">
        <f t="shared" si="9"/>
        <v>_</v>
      </c>
      <c r="T70" s="152" t="str">
        <f>+VLOOKUP($L70,Data_Validation!$A:$D,1,0)</f>
        <v>145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1321</v>
      </c>
      <c r="B71" s="685" t="s">
        <v>569</v>
      </c>
      <c r="C71" s="687"/>
      <c r="D71" s="687"/>
      <c r="E71" s="687"/>
      <c r="F71" s="685" t="s">
        <v>1</v>
      </c>
      <c r="G71" s="685" t="s">
        <v>569</v>
      </c>
      <c r="H71" s="641" t="s">
        <v>3074</v>
      </c>
      <c r="I71" s="640">
        <v>1066102</v>
      </c>
      <c r="J71" s="640">
        <v>154163</v>
      </c>
      <c r="K71" s="640">
        <v>1220265</v>
      </c>
      <c r="L71" s="149" t="str">
        <f t="shared" si="5"/>
        <v>154B</v>
      </c>
      <c r="M71" s="150" t="str">
        <f t="shared" si="6"/>
        <v>$ INV USAGE BMW AUTO 31-60 JRS</v>
      </c>
      <c r="N71" s="151">
        <f>+IF(OR($Q71=Parametres!$G$2,$Q71=Parametres!$G$3),I71,C71)</f>
        <v>1066102</v>
      </c>
      <c r="O71" s="151">
        <f>+IF(OR($Q71=Parametres!$G$2,$Q71=Parametres!$G$3),J71,D71)</f>
        <v>154163</v>
      </c>
      <c r="P71" s="151">
        <f>+IF(OR($Q71=Parametres!$G$2,$Q71=Parametres!$G$3),K71,E71)</f>
        <v>1220265</v>
      </c>
      <c r="Q71" s="150" t="str">
        <f t="shared" si="7"/>
        <v>1-Mémo</v>
      </c>
      <c r="R71" s="149" t="str">
        <f t="shared" si="8"/>
        <v>154B</v>
      </c>
      <c r="S71" s="150" t="str">
        <f t="shared" si="9"/>
        <v>_</v>
      </c>
      <c r="T71" s="152" t="str">
        <f>+VLOOKUP($L71,Data_Validation!$A:$D,1,0)</f>
        <v>154B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1322</v>
      </c>
      <c r="B72" s="685" t="s">
        <v>570</v>
      </c>
      <c r="C72" s="687"/>
      <c r="D72" s="687"/>
      <c r="E72" s="687"/>
      <c r="F72" s="685" t="s">
        <v>1</v>
      </c>
      <c r="G72" s="685" t="s">
        <v>569</v>
      </c>
      <c r="H72" s="641" t="s">
        <v>3074</v>
      </c>
      <c r="I72" s="640">
        <v>701228</v>
      </c>
      <c r="J72" s="640">
        <v>121702</v>
      </c>
      <c r="K72" s="640">
        <v>822930</v>
      </c>
      <c r="L72" s="149" t="str">
        <f t="shared" si="5"/>
        <v>154C</v>
      </c>
      <c r="M72" s="150" t="str">
        <f t="shared" si="6"/>
        <v>$ INV USAGE BMW AUTO 61-90 JRS</v>
      </c>
      <c r="N72" s="151">
        <f>+IF(OR($Q72=Parametres!$G$2,$Q72=Parametres!$G$3),I72,C72)</f>
        <v>701228</v>
      </c>
      <c r="O72" s="151">
        <f>+IF(OR($Q72=Parametres!$G$2,$Q72=Parametres!$G$3),J72,D72)</f>
        <v>121702</v>
      </c>
      <c r="P72" s="151">
        <f>+IF(OR($Q72=Parametres!$G$2,$Q72=Parametres!$G$3),K72,E72)</f>
        <v>822930</v>
      </c>
      <c r="Q72" s="150" t="str">
        <f t="shared" si="7"/>
        <v>1-Mémo</v>
      </c>
      <c r="R72" s="149" t="str">
        <f t="shared" si="8"/>
        <v>154B</v>
      </c>
      <c r="S72" s="150" t="str">
        <f t="shared" si="9"/>
        <v>_</v>
      </c>
      <c r="T72" s="152" t="str">
        <f>+VLOOKUP($L72,Data_Validation!$A:$D,1,0)</f>
        <v>154C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1323</v>
      </c>
      <c r="B73" s="685" t="s">
        <v>571</v>
      </c>
      <c r="C73" s="687"/>
      <c r="D73" s="687"/>
      <c r="E73" s="687"/>
      <c r="F73" s="685" t="s">
        <v>1</v>
      </c>
      <c r="G73" s="685" t="s">
        <v>569</v>
      </c>
      <c r="H73" s="634" t="s">
        <v>3074</v>
      </c>
      <c r="I73" s="633">
        <v>187623</v>
      </c>
      <c r="J73" s="633">
        <v>46689</v>
      </c>
      <c r="K73" s="633">
        <v>234312</v>
      </c>
      <c r="L73" s="149" t="str">
        <f t="shared" si="5"/>
        <v>154D</v>
      </c>
      <c r="M73" s="150" t="str">
        <f t="shared" si="6"/>
        <v>$ INV USAGE BMW AUTO 91-120 JRS</v>
      </c>
      <c r="N73" s="151">
        <f>+IF(OR($Q73=Parametres!$G$2,$Q73=Parametres!$G$3),I73,C73)</f>
        <v>187623</v>
      </c>
      <c r="O73" s="151">
        <f>+IF(OR($Q73=Parametres!$G$2,$Q73=Parametres!$G$3),J73,D73)</f>
        <v>46689</v>
      </c>
      <c r="P73" s="151">
        <f>+IF(OR($Q73=Parametres!$G$2,$Q73=Parametres!$G$3),K73,E73)</f>
        <v>234312</v>
      </c>
      <c r="Q73" s="150" t="str">
        <f t="shared" si="7"/>
        <v>1-Mémo</v>
      </c>
      <c r="R73" s="149" t="str">
        <f t="shared" si="8"/>
        <v>154B</v>
      </c>
      <c r="S73" s="150" t="str">
        <f t="shared" si="9"/>
        <v>_</v>
      </c>
      <c r="T73" s="152" t="str">
        <f>+VLOOKUP($L73,Data_Validation!$A:$D,1,0)</f>
        <v>154D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1324</v>
      </c>
      <c r="B74" s="685" t="s">
        <v>572</v>
      </c>
      <c r="C74" s="687"/>
      <c r="D74" s="687"/>
      <c r="E74" s="687"/>
      <c r="F74" s="685" t="s">
        <v>1</v>
      </c>
      <c r="G74" s="685" t="s">
        <v>569</v>
      </c>
      <c r="H74" s="641" t="s">
        <v>3074</v>
      </c>
      <c r="I74" s="640">
        <v>148800</v>
      </c>
      <c r="J74" s="640">
        <v>0</v>
      </c>
      <c r="K74" s="640">
        <v>148800</v>
      </c>
      <c r="L74" s="149" t="str">
        <f t="shared" si="5"/>
        <v>154E</v>
      </c>
      <c r="M74" s="150" t="str">
        <f t="shared" si="6"/>
        <v>$ INV USAGE BMW AUTO 120+ JRS</v>
      </c>
      <c r="N74" s="151">
        <f>+IF(OR($Q74=Parametres!$G$2,$Q74=Parametres!$G$3),I74,C74)</f>
        <v>148800</v>
      </c>
      <c r="O74" s="151">
        <f>+IF(OR($Q74=Parametres!$G$2,$Q74=Parametres!$G$3),J74,D74)</f>
        <v>0</v>
      </c>
      <c r="P74" s="151">
        <f>+IF(OR($Q74=Parametres!$G$2,$Q74=Parametres!$G$3),K74,E74)</f>
        <v>148800</v>
      </c>
      <c r="Q74" s="150" t="str">
        <f t="shared" si="7"/>
        <v>1-Mémo</v>
      </c>
      <c r="R74" s="149" t="str">
        <f t="shared" si="8"/>
        <v>154B</v>
      </c>
      <c r="S74" s="150" t="str">
        <f t="shared" si="9"/>
        <v>_</v>
      </c>
      <c r="T74" s="152" t="str">
        <f>+VLOOKUP($L74,Data_Validation!$A:$D,1,0)</f>
        <v>154E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1325</v>
      </c>
      <c r="B75" s="685" t="s">
        <v>573</v>
      </c>
      <c r="C75" s="687"/>
      <c r="D75" s="687"/>
      <c r="E75" s="687"/>
      <c r="F75" s="685" t="s">
        <v>1</v>
      </c>
      <c r="G75" s="685" t="s">
        <v>573</v>
      </c>
      <c r="H75" s="634" t="s">
        <v>3074</v>
      </c>
      <c r="I75" s="633">
        <v>0.56000000000000005</v>
      </c>
      <c r="J75" s="633">
        <v>0.09</v>
      </c>
      <c r="K75" s="633">
        <v>0.65</v>
      </c>
      <c r="L75" s="149" t="str">
        <f t="shared" si="5"/>
        <v>156</v>
      </c>
      <c r="M75" s="150" t="str">
        <f t="shared" si="6"/>
        <v>NB INV + 30 JOURS USAGE BMW AUTO</v>
      </c>
      <c r="N75" s="151">
        <f>+IF(OR($Q75=Parametres!$G$2,$Q75=Parametres!$G$3),I75,C75)</f>
        <v>0.56000000000000005</v>
      </c>
      <c r="O75" s="151">
        <f>+IF(OR($Q75=Parametres!$G$2,$Q75=Parametres!$G$3),J75,D75)</f>
        <v>0.09</v>
      </c>
      <c r="P75" s="151">
        <f>+IF(OR($Q75=Parametres!$G$2,$Q75=Parametres!$G$3),K75,E75)</f>
        <v>0.65</v>
      </c>
      <c r="Q75" s="150" t="str">
        <f t="shared" si="7"/>
        <v>1-Mémo</v>
      </c>
      <c r="R75" s="149" t="str">
        <f t="shared" si="8"/>
        <v>156</v>
      </c>
      <c r="S75" s="150" t="str">
        <f t="shared" si="9"/>
        <v>_</v>
      </c>
      <c r="T75" s="152" t="str">
        <f>+VLOOKUP($L75,Data_Validation!$A:$D,1,0)</f>
        <v>156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1326</v>
      </c>
      <c r="B76" s="685" t="s">
        <v>574</v>
      </c>
      <c r="C76" s="687"/>
      <c r="D76" s="687"/>
      <c r="E76" s="687"/>
      <c r="F76" s="685" t="s">
        <v>1</v>
      </c>
      <c r="G76" s="685" t="s">
        <v>574</v>
      </c>
      <c r="H76" s="641" t="s">
        <v>3074</v>
      </c>
      <c r="I76" s="640">
        <v>1153266</v>
      </c>
      <c r="J76" s="640">
        <v>207945</v>
      </c>
      <c r="K76" s="640">
        <v>1361211</v>
      </c>
      <c r="L76" s="149" t="str">
        <f t="shared" si="5"/>
        <v>157B</v>
      </c>
      <c r="M76" s="150" t="str">
        <f t="shared" si="6"/>
        <v>$ INV USAGE AUTRE 31-60 JRS</v>
      </c>
      <c r="N76" s="151">
        <f>+IF(OR($Q76=Parametres!$G$2,$Q76=Parametres!$G$3),I76,C76)</f>
        <v>1153266</v>
      </c>
      <c r="O76" s="151">
        <f>+IF(OR($Q76=Parametres!$G$2,$Q76=Parametres!$G$3),J76,D76)</f>
        <v>207945</v>
      </c>
      <c r="P76" s="151">
        <f>+IF(OR($Q76=Parametres!$G$2,$Q76=Parametres!$G$3),K76,E76)</f>
        <v>1361211</v>
      </c>
      <c r="Q76" s="150" t="str">
        <f t="shared" si="7"/>
        <v>1-Mémo</v>
      </c>
      <c r="R76" s="149" t="str">
        <f t="shared" si="8"/>
        <v>157B</v>
      </c>
      <c r="S76" s="150" t="str">
        <f t="shared" si="9"/>
        <v>_</v>
      </c>
      <c r="T76" s="152" t="str">
        <f>+VLOOKUP($L76,Data_Validation!$A:$D,1,0)</f>
        <v>157B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1327</v>
      </c>
      <c r="B77" s="685" t="s">
        <v>575</v>
      </c>
      <c r="C77" s="687"/>
      <c r="D77" s="687"/>
      <c r="E77" s="687"/>
      <c r="F77" s="685" t="s">
        <v>1</v>
      </c>
      <c r="G77" s="685" t="s">
        <v>574</v>
      </c>
      <c r="H77" s="634" t="s">
        <v>3074</v>
      </c>
      <c r="I77" s="633">
        <v>287423</v>
      </c>
      <c r="J77" s="633">
        <v>158766</v>
      </c>
      <c r="K77" s="633">
        <v>446189</v>
      </c>
      <c r="L77" s="149" t="str">
        <f t="shared" si="5"/>
        <v>157C</v>
      </c>
      <c r="M77" s="150" t="str">
        <f t="shared" si="6"/>
        <v>$ INV USAGE AUTRE 61-90 JRS</v>
      </c>
      <c r="N77" s="151">
        <f>+IF(OR($Q77=Parametres!$G$2,$Q77=Parametres!$G$3),I77,C77)</f>
        <v>287423</v>
      </c>
      <c r="O77" s="151">
        <f>+IF(OR($Q77=Parametres!$G$2,$Q77=Parametres!$G$3),J77,D77)</f>
        <v>158766</v>
      </c>
      <c r="P77" s="151">
        <f>+IF(OR($Q77=Parametres!$G$2,$Q77=Parametres!$G$3),K77,E77)</f>
        <v>446189</v>
      </c>
      <c r="Q77" s="150" t="str">
        <f t="shared" si="7"/>
        <v>1-Mémo</v>
      </c>
      <c r="R77" s="149" t="str">
        <f t="shared" si="8"/>
        <v>157B</v>
      </c>
      <c r="S77" s="150" t="str">
        <f t="shared" si="9"/>
        <v>_</v>
      </c>
      <c r="T77" s="152" t="str">
        <f>+VLOOKUP($L77,Data_Validation!$A:$D,1,0)</f>
        <v>157C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1328</v>
      </c>
      <c r="B78" s="685" t="s">
        <v>576</v>
      </c>
      <c r="C78" s="687"/>
      <c r="D78" s="687"/>
      <c r="E78" s="687"/>
      <c r="F78" s="685" t="s">
        <v>1</v>
      </c>
      <c r="G78" s="685" t="s">
        <v>574</v>
      </c>
      <c r="H78" s="641" t="s">
        <v>3074</v>
      </c>
      <c r="I78" s="640">
        <v>96865</v>
      </c>
      <c r="J78" s="640">
        <v>0</v>
      </c>
      <c r="K78" s="640">
        <v>96865</v>
      </c>
      <c r="L78" s="149" t="str">
        <f t="shared" si="5"/>
        <v>157D</v>
      </c>
      <c r="M78" s="150" t="str">
        <f t="shared" si="6"/>
        <v>$ INV USAGE AUTRE 91-120 JRS</v>
      </c>
      <c r="N78" s="151">
        <f>+IF(OR($Q78=Parametres!$G$2,$Q78=Parametres!$G$3),I78,C78)</f>
        <v>96865</v>
      </c>
      <c r="O78" s="151">
        <f>+IF(OR($Q78=Parametres!$G$2,$Q78=Parametres!$G$3),J78,D78)</f>
        <v>0</v>
      </c>
      <c r="P78" s="151">
        <f>+IF(OR($Q78=Parametres!$G$2,$Q78=Parametres!$G$3),K78,E78)</f>
        <v>96865</v>
      </c>
      <c r="Q78" s="150" t="str">
        <f t="shared" si="7"/>
        <v>1-Mémo</v>
      </c>
      <c r="R78" s="149" t="str">
        <f t="shared" si="8"/>
        <v>157B</v>
      </c>
      <c r="S78" s="150" t="str">
        <f t="shared" si="9"/>
        <v>_</v>
      </c>
      <c r="T78" s="152" t="str">
        <f>+VLOOKUP($L78,Data_Validation!$A:$D,1,0)</f>
        <v>157D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1329</v>
      </c>
      <c r="B79" s="685" t="s">
        <v>1330</v>
      </c>
      <c r="C79" s="687"/>
      <c r="D79" s="687"/>
      <c r="E79" s="687"/>
      <c r="F79" s="685" t="s">
        <v>1</v>
      </c>
      <c r="G79" s="685" t="s">
        <v>574</v>
      </c>
      <c r="H79" s="641" t="s">
        <v>3074</v>
      </c>
      <c r="I79" s="640">
        <v>0</v>
      </c>
      <c r="J79" s="640">
        <v>50758</v>
      </c>
      <c r="K79" s="640">
        <v>50758</v>
      </c>
      <c r="L79" s="149" t="str">
        <f t="shared" si="5"/>
        <v>157E</v>
      </c>
      <c r="M79" s="150" t="str">
        <f t="shared" si="6"/>
        <v>$ INV USAGE AUTRE 120+ JRS</v>
      </c>
      <c r="N79" s="151">
        <f>+IF(OR($Q79=Parametres!$G$2,$Q79=Parametres!$G$3),I79,C79)</f>
        <v>0</v>
      </c>
      <c r="O79" s="151">
        <f>+IF(OR($Q79=Parametres!$G$2,$Q79=Parametres!$G$3),J79,D79)</f>
        <v>50758</v>
      </c>
      <c r="P79" s="151">
        <f>+IF(OR($Q79=Parametres!$G$2,$Q79=Parametres!$G$3),K79,E79)</f>
        <v>50758</v>
      </c>
      <c r="Q79" s="150" t="str">
        <f t="shared" si="7"/>
        <v>1-Mémo</v>
      </c>
      <c r="R79" s="149" t="str">
        <f t="shared" si="8"/>
        <v>157B</v>
      </c>
      <c r="S79" s="150" t="str">
        <f t="shared" si="9"/>
        <v>_</v>
      </c>
      <c r="T79" s="152" t="str">
        <f>+VLOOKUP($L79,Data_Validation!$A:$D,1,0)</f>
        <v>157E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1331</v>
      </c>
      <c r="B80" s="685" t="s">
        <v>577</v>
      </c>
      <c r="C80" s="687"/>
      <c r="D80" s="687"/>
      <c r="E80" s="687"/>
      <c r="F80" s="685" t="s">
        <v>1</v>
      </c>
      <c r="G80" s="685" t="s">
        <v>577</v>
      </c>
      <c r="H80" s="593" t="s">
        <v>3074</v>
      </c>
      <c r="I80" s="595">
        <v>1</v>
      </c>
      <c r="J80" s="595">
        <v>0</v>
      </c>
      <c r="K80" s="595">
        <v>1</v>
      </c>
      <c r="L80" s="149" t="str">
        <f t="shared" si="5"/>
        <v>160Z</v>
      </c>
      <c r="M80" s="150" t="str">
        <f t="shared" si="6"/>
        <v>NB EMP. PROPRIETAIRE ADMIN.</v>
      </c>
      <c r="N80" s="151">
        <f>+IF(OR($Q80=Parametres!$G$2,$Q80=Parametres!$G$3),I80,C80)</f>
        <v>1</v>
      </c>
      <c r="O80" s="496">
        <f>+IF(OR($Q80=Parametres!$G$2,$Q80=Parametres!$G$3),J80,D80)</f>
        <v>0</v>
      </c>
      <c r="P80" s="151">
        <f>+IF(OR($Q80=Parametres!$G$2,$Q80=Parametres!$G$3),K80,E80)</f>
        <v>1</v>
      </c>
      <c r="Q80" s="150" t="str">
        <f t="shared" si="7"/>
        <v>1-Mémo</v>
      </c>
      <c r="R80" s="149" t="str">
        <f t="shared" si="8"/>
        <v>160Z</v>
      </c>
      <c r="S80" s="150" t="str">
        <f t="shared" si="9"/>
        <v>_</v>
      </c>
      <c r="T80" s="152" t="str">
        <f>+VLOOKUP($L80,Data_Validation!$A:$D,1,0)</f>
        <v>160Z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1332</v>
      </c>
      <c r="B81" s="685" t="s">
        <v>578</v>
      </c>
      <c r="C81" s="687"/>
      <c r="D81" s="687"/>
      <c r="E81" s="687"/>
      <c r="F81" s="685" t="s">
        <v>1</v>
      </c>
      <c r="G81" s="685" t="s">
        <v>2452</v>
      </c>
      <c r="H81" s="641" t="s">
        <v>3074</v>
      </c>
      <c r="I81" s="640">
        <v>0.5</v>
      </c>
      <c r="J81" s="640">
        <v>0</v>
      </c>
      <c r="K81" s="640">
        <v>0.5</v>
      </c>
      <c r="L81" s="149" t="str">
        <f t="shared" si="5"/>
        <v>161A</v>
      </c>
      <c r="M81" s="150" t="str">
        <f t="shared" si="6"/>
        <v>NB EMP. SUPERVISION - NEUF</v>
      </c>
      <c r="N81" s="151">
        <f>+IF(OR($Q81=Parametres!$G$2,$Q81=Parametres!$G$3),I81,C81)</f>
        <v>0.5</v>
      </c>
      <c r="O81" s="151">
        <f>+IF(OR($Q81=Parametres!$G$2,$Q81=Parametres!$G$3),J81,D81)</f>
        <v>0</v>
      </c>
      <c r="P81" s="151">
        <f>+IF(OR($Q81=Parametres!$G$2,$Q81=Parametres!$G$3),K81,E81)</f>
        <v>0.5</v>
      </c>
      <c r="Q81" s="150" t="str">
        <f t="shared" si="7"/>
        <v>1-Mémo</v>
      </c>
      <c r="R81" s="149" t="str">
        <f t="shared" si="8"/>
        <v>161</v>
      </c>
      <c r="S81" s="150" t="str">
        <f t="shared" si="9"/>
        <v>_</v>
      </c>
      <c r="T81" s="152" t="str">
        <f>+VLOOKUP($L81,Data_Validation!$A:$D,1,0)</f>
        <v>161A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1333</v>
      </c>
      <c r="B82" s="639" t="s">
        <v>579</v>
      </c>
      <c r="C82" s="640"/>
      <c r="D82" s="640"/>
      <c r="E82" s="640"/>
      <c r="F82" s="639" t="s">
        <v>1</v>
      </c>
      <c r="G82" s="639" t="s">
        <v>2452</v>
      </c>
      <c r="H82" s="634" t="s">
        <v>3074</v>
      </c>
      <c r="I82" s="633">
        <v>0.5</v>
      </c>
      <c r="J82" s="633">
        <v>0</v>
      </c>
      <c r="K82" s="633">
        <v>0.5</v>
      </c>
      <c r="L82" s="149" t="str">
        <f t="shared" si="5"/>
        <v>161B</v>
      </c>
      <c r="M82" s="150" t="str">
        <f t="shared" si="6"/>
        <v>NB EMP. SUPERVISION - USAGE</v>
      </c>
      <c r="N82" s="151">
        <f>+IF(OR($Q82=Parametres!$G$2,$Q82=Parametres!$G$3),I82,C82)</f>
        <v>0.5</v>
      </c>
      <c r="O82" s="151">
        <f>+IF(OR($Q82=Parametres!$G$2,$Q82=Parametres!$G$3),J82,D82)</f>
        <v>0</v>
      </c>
      <c r="P82" s="151">
        <f>+IF(OR($Q82=Parametres!$G$2,$Q82=Parametres!$G$3),K82,E82)</f>
        <v>0.5</v>
      </c>
      <c r="Q82" s="150" t="str">
        <f t="shared" si="7"/>
        <v>1-Mémo</v>
      </c>
      <c r="R82" s="149" t="str">
        <f t="shared" si="8"/>
        <v>161</v>
      </c>
      <c r="S82" s="150" t="str">
        <f t="shared" si="9"/>
        <v>_</v>
      </c>
      <c r="T82" s="152" t="str">
        <f>+VLOOKUP($L82,Data_Validation!$A:$D,1,0)</f>
        <v>161B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1334</v>
      </c>
      <c r="B83" s="685" t="s">
        <v>580</v>
      </c>
      <c r="C83" s="687"/>
      <c r="D83" s="687"/>
      <c r="E83" s="687"/>
      <c r="F83" s="685" t="s">
        <v>1</v>
      </c>
      <c r="G83" s="685" t="s">
        <v>2452</v>
      </c>
      <c r="H83" s="641" t="s">
        <v>3074</v>
      </c>
      <c r="I83" s="640">
        <v>0.5</v>
      </c>
      <c r="J83" s="640">
        <v>0</v>
      </c>
      <c r="K83" s="640">
        <v>0.5</v>
      </c>
      <c r="L83" s="149" t="str">
        <f t="shared" si="5"/>
        <v>161C</v>
      </c>
      <c r="M83" s="150" t="str">
        <f t="shared" si="6"/>
        <v>NB EMP. SUPERBISION - SERVICE</v>
      </c>
      <c r="N83" s="151">
        <f>+IF(OR($Q83=Parametres!$G$2,$Q83=Parametres!$G$3),I83,C83)</f>
        <v>0.5</v>
      </c>
      <c r="O83" s="151">
        <f>+IF(OR($Q83=Parametres!$G$2,$Q83=Parametres!$G$3),J83,D83)</f>
        <v>0</v>
      </c>
      <c r="P83" s="151">
        <f>+IF(OR($Q83=Parametres!$G$2,$Q83=Parametres!$G$3),K83,E83)</f>
        <v>0.5</v>
      </c>
      <c r="Q83" s="150" t="str">
        <f t="shared" si="7"/>
        <v>1-Mémo</v>
      </c>
      <c r="R83" s="149" t="str">
        <f t="shared" si="8"/>
        <v>161</v>
      </c>
      <c r="S83" s="150" t="str">
        <f t="shared" si="9"/>
        <v>_</v>
      </c>
      <c r="T83" s="152" t="str">
        <f>+VLOOKUP($L83,Data_Validation!$A:$D,1,0)</f>
        <v>161C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1335</v>
      </c>
      <c r="B84" s="685" t="s">
        <v>581</v>
      </c>
      <c r="C84" s="687"/>
      <c r="D84" s="687"/>
      <c r="E84" s="687"/>
      <c r="F84" s="685" t="s">
        <v>1</v>
      </c>
      <c r="G84" s="685" t="s">
        <v>2452</v>
      </c>
      <c r="H84" s="641" t="s">
        <v>3074</v>
      </c>
      <c r="I84" s="640">
        <v>0.5</v>
      </c>
      <c r="J84" s="640">
        <v>0</v>
      </c>
      <c r="K84" s="640">
        <v>0.5</v>
      </c>
      <c r="L84" s="149" t="str">
        <f t="shared" si="5"/>
        <v>161D</v>
      </c>
      <c r="M84" s="150" t="str">
        <f t="shared" si="6"/>
        <v>NB EMP. SUPERVISION - PIECES</v>
      </c>
      <c r="N84" s="151">
        <f>+IF(OR($Q84=Parametres!$G$2,$Q84=Parametres!$G$3),I84,C84)</f>
        <v>0.5</v>
      </c>
      <c r="O84" s="151">
        <f>+IF(OR($Q84=Parametres!$G$2,$Q84=Parametres!$G$3),J84,D84)</f>
        <v>0</v>
      </c>
      <c r="P84" s="151">
        <f>+IF(OR($Q84=Parametres!$G$2,$Q84=Parametres!$G$3),K84,E84)</f>
        <v>0.5</v>
      </c>
      <c r="Q84" s="150" t="str">
        <f t="shared" si="7"/>
        <v>1-Mémo</v>
      </c>
      <c r="R84" s="149" t="str">
        <f t="shared" si="8"/>
        <v>161</v>
      </c>
      <c r="S84" s="150" t="str">
        <f t="shared" si="9"/>
        <v>_</v>
      </c>
      <c r="T84" s="152" t="str">
        <f>+VLOOKUP($L84,Data_Validation!$A:$D,1,0)</f>
        <v>161D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1336</v>
      </c>
      <c r="B85" s="685" t="s">
        <v>582</v>
      </c>
      <c r="C85" s="687"/>
      <c r="D85" s="687"/>
      <c r="E85" s="687"/>
      <c r="F85" s="685" t="s">
        <v>1</v>
      </c>
      <c r="G85" s="685" t="s">
        <v>2452</v>
      </c>
      <c r="H85" s="641" t="s">
        <v>3074</v>
      </c>
      <c r="I85" s="640">
        <v>0.5</v>
      </c>
      <c r="J85" s="640">
        <v>0</v>
      </c>
      <c r="K85" s="640">
        <v>0.5</v>
      </c>
      <c r="L85" s="149" t="str">
        <f t="shared" si="5"/>
        <v>161Z</v>
      </c>
      <c r="M85" s="150" t="str">
        <f t="shared" si="6"/>
        <v>NB EMP. SUPERVISION - ADMIN.</v>
      </c>
      <c r="N85" s="151">
        <f>+IF(OR($Q85=Parametres!$G$2,$Q85=Parametres!$G$3),I85,C85)</f>
        <v>0.5</v>
      </c>
      <c r="O85" s="151">
        <f>+IF(OR($Q85=Parametres!$G$2,$Q85=Parametres!$G$3),J85,D85)</f>
        <v>0</v>
      </c>
      <c r="P85" s="151">
        <f>+IF(OR($Q85=Parametres!$G$2,$Q85=Parametres!$G$3),K85,E85)</f>
        <v>0.5</v>
      </c>
      <c r="Q85" s="150" t="str">
        <f t="shared" si="7"/>
        <v>1-Mémo</v>
      </c>
      <c r="R85" s="149" t="str">
        <f t="shared" si="8"/>
        <v>161</v>
      </c>
      <c r="S85" s="150" t="str">
        <f t="shared" si="9"/>
        <v>_</v>
      </c>
      <c r="T85" s="152" t="str">
        <f>+VLOOKUP($L85,Data_Validation!$A:$D,1,0)</f>
        <v>161Z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1337</v>
      </c>
      <c r="B86" s="685" t="s">
        <v>583</v>
      </c>
      <c r="C86" s="687"/>
      <c r="D86" s="687"/>
      <c r="E86" s="687"/>
      <c r="F86" s="685" t="s">
        <v>1</v>
      </c>
      <c r="G86" s="685" t="s">
        <v>583</v>
      </c>
      <c r="H86" s="595" t="s">
        <v>3074</v>
      </c>
      <c r="I86" s="594">
        <v>1</v>
      </c>
      <c r="J86" s="594">
        <v>0</v>
      </c>
      <c r="K86" s="594">
        <v>1</v>
      </c>
      <c r="L86" s="149" t="str">
        <f t="shared" si="5"/>
        <v>164</v>
      </c>
      <c r="M86" s="150" t="str">
        <f t="shared" si="6"/>
        <v>NB EMP. VENDEURS BMW - F&amp;I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164</v>
      </c>
      <c r="S86" s="150" t="str">
        <f t="shared" si="9"/>
        <v>_</v>
      </c>
      <c r="T86" s="152" t="str">
        <f>+VLOOKUP($L86,Data_Validation!$A:$D,1,0)</f>
        <v>164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1338</v>
      </c>
      <c r="B87" s="685" t="s">
        <v>584</v>
      </c>
      <c r="C87" s="1038"/>
      <c r="D87" s="1038"/>
      <c r="E87" s="1038"/>
      <c r="F87" s="685" t="s">
        <v>1</v>
      </c>
      <c r="G87" s="685" t="s">
        <v>583</v>
      </c>
      <c r="H87" s="686" t="s">
        <v>3074</v>
      </c>
      <c r="I87" s="687">
        <v>2.5</v>
      </c>
      <c r="J87" s="687">
        <v>0</v>
      </c>
      <c r="K87" s="687">
        <v>2.5</v>
      </c>
      <c r="L87" s="149" t="str">
        <f t="shared" si="5"/>
        <v>164A</v>
      </c>
      <c r="M87" s="150" t="str">
        <f t="shared" si="6"/>
        <v>NB EMP. VENDEURS BMW - NEUF</v>
      </c>
      <c r="N87" s="151">
        <f>+IF(OR($Q87=Parametres!$G$2,$Q87=Parametres!$G$3),I87,C87)</f>
        <v>2.5</v>
      </c>
      <c r="O87" s="496">
        <f>+IF(OR($Q87=Parametres!$G$2,$Q87=Parametres!$G$3),J87,D87)</f>
        <v>0</v>
      </c>
      <c r="P87" s="151">
        <f>+IF(OR($Q87=Parametres!$G$2,$Q87=Parametres!$G$3),K87,E87)</f>
        <v>2.5</v>
      </c>
      <c r="Q87" s="150" t="str">
        <f t="shared" si="7"/>
        <v>1-Mémo</v>
      </c>
      <c r="R87" s="149" t="str">
        <f t="shared" si="8"/>
        <v>164</v>
      </c>
      <c r="S87" s="150" t="str">
        <f t="shared" si="9"/>
        <v>_</v>
      </c>
      <c r="T87" s="152" t="str">
        <f>+VLOOKUP($L87,Data_Validation!$A:$D,1,0)</f>
        <v>164A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1339</v>
      </c>
      <c r="B88" s="639" t="s">
        <v>585</v>
      </c>
      <c r="C88" s="640"/>
      <c r="D88" s="640"/>
      <c r="E88" s="640"/>
      <c r="F88" s="639" t="s">
        <v>1</v>
      </c>
      <c r="G88" s="639" t="s">
        <v>583</v>
      </c>
      <c r="H88" s="634" t="s">
        <v>3074</v>
      </c>
      <c r="I88" s="633">
        <v>2.5</v>
      </c>
      <c r="J88" s="633">
        <v>0</v>
      </c>
      <c r="K88" s="633">
        <v>2.5</v>
      </c>
      <c r="L88" s="149" t="str">
        <f t="shared" si="5"/>
        <v>164B</v>
      </c>
      <c r="M88" s="150" t="str">
        <f t="shared" si="6"/>
        <v>NB EMP. VENDEURS BMW - USAGE</v>
      </c>
      <c r="N88" s="151">
        <f>+IF(OR($Q88=Parametres!$G$2,$Q88=Parametres!$G$3),I88,C88)</f>
        <v>2.5</v>
      </c>
      <c r="O88" s="151">
        <f>+IF(OR($Q88=Parametres!$G$2,$Q88=Parametres!$G$3),J88,D88)</f>
        <v>0</v>
      </c>
      <c r="P88" s="151">
        <f>+IF(OR($Q88=Parametres!$G$2,$Q88=Parametres!$G$3),K88,E88)</f>
        <v>2.5</v>
      </c>
      <c r="Q88" s="150" t="str">
        <f t="shared" si="7"/>
        <v>1-Mémo</v>
      </c>
      <c r="R88" s="149" t="str">
        <f t="shared" si="8"/>
        <v>164</v>
      </c>
      <c r="S88" s="150" t="str">
        <f t="shared" si="9"/>
        <v>_</v>
      </c>
      <c r="T88" s="152" t="str">
        <f>+VLOOKUP($L88,Data_Validation!$A:$D,1,0)</f>
        <v>164B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1340</v>
      </c>
      <c r="B89" s="685" t="s">
        <v>586</v>
      </c>
      <c r="C89" s="687"/>
      <c r="D89" s="687"/>
      <c r="E89" s="687"/>
      <c r="F89" s="685" t="s">
        <v>1</v>
      </c>
      <c r="G89" s="685" t="s">
        <v>586</v>
      </c>
      <c r="H89" s="641" t="s">
        <v>3074</v>
      </c>
      <c r="I89" s="640">
        <v>2.5</v>
      </c>
      <c r="J89" s="640">
        <v>0</v>
      </c>
      <c r="K89" s="640">
        <v>2.5</v>
      </c>
      <c r="L89" s="149" t="str">
        <f t="shared" si="5"/>
        <v>164D</v>
      </c>
      <c r="M89" s="150" t="str">
        <f t="shared" si="6"/>
        <v>NB EMP. COMMIS COMPTOIR - PIECES</v>
      </c>
      <c r="N89" s="151">
        <f>+IF(OR($Q89=Parametres!$G$2,$Q89=Parametres!$G$3),I89,C89)</f>
        <v>2.5</v>
      </c>
      <c r="O89" s="496">
        <f>+IF(OR($Q89=Parametres!$G$2,$Q89=Parametres!$G$3),J89,D89)</f>
        <v>0</v>
      </c>
      <c r="P89" s="151">
        <f>+IF(OR($Q89=Parametres!$G$2,$Q89=Parametres!$G$3),K89,E89)</f>
        <v>2.5</v>
      </c>
      <c r="Q89" s="150" t="str">
        <f t="shared" si="7"/>
        <v>1-Mémo</v>
      </c>
      <c r="R89" s="149" t="str">
        <f t="shared" si="8"/>
        <v>164D</v>
      </c>
      <c r="S89" s="150" t="str">
        <f t="shared" si="9"/>
        <v>_</v>
      </c>
      <c r="T89" s="152" t="str">
        <f>+VLOOKUP($L89,Data_Validation!$A:$D,1,0)</f>
        <v>164D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1341</v>
      </c>
      <c r="B90" s="685" t="s">
        <v>587</v>
      </c>
      <c r="C90" s="687"/>
      <c r="D90" s="687"/>
      <c r="E90" s="687"/>
      <c r="F90" s="685" t="s">
        <v>1</v>
      </c>
      <c r="G90" s="685" t="s">
        <v>2001</v>
      </c>
      <c r="H90" s="634" t="s">
        <v>3074</v>
      </c>
      <c r="I90" s="633">
        <v>6</v>
      </c>
      <c r="J90" s="633">
        <v>0</v>
      </c>
      <c r="K90" s="633">
        <v>6</v>
      </c>
      <c r="L90" s="149" t="str">
        <f t="shared" si="5"/>
        <v>166C</v>
      </c>
      <c r="M90" s="150" t="str">
        <f t="shared" si="6"/>
        <v>NB EMP. AUTRES - SERVICE</v>
      </c>
      <c r="N90" s="151">
        <f>+IF(OR($Q90=Parametres!$G$2,$Q90=Parametres!$G$3),I90,C90)</f>
        <v>6</v>
      </c>
      <c r="O90" s="151">
        <f>+IF(OR($Q90=Parametres!$G$2,$Q90=Parametres!$G$3),J90,D90)</f>
        <v>0</v>
      </c>
      <c r="P90" s="151">
        <f>+IF(OR($Q90=Parametres!$G$2,$Q90=Parametres!$G$3),K90,E90)</f>
        <v>6</v>
      </c>
      <c r="Q90" s="150" t="str">
        <f t="shared" si="7"/>
        <v>1-Mémo</v>
      </c>
      <c r="R90" s="149" t="str">
        <f t="shared" si="8"/>
        <v>166</v>
      </c>
      <c r="S90" s="150" t="str">
        <f t="shared" si="9"/>
        <v>_</v>
      </c>
      <c r="T90" s="152" t="str">
        <f>+VLOOKUP($L90,Data_Validation!$A:$D,1,0)</f>
        <v>166C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1342</v>
      </c>
      <c r="B91" s="685" t="s">
        <v>588</v>
      </c>
      <c r="C91" s="1038"/>
      <c r="D91" s="1038"/>
      <c r="E91" s="1038"/>
      <c r="F91" s="685" t="s">
        <v>1</v>
      </c>
      <c r="G91" s="685" t="s">
        <v>2001</v>
      </c>
      <c r="H91" s="686" t="s">
        <v>3074</v>
      </c>
      <c r="I91" s="687">
        <v>2</v>
      </c>
      <c r="J91" s="687">
        <v>0</v>
      </c>
      <c r="K91" s="687">
        <v>2</v>
      </c>
      <c r="L91" s="149" t="str">
        <f t="shared" si="5"/>
        <v>166Z</v>
      </c>
      <c r="M91" s="150" t="str">
        <f t="shared" si="6"/>
        <v>NB EMP. AUTRES - ADMIN.</v>
      </c>
      <c r="N91" s="151">
        <f>+IF(OR($Q91=Parametres!$G$2,$Q91=Parametres!$G$3),I91,C91)</f>
        <v>2</v>
      </c>
      <c r="O91" s="497">
        <f>+IF(OR($Q91=Parametres!$G$2,$Q91=Parametres!$G$3),J91,D91)</f>
        <v>0</v>
      </c>
      <c r="P91" s="151">
        <f>+IF(OR($Q91=Parametres!$G$2,$Q91=Parametres!$G$3),K91,E91)</f>
        <v>2</v>
      </c>
      <c r="Q91" s="150" t="str">
        <f t="shared" si="7"/>
        <v>1-Mémo</v>
      </c>
      <c r="R91" s="149" t="str">
        <f t="shared" si="8"/>
        <v>166</v>
      </c>
      <c r="S91" s="150" t="str">
        <f t="shared" si="9"/>
        <v>_</v>
      </c>
      <c r="T91" s="152" t="str">
        <f>+VLOOKUP($L91,Data_Validation!$A:$D,1,0)</f>
        <v>166Z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1343</v>
      </c>
      <c r="B92" s="685" t="s">
        <v>589</v>
      </c>
      <c r="C92" s="687"/>
      <c r="D92" s="687"/>
      <c r="E92" s="687"/>
      <c r="F92" s="685" t="s">
        <v>1</v>
      </c>
      <c r="G92" s="685" t="s">
        <v>2458</v>
      </c>
      <c r="H92" s="686" t="s">
        <v>3074</v>
      </c>
      <c r="I92" s="686">
        <v>5</v>
      </c>
      <c r="J92" s="686">
        <v>0</v>
      </c>
      <c r="K92" s="686">
        <v>5</v>
      </c>
      <c r="L92" s="149" t="str">
        <f t="shared" si="5"/>
        <v>170C</v>
      </c>
      <c r="M92" s="150" t="str">
        <f t="shared" si="6"/>
        <v>NB EMP. MECANICIENS - SERVICE</v>
      </c>
      <c r="N92" s="151">
        <f>+IF(OR($Q92=Parametres!$G$2,$Q92=Parametres!$G$3),I92,C92)</f>
        <v>5</v>
      </c>
      <c r="O92" s="151">
        <f>+IF(OR($Q92=Parametres!$G$2,$Q92=Parametres!$G$3),J92,D92)</f>
        <v>0</v>
      </c>
      <c r="P92" s="151">
        <f>+IF(OR($Q92=Parametres!$G$2,$Q92=Parametres!$G$3),K92,E92)</f>
        <v>5</v>
      </c>
      <c r="Q92" s="150" t="str">
        <f t="shared" si="7"/>
        <v>1-Mémo</v>
      </c>
      <c r="R92" s="149" t="str">
        <f t="shared" si="8"/>
        <v>170</v>
      </c>
      <c r="S92" s="150" t="str">
        <f t="shared" si="9"/>
        <v>_</v>
      </c>
      <c r="T92" s="152" t="str">
        <f>+VLOOKUP($L92,Data_Validation!$A:$D,1,0)</f>
        <v>170C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2004</v>
      </c>
      <c r="B93" s="685" t="s">
        <v>2005</v>
      </c>
      <c r="C93" s="687"/>
      <c r="D93" s="687"/>
      <c r="E93" s="687"/>
      <c r="F93" s="685" t="s">
        <v>1</v>
      </c>
      <c r="G93" s="685" t="s">
        <v>3075</v>
      </c>
      <c r="H93" s="634" t="s">
        <v>3074</v>
      </c>
      <c r="I93" s="633">
        <v>2</v>
      </c>
      <c r="J93" s="633">
        <v>0</v>
      </c>
      <c r="K93" s="633">
        <v>2</v>
      </c>
      <c r="L93" s="149" t="str">
        <f t="shared" si="5"/>
        <v>171C</v>
      </c>
      <c r="M93" s="150" t="str">
        <f t="shared" si="6"/>
        <v>NB EMP. APPRENTIS - SERVICE</v>
      </c>
      <c r="N93" s="151">
        <f>+IF(OR($Q93=Parametres!$G$2,$Q93=Parametres!$G$3),I93,C93)</f>
        <v>2</v>
      </c>
      <c r="O93" s="151">
        <f>+IF(OR($Q93=Parametres!$G$2,$Q93=Parametres!$G$3),J93,D93)</f>
        <v>0</v>
      </c>
      <c r="P93" s="151">
        <f>+IF(OR($Q93=Parametres!$G$2,$Q93=Parametres!$G$3),K93,E93)</f>
        <v>2</v>
      </c>
      <c r="Q93" s="150" t="str">
        <f t="shared" si="7"/>
        <v>1-Mémo</v>
      </c>
      <c r="R93" s="149" t="str">
        <f t="shared" si="8"/>
        <v>171</v>
      </c>
      <c r="S93" s="150" t="str">
        <f t="shared" si="9"/>
        <v>_</v>
      </c>
      <c r="T93" s="152" t="str">
        <f>+VLOOKUP($L93,Data_Validation!$A:$D,1,0)</f>
        <v>171C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1344</v>
      </c>
      <c r="B94" s="685" t="s">
        <v>1345</v>
      </c>
      <c r="C94" s="687"/>
      <c r="D94" s="687"/>
      <c r="E94" s="687"/>
      <c r="F94" s="685" t="s">
        <v>1</v>
      </c>
      <c r="G94" s="685" t="s">
        <v>1345</v>
      </c>
      <c r="H94" s="595" t="s">
        <v>3074</v>
      </c>
      <c r="I94" s="594">
        <v>0.08</v>
      </c>
      <c r="J94" s="594">
        <v>0</v>
      </c>
      <c r="K94" s="594">
        <v>0.08</v>
      </c>
      <c r="L94" s="149" t="str">
        <f t="shared" si="5"/>
        <v>172M</v>
      </c>
      <c r="M94" s="150" t="str">
        <f t="shared" si="6"/>
        <v># DE BAIE DE TECHNICIEN</v>
      </c>
      <c r="N94" s="151">
        <f>+IF(OR($Q94=Parametres!$G$2,$Q94=Parametres!$G$3),I94,C94)</f>
        <v>0.08</v>
      </c>
      <c r="O94" s="151">
        <f>+IF(OR($Q94=Parametres!$G$2,$Q94=Parametres!$G$3),J94,D94)</f>
        <v>0</v>
      </c>
      <c r="P94" s="151">
        <f>+IF(OR($Q94=Parametres!$G$2,$Q94=Parametres!$G$3),K94,E94)</f>
        <v>0.08</v>
      </c>
      <c r="Q94" s="150" t="str">
        <f t="shared" si="7"/>
        <v>1-Mémo</v>
      </c>
      <c r="R94" s="149" t="str">
        <f t="shared" si="8"/>
        <v>172M</v>
      </c>
      <c r="S94" s="150" t="str">
        <f t="shared" si="9"/>
        <v>_</v>
      </c>
      <c r="T94" s="152" t="str">
        <f>+VLOOKUP($L94,Data_Validation!$A:$D,1,0)</f>
        <v>172M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1346</v>
      </c>
      <c r="B95" s="685" t="s">
        <v>1347</v>
      </c>
      <c r="C95" s="1038"/>
      <c r="D95" s="1038"/>
      <c r="E95" s="1038"/>
      <c r="F95" s="685" t="s">
        <v>1</v>
      </c>
      <c r="G95" s="685" t="s">
        <v>1347</v>
      </c>
      <c r="H95" s="686" t="s">
        <v>3074</v>
      </c>
      <c r="I95" s="687">
        <v>0.04</v>
      </c>
      <c r="J95" s="687">
        <v>0</v>
      </c>
      <c r="K95" s="687">
        <v>0.04</v>
      </c>
      <c r="L95" s="149" t="str">
        <f t="shared" si="5"/>
        <v>172N</v>
      </c>
      <c r="M95" s="150" t="str">
        <f t="shared" si="6"/>
        <v># DE BAIE DE LAVAGE</v>
      </c>
      <c r="N95" s="151">
        <f>+IF(OR($Q95=Parametres!$G$2,$Q95=Parametres!$G$3),I95,C95)</f>
        <v>0.04</v>
      </c>
      <c r="O95" s="151">
        <f>+IF(OR($Q95=Parametres!$G$2,$Q95=Parametres!$G$3),J95,D95)</f>
        <v>0</v>
      </c>
      <c r="P95" s="151">
        <f>+IF(OR($Q95=Parametres!$G$2,$Q95=Parametres!$G$3),K95,E95)</f>
        <v>0.04</v>
      </c>
      <c r="Q95" s="150" t="str">
        <f t="shared" si="7"/>
        <v>1-Mémo</v>
      </c>
      <c r="R95" s="149" t="str">
        <f t="shared" si="8"/>
        <v>172N</v>
      </c>
      <c r="S95" s="150" t="str">
        <f t="shared" si="9"/>
        <v>_</v>
      </c>
      <c r="T95" s="152" t="str">
        <f>+VLOOKUP($L95,Data_Validation!$A:$D,1,0)</f>
        <v>172N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1348</v>
      </c>
      <c r="B96" s="685" t="s">
        <v>590</v>
      </c>
      <c r="C96" s="687"/>
      <c r="D96" s="687"/>
      <c r="E96" s="687"/>
      <c r="F96" s="685" t="s">
        <v>1</v>
      </c>
      <c r="G96" s="685" t="s">
        <v>2453</v>
      </c>
      <c r="H96" s="641" t="s">
        <v>3074</v>
      </c>
      <c r="I96" s="640">
        <v>2</v>
      </c>
      <c r="J96" s="640">
        <v>0</v>
      </c>
      <c r="K96" s="640">
        <v>2</v>
      </c>
      <c r="L96" s="149" t="str">
        <f t="shared" si="5"/>
        <v>173C</v>
      </c>
      <c r="M96" s="150" t="str">
        <f t="shared" si="6"/>
        <v>NB EMP. AVISEURS - SERVICE</v>
      </c>
      <c r="N96" s="151">
        <f>+IF(OR($Q96=Parametres!$G$2,$Q96=Parametres!$G$3),I96,C96)</f>
        <v>2</v>
      </c>
      <c r="O96" s="151">
        <f>+IF(OR($Q96=Parametres!$G$2,$Q96=Parametres!$G$3),J96,D96)</f>
        <v>0</v>
      </c>
      <c r="P96" s="151">
        <f>+IF(OR($Q96=Parametres!$G$2,$Q96=Parametres!$G$3),K96,E96)</f>
        <v>2</v>
      </c>
      <c r="Q96" s="150" t="str">
        <f t="shared" si="7"/>
        <v>1-Mémo</v>
      </c>
      <c r="R96" s="149" t="str">
        <f t="shared" si="8"/>
        <v>173</v>
      </c>
      <c r="S96" s="150" t="str">
        <f t="shared" si="9"/>
        <v>_</v>
      </c>
      <c r="T96" s="152" t="str">
        <f>+VLOOKUP($L96,Data_Validation!$A:$D,1,0)</f>
        <v>173C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1349</v>
      </c>
      <c r="B97" s="685" t="s">
        <v>591</v>
      </c>
      <c r="C97" s="687"/>
      <c r="D97" s="687"/>
      <c r="E97" s="687"/>
      <c r="F97" s="685" t="s">
        <v>1</v>
      </c>
      <c r="G97" s="685" t="s">
        <v>2454</v>
      </c>
      <c r="H97" s="593" t="s">
        <v>3074</v>
      </c>
      <c r="I97" s="594">
        <v>209.95</v>
      </c>
      <c r="J97" s="594">
        <v>0</v>
      </c>
      <c r="K97" s="594">
        <v>209.95</v>
      </c>
      <c r="L97" s="149" t="str">
        <f t="shared" si="5"/>
        <v>175A</v>
      </c>
      <c r="M97" s="150" t="str">
        <f t="shared" si="6"/>
        <v>TAUX M/O CLIENT BMW</v>
      </c>
      <c r="N97" s="151">
        <f>+IF(OR($Q97=Parametres!$G$2,$Q97=Parametres!$G$3),I97,C97)</f>
        <v>209.95</v>
      </c>
      <c r="O97" s="496">
        <f>+IF(OR($Q97=Parametres!$G$2,$Q97=Parametres!$G$3),J97,D97)</f>
        <v>0</v>
      </c>
      <c r="P97" s="151">
        <f>+IF(OR($Q97=Parametres!$G$2,$Q97=Parametres!$G$3),K97,E97)</f>
        <v>209.95</v>
      </c>
      <c r="Q97" s="150" t="str">
        <f t="shared" si="7"/>
        <v>1-Mémo</v>
      </c>
      <c r="R97" s="149" t="str">
        <f t="shared" si="8"/>
        <v>175</v>
      </c>
      <c r="S97" s="150" t="str">
        <f t="shared" si="9"/>
        <v>_</v>
      </c>
      <c r="T97" s="152" t="str">
        <f>+VLOOKUP($L97,Data_Validation!$A:$D,1,0)</f>
        <v>175A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1350</v>
      </c>
      <c r="B98" s="685" t="s">
        <v>592</v>
      </c>
      <c r="C98" s="687"/>
      <c r="D98" s="687"/>
      <c r="E98" s="687"/>
      <c r="F98" s="685" t="s">
        <v>1</v>
      </c>
      <c r="G98" s="685" t="s">
        <v>2455</v>
      </c>
      <c r="H98" s="641" t="s">
        <v>3074</v>
      </c>
      <c r="I98" s="640">
        <v>146.19999999999999</v>
      </c>
      <c r="J98" s="640">
        <v>0</v>
      </c>
      <c r="K98" s="640">
        <v>146.19999999999999</v>
      </c>
      <c r="L98" s="149" t="str">
        <f t="shared" si="5"/>
        <v>176A</v>
      </c>
      <c r="M98" s="150" t="str">
        <f t="shared" si="6"/>
        <v>TAUX M/O GARANTIE BMW</v>
      </c>
      <c r="N98" s="151">
        <f>+IF(OR($Q98=Parametres!$G$2,$Q98=Parametres!$G$3),I98,C98)</f>
        <v>146.19999999999999</v>
      </c>
      <c r="O98" s="151">
        <f>+IF(OR($Q98=Parametres!$G$2,$Q98=Parametres!$G$3),J98,D98)</f>
        <v>0</v>
      </c>
      <c r="P98" s="151">
        <f>+IF(OR($Q98=Parametres!$G$2,$Q98=Parametres!$G$3),K98,E98)</f>
        <v>146.19999999999999</v>
      </c>
      <c r="Q98" s="150" t="str">
        <f t="shared" si="7"/>
        <v>1-Mémo</v>
      </c>
      <c r="R98" s="149" t="str">
        <f t="shared" si="8"/>
        <v>176</v>
      </c>
      <c r="S98" s="150" t="str">
        <f t="shared" si="9"/>
        <v>_</v>
      </c>
      <c r="T98" s="152" t="str">
        <f>+VLOOKUP($L98,Data_Validation!$A:$D,1,0)</f>
        <v>176A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1351</v>
      </c>
      <c r="B99" s="685" t="s">
        <v>593</v>
      </c>
      <c r="C99" s="687"/>
      <c r="D99" s="687"/>
      <c r="E99" s="687"/>
      <c r="F99" s="685" t="s">
        <v>1</v>
      </c>
      <c r="G99" s="685" t="s">
        <v>2456</v>
      </c>
      <c r="H99" s="634" t="s">
        <v>3074</v>
      </c>
      <c r="I99" s="633">
        <v>209.95</v>
      </c>
      <c r="J99" s="633">
        <v>0</v>
      </c>
      <c r="K99" s="633">
        <v>209.95</v>
      </c>
      <c r="L99" s="149" t="str">
        <f t="shared" si="5"/>
        <v>177A</v>
      </c>
      <c r="M99" s="150" t="str">
        <f t="shared" si="6"/>
        <v>TAUX M/O INTERNE BMW</v>
      </c>
      <c r="N99" s="151">
        <f>+IF(OR($Q99=Parametres!$G$2,$Q99=Parametres!$G$3),I99,C99)</f>
        <v>209.95</v>
      </c>
      <c r="O99" s="151">
        <f>+IF(OR($Q99=Parametres!$G$2,$Q99=Parametres!$G$3),J99,D99)</f>
        <v>0</v>
      </c>
      <c r="P99" s="151">
        <f>+IF(OR($Q99=Parametres!$G$2,$Q99=Parametres!$G$3),K99,E99)</f>
        <v>209.95</v>
      </c>
      <c r="Q99" s="150" t="str">
        <f t="shared" si="7"/>
        <v>1-Mémo</v>
      </c>
      <c r="R99" s="149" t="str">
        <f t="shared" si="8"/>
        <v>177</v>
      </c>
      <c r="S99" s="150" t="str">
        <f t="shared" si="9"/>
        <v>_</v>
      </c>
      <c r="T99" s="152" t="str">
        <f>+VLOOKUP($L99,Data_Validation!$A:$D,1,0)</f>
        <v>177A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1352</v>
      </c>
      <c r="B100" s="685" t="s">
        <v>1353</v>
      </c>
      <c r="C100" s="687"/>
      <c r="D100" s="687"/>
      <c r="E100" s="687"/>
      <c r="F100" s="685" t="s">
        <v>1</v>
      </c>
      <c r="G100" s="685" t="s">
        <v>2456</v>
      </c>
      <c r="H100" s="593" t="s">
        <v>3074</v>
      </c>
      <c r="I100" s="153">
        <v>105</v>
      </c>
      <c r="J100" s="153">
        <v>0</v>
      </c>
      <c r="K100" s="153">
        <v>105</v>
      </c>
      <c r="L100" s="149" t="str">
        <f t="shared" si="5"/>
        <v>177S</v>
      </c>
      <c r="M100" s="150" t="str">
        <f t="shared" si="6"/>
        <v>TAUX M/O PROGRAMME SPA BMW</v>
      </c>
      <c r="N100" s="151">
        <f>+IF(OR($Q100=Parametres!$G$2,$Q100=Parametres!$G$3),I100,C100)</f>
        <v>105</v>
      </c>
      <c r="O100" s="496">
        <f>+IF(OR($Q100=Parametres!$G$2,$Q100=Parametres!$G$3),J100,D100)</f>
        <v>0</v>
      </c>
      <c r="P100" s="151">
        <f>+IF(OR($Q100=Parametres!$G$2,$Q100=Parametres!$G$3),K100,E100)</f>
        <v>105</v>
      </c>
      <c r="Q100" s="150" t="str">
        <f t="shared" si="7"/>
        <v>1-Mémo</v>
      </c>
      <c r="R100" s="149" t="str">
        <f t="shared" si="8"/>
        <v>177</v>
      </c>
      <c r="S100" s="150" t="str">
        <f t="shared" si="9"/>
        <v>_</v>
      </c>
      <c r="T100" s="152" t="str">
        <f>+VLOOKUP($L100,Data_Validation!$A:$D,1,0)</f>
        <v>177S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1354</v>
      </c>
      <c r="B101" s="685" t="s">
        <v>594</v>
      </c>
      <c r="C101" s="687"/>
      <c r="D101" s="687"/>
      <c r="E101" s="687"/>
      <c r="F101" s="685" t="s">
        <v>1</v>
      </c>
      <c r="G101" s="685" t="s">
        <v>2457</v>
      </c>
      <c r="H101" s="641" t="s">
        <v>3074</v>
      </c>
      <c r="I101" s="641">
        <v>127.31</v>
      </c>
      <c r="J101" s="641">
        <v>3.07</v>
      </c>
      <c r="K101" s="641">
        <v>130.38</v>
      </c>
      <c r="L101" s="149" t="str">
        <f t="shared" si="5"/>
        <v>178D</v>
      </c>
      <c r="M101" s="150" t="str">
        <f t="shared" si="6"/>
        <v>PRODUCTIVITE TECHNICIEN</v>
      </c>
      <c r="N101" s="151">
        <f>+IF(OR($Q101=Parametres!$G$2,$Q101=Parametres!$G$3),I101,C101)</f>
        <v>127.31</v>
      </c>
      <c r="O101" s="151">
        <f>+IF(OR($Q101=Parametres!$G$2,$Q101=Parametres!$G$3),J101,D101)</f>
        <v>3.07</v>
      </c>
      <c r="P101" s="151">
        <f>+IF(OR($Q101=Parametres!$G$2,$Q101=Parametres!$G$3),K101,E101)</f>
        <v>130.38</v>
      </c>
      <c r="Q101" s="150" t="str">
        <f t="shared" si="7"/>
        <v>1-Mémo</v>
      </c>
      <c r="R101" s="149" t="str">
        <f t="shared" si="8"/>
        <v>178</v>
      </c>
      <c r="S101" s="150" t="str">
        <f t="shared" si="9"/>
        <v>_</v>
      </c>
      <c r="T101" s="152" t="str">
        <f>+VLOOKUP($L101,Data_Validation!$A:$D,1,0)</f>
        <v>178D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1355</v>
      </c>
      <c r="B102" s="685" t="s">
        <v>595</v>
      </c>
      <c r="C102" s="1038"/>
      <c r="D102" s="1038"/>
      <c r="E102" s="1038"/>
      <c r="F102" s="685" t="s">
        <v>1</v>
      </c>
      <c r="G102" s="685" t="s">
        <v>595</v>
      </c>
      <c r="H102" s="686" t="s">
        <v>3074</v>
      </c>
      <c r="I102" s="687">
        <v>1.24</v>
      </c>
      <c r="J102" s="687">
        <v>0.22</v>
      </c>
      <c r="K102" s="687">
        <v>1.46</v>
      </c>
      <c r="L102" s="149" t="str">
        <f t="shared" si="5"/>
        <v>179</v>
      </c>
      <c r="M102" s="150" t="str">
        <f t="shared" si="6"/>
        <v>NOMBRE DE JOURS OUVRABLE SERVICE</v>
      </c>
      <c r="N102" s="151">
        <f>+IF(OR($Q102=Parametres!$G$2,$Q102=Parametres!$G$3),I102,C102)</f>
        <v>1.24</v>
      </c>
      <c r="O102" s="151">
        <f>+IF(OR($Q102=Parametres!$G$2,$Q102=Parametres!$G$3),J102,D102)</f>
        <v>0.22</v>
      </c>
      <c r="P102" s="151">
        <f>+IF(OR($Q102=Parametres!$G$2,$Q102=Parametres!$G$3),K102,E102)</f>
        <v>1.46</v>
      </c>
      <c r="Q102" s="150" t="str">
        <f t="shared" si="7"/>
        <v>1-Mémo</v>
      </c>
      <c r="R102" s="149" t="str">
        <f t="shared" si="8"/>
        <v>179</v>
      </c>
      <c r="S102" s="150" t="str">
        <f t="shared" si="9"/>
        <v>_</v>
      </c>
      <c r="T102" s="152" t="str">
        <f>+VLOOKUP($L102,Data_Validation!$A:$D,1,0)</f>
        <v>179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358</v>
      </c>
      <c r="B103" s="685" t="s">
        <v>371</v>
      </c>
      <c r="C103" s="687">
        <v>820</v>
      </c>
      <c r="D103" s="687">
        <v>0</v>
      </c>
      <c r="E103" s="687">
        <v>820</v>
      </c>
      <c r="F103" s="685" t="s">
        <v>2225</v>
      </c>
      <c r="G103" s="685" t="s">
        <v>371</v>
      </c>
      <c r="H103" s="634" t="s">
        <v>3074</v>
      </c>
      <c r="I103" s="633"/>
      <c r="J103" s="633"/>
      <c r="K103" s="633"/>
      <c r="L103" s="149" t="str">
        <f t="shared" si="5"/>
        <v>200</v>
      </c>
      <c r="M103" s="150" t="str">
        <f t="shared" si="6"/>
        <v>PETITE CAISSE</v>
      </c>
      <c r="N103" s="151">
        <f>+IF(OR($Q103=Parametres!$G$2,$Q103=Parametres!$G$3),I103,C103)</f>
        <v>820</v>
      </c>
      <c r="O103" s="151">
        <f>+IF(OR($Q103=Parametres!$G$2,$Q103=Parametres!$G$3),J103,D103)</f>
        <v>0</v>
      </c>
      <c r="P103" s="151">
        <f>+IF(OR($Q103=Parametres!$G$2,$Q103=Parametres!$G$3),K103,E103)</f>
        <v>820</v>
      </c>
      <c r="Q103" s="150" t="str">
        <f t="shared" si="7"/>
        <v>2-Actifs</v>
      </c>
      <c r="R103" s="149" t="str">
        <f t="shared" si="8"/>
        <v>200</v>
      </c>
      <c r="S103" s="150" t="str">
        <f t="shared" si="9"/>
        <v>_</v>
      </c>
      <c r="T103" s="152" t="str">
        <f>+VLOOKUP($L103,Data_Validation!$A:$D,1,0)</f>
        <v>200</v>
      </c>
      <c r="U103" s="152" t="str">
        <f>+VLOOKUP($L103,Data_Validation!$A:$D,3,0)</f>
        <v>Bilan</v>
      </c>
      <c r="V103" s="152" t="str">
        <f>+VLOOKUP($L103,Data_Validation!$A:$D,4,0)</f>
        <v>encaisse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5" t="s">
        <v>1069</v>
      </c>
      <c r="B104" s="685" t="s">
        <v>359</v>
      </c>
      <c r="C104" s="687">
        <v>513325.74</v>
      </c>
      <c r="D104" s="687">
        <v>357928.23</v>
      </c>
      <c r="E104" s="687">
        <v>871253.97</v>
      </c>
      <c r="F104" s="685" t="s">
        <v>2225</v>
      </c>
      <c r="G104" s="685" t="s">
        <v>359</v>
      </c>
      <c r="H104" s="641" t="s">
        <v>3074</v>
      </c>
      <c r="I104" s="640"/>
      <c r="J104" s="640"/>
      <c r="K104" s="640"/>
      <c r="L104" s="149" t="str">
        <f t="shared" si="5"/>
        <v>202</v>
      </c>
      <c r="M104" s="150" t="str">
        <f t="shared" si="6"/>
        <v>ENCAISSE</v>
      </c>
      <c r="N104" s="151">
        <f>+IF(OR($Q104=Parametres!$G$2,$Q104=Parametres!$G$3),I104,C104)</f>
        <v>513325.74</v>
      </c>
      <c r="O104" s="151">
        <f>+IF(OR($Q104=Parametres!$G$2,$Q104=Parametres!$G$3),J104,D104)</f>
        <v>357928.23</v>
      </c>
      <c r="P104" s="151">
        <f>+IF(OR($Q104=Parametres!$G$2,$Q104=Parametres!$G$3),K104,E104)</f>
        <v>871253.97</v>
      </c>
      <c r="Q104" s="150" t="str">
        <f t="shared" si="7"/>
        <v>2-Actifs</v>
      </c>
      <c r="R104" s="149" t="str">
        <f t="shared" si="8"/>
        <v>202</v>
      </c>
      <c r="S104" s="150" t="str">
        <f t="shared" si="9"/>
        <v>_</v>
      </c>
      <c r="T104" s="152" t="str">
        <f>+VLOOKUP($L104,Data_Validation!$A:$D,1,0)</f>
        <v>202</v>
      </c>
      <c r="U104" s="152" t="str">
        <f>+VLOOKUP($L104,Data_Validation!$A:$D,3,0)</f>
        <v>Bilan</v>
      </c>
      <c r="V104" s="152" t="str">
        <f>+VLOOKUP($L104,Data_Validation!$A:$D,4,0)</f>
        <v>encaisse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5" t="s">
        <v>2336</v>
      </c>
      <c r="B105" s="685" t="s">
        <v>2337</v>
      </c>
      <c r="C105" s="687">
        <v>1000000</v>
      </c>
      <c r="D105" s="687">
        <v>0</v>
      </c>
      <c r="E105" s="687">
        <v>1000000</v>
      </c>
      <c r="F105" s="685" t="s">
        <v>2225</v>
      </c>
      <c r="G105" s="685" t="s">
        <v>359</v>
      </c>
      <c r="H105" s="641" t="s">
        <v>3074</v>
      </c>
      <c r="I105" s="641"/>
      <c r="J105" s="641"/>
      <c r="K105" s="641"/>
      <c r="L105" s="149" t="str">
        <f t="shared" si="5"/>
        <v>202B</v>
      </c>
      <c r="M105" s="150" t="str">
        <f t="shared" si="6"/>
        <v>PAIEMENTS FORFAITAIRES FLOOR PLAN</v>
      </c>
      <c r="N105" s="151">
        <f>+IF(OR($Q105=Parametres!$G$2,$Q105=Parametres!$G$3),I105,C105)</f>
        <v>1000000</v>
      </c>
      <c r="O105" s="151">
        <f>+IF(OR($Q105=Parametres!$G$2,$Q105=Parametres!$G$3),J105,D105)</f>
        <v>0</v>
      </c>
      <c r="P105" s="151">
        <f>+IF(OR($Q105=Parametres!$G$2,$Q105=Parametres!$G$3),K105,E105)</f>
        <v>1000000</v>
      </c>
      <c r="Q105" s="150" t="str">
        <f t="shared" si="7"/>
        <v>2-Actifs</v>
      </c>
      <c r="R105" s="149" t="str">
        <f t="shared" si="8"/>
        <v>202</v>
      </c>
      <c r="S105" s="150" t="str">
        <f t="shared" si="9"/>
        <v>_</v>
      </c>
      <c r="T105" s="152" t="str">
        <f>+VLOOKUP($L105,Data_Validation!$A:$D,1,0)</f>
        <v>202B</v>
      </c>
      <c r="U105" s="152" t="str">
        <f>+VLOOKUP($L105,Data_Validation!$A:$D,3,0)</f>
        <v>bilan</v>
      </c>
      <c r="V105" s="152" t="str">
        <f>+VLOOKUP($L105,Data_Validation!$A:$D,4,0)</f>
        <v>Encaisse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5" t="s">
        <v>399</v>
      </c>
      <c r="B106" s="685" t="s">
        <v>370</v>
      </c>
      <c r="C106" s="687">
        <v>1303189.77</v>
      </c>
      <c r="D106" s="687">
        <v>-467836.82</v>
      </c>
      <c r="E106" s="687">
        <v>835352.95</v>
      </c>
      <c r="F106" s="685" t="s">
        <v>2225</v>
      </c>
      <c r="G106" s="685" t="s">
        <v>370</v>
      </c>
      <c r="H106" s="641" t="s">
        <v>3074</v>
      </c>
      <c r="I106" s="640"/>
      <c r="J106" s="640"/>
      <c r="K106" s="640"/>
      <c r="L106" s="149" t="str">
        <f t="shared" si="5"/>
        <v>205</v>
      </c>
      <c r="M106" s="150" t="str">
        <f t="shared" si="6"/>
        <v>CONTRATS EN TRANSIT</v>
      </c>
      <c r="N106" s="151">
        <f>+IF(OR($Q106=Parametres!$G$2,$Q106=Parametres!$G$3),I106,C106)</f>
        <v>1303189.77</v>
      </c>
      <c r="O106" s="151">
        <f>+IF(OR($Q106=Parametres!$G$2,$Q106=Parametres!$G$3),J106,D106)</f>
        <v>-467836.82</v>
      </c>
      <c r="P106" s="151">
        <f>+IF(OR($Q106=Parametres!$G$2,$Q106=Parametres!$G$3),K106,E106)</f>
        <v>835352.95</v>
      </c>
      <c r="Q106" s="150" t="str">
        <f t="shared" si="7"/>
        <v>2-Actifs</v>
      </c>
      <c r="R106" s="149" t="str">
        <f t="shared" si="8"/>
        <v>205</v>
      </c>
      <c r="S106" s="150" t="str">
        <f t="shared" si="9"/>
        <v>_</v>
      </c>
      <c r="T106" s="152" t="str">
        <f>+VLOOKUP($L106,Data_Validation!$A:$D,1,0)</f>
        <v>205</v>
      </c>
      <c r="U106" s="152" t="str">
        <f>+VLOOKUP($L106,Data_Validation!$A:$D,3,0)</f>
        <v>Bilan</v>
      </c>
      <c r="V106" s="152" t="str">
        <f>+VLOOKUP($L106,Data_Validation!$A:$D,4,0)</f>
        <v>Recevables Contrats en Transit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5" t="s">
        <v>1093</v>
      </c>
      <c r="B107" s="685" t="s">
        <v>375</v>
      </c>
      <c r="C107" s="687">
        <v>-33249.85</v>
      </c>
      <c r="D107" s="687">
        <v>48227.57</v>
      </c>
      <c r="E107" s="687">
        <v>14977.72</v>
      </c>
      <c r="F107" s="685" t="s">
        <v>2225</v>
      </c>
      <c r="G107" s="685" t="s">
        <v>375</v>
      </c>
      <c r="H107" s="641" t="s">
        <v>3074</v>
      </c>
      <c r="I107" s="640"/>
      <c r="J107" s="640"/>
      <c r="K107" s="640"/>
      <c r="L107" s="149" t="str">
        <f t="shared" si="5"/>
        <v>210</v>
      </c>
      <c r="M107" s="150" t="str">
        <f t="shared" si="6"/>
        <v>RECEVABLES VEHICULES</v>
      </c>
      <c r="N107" s="151">
        <f>+IF(OR($Q107=Parametres!$G$2,$Q107=Parametres!$G$3),I107,C107)</f>
        <v>-33249.85</v>
      </c>
      <c r="O107" s="151">
        <f>+IF(OR($Q107=Parametres!$G$2,$Q107=Parametres!$G$3),J107,D107)</f>
        <v>48227.57</v>
      </c>
      <c r="P107" s="151">
        <f>+IF(OR($Q107=Parametres!$G$2,$Q107=Parametres!$G$3),K107,E107)</f>
        <v>14977.72</v>
      </c>
      <c r="Q107" s="150" t="str">
        <f t="shared" si="7"/>
        <v>2-Actifs</v>
      </c>
      <c r="R107" s="149" t="str">
        <f t="shared" si="8"/>
        <v>210</v>
      </c>
      <c r="S107" s="150" t="str">
        <f t="shared" si="9"/>
        <v>_</v>
      </c>
      <c r="T107" s="152" t="str">
        <f>+VLOOKUP($L107,Data_Validation!$A:$D,1,0)</f>
        <v>210</v>
      </c>
      <c r="U107" s="152" t="str">
        <f>+VLOOKUP($L107,Data_Validation!$A:$D,3,0)</f>
        <v>Bilan</v>
      </c>
      <c r="V107" s="152" t="str">
        <f>+VLOOKUP($L107,Data_Validation!$A:$D,4,0)</f>
        <v>Recevables Véhicules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5" t="s">
        <v>1073</v>
      </c>
      <c r="B108" s="685" t="s">
        <v>397</v>
      </c>
      <c r="C108" s="687">
        <v>177091.58</v>
      </c>
      <c r="D108" s="687">
        <v>-16614.080000000002</v>
      </c>
      <c r="E108" s="687">
        <v>160477.5</v>
      </c>
      <c r="F108" s="685" t="s">
        <v>2225</v>
      </c>
      <c r="G108" s="685" t="s">
        <v>375</v>
      </c>
      <c r="H108" s="641" t="s">
        <v>3074</v>
      </c>
      <c r="I108" s="641"/>
      <c r="J108" s="641"/>
      <c r="K108" s="641"/>
      <c r="L108" s="149" t="str">
        <f t="shared" si="5"/>
        <v>210A</v>
      </c>
      <c r="M108" s="150" t="str">
        <f t="shared" si="6"/>
        <v>WHOLESALE &amp; ECHANGE A/R</v>
      </c>
      <c r="N108" s="151">
        <f>+IF(OR($Q108=Parametres!$G$2,$Q108=Parametres!$G$3),I108,C108)</f>
        <v>177091.58</v>
      </c>
      <c r="O108" s="151">
        <f>+IF(OR($Q108=Parametres!$G$2,$Q108=Parametres!$G$3),J108,D108)</f>
        <v>-16614.080000000002</v>
      </c>
      <c r="P108" s="151">
        <f>+IF(OR($Q108=Parametres!$G$2,$Q108=Parametres!$G$3),K108,E108)</f>
        <v>160477.5</v>
      </c>
      <c r="Q108" s="150" t="str">
        <f t="shared" si="7"/>
        <v>2-Actifs</v>
      </c>
      <c r="R108" s="149" t="str">
        <f t="shared" si="8"/>
        <v>210</v>
      </c>
      <c r="S108" s="150" t="str">
        <f t="shared" si="9"/>
        <v>_</v>
      </c>
      <c r="T108" s="152" t="str">
        <f>+VLOOKUP($L108,Data_Validation!$A:$D,1,0)</f>
        <v>210A</v>
      </c>
      <c r="U108" s="152" t="str">
        <f>+VLOOKUP($L108,Data_Validation!$A:$D,3,0)</f>
        <v>Bilan</v>
      </c>
      <c r="V108" s="152" t="str">
        <f>+VLOOKUP($L108,Data_Validation!$A:$D,4,0)</f>
        <v>Recevables Véhicules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5" t="s">
        <v>2338</v>
      </c>
      <c r="B109" s="685" t="s">
        <v>2339</v>
      </c>
      <c r="C109" s="687">
        <v>511009.67</v>
      </c>
      <c r="D109" s="687">
        <v>-359017.88</v>
      </c>
      <c r="E109" s="687">
        <v>151991.79</v>
      </c>
      <c r="F109" s="685" t="s">
        <v>2225</v>
      </c>
      <c r="G109" s="685" t="s">
        <v>375</v>
      </c>
      <c r="H109" s="641" t="s">
        <v>3074</v>
      </c>
      <c r="I109" s="640"/>
      <c r="J109" s="640"/>
      <c r="K109" s="640"/>
      <c r="L109" s="149" t="str">
        <f t="shared" si="5"/>
        <v>210L</v>
      </c>
      <c r="M109" s="150" t="str">
        <f t="shared" si="6"/>
        <v>A/R INTERCO WHOLESALE &amp; ECHANGE</v>
      </c>
      <c r="N109" s="151">
        <f>+IF(OR($Q109=Parametres!$G$2,$Q109=Parametres!$G$3),I109,C109)</f>
        <v>511009.67</v>
      </c>
      <c r="O109" s="151">
        <f>+IF(OR($Q109=Parametres!$G$2,$Q109=Parametres!$G$3),J109,D109)</f>
        <v>-359017.88</v>
      </c>
      <c r="P109" s="151">
        <f>+IF(OR($Q109=Parametres!$G$2,$Q109=Parametres!$G$3),K109,E109)</f>
        <v>151991.79</v>
      </c>
      <c r="Q109" s="150" t="str">
        <f t="shared" si="7"/>
        <v>2-Actifs</v>
      </c>
      <c r="R109" s="149" t="str">
        <f t="shared" si="8"/>
        <v>210</v>
      </c>
      <c r="S109" s="150" t="str">
        <f t="shared" si="9"/>
        <v>_</v>
      </c>
      <c r="T109" s="152" t="str">
        <f>+VLOOKUP($L109,Data_Validation!$A:$D,1,0)</f>
        <v>210L</v>
      </c>
      <c r="U109" s="152" t="str">
        <f>+VLOOKUP($L109,Data_Validation!$A:$D,3,0)</f>
        <v>bilan</v>
      </c>
      <c r="V109" s="152" t="str">
        <f>+VLOOKUP($L109,Data_Validation!$A:$D,4,0)</f>
        <v>Recevables Intercos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444</v>
      </c>
      <c r="B110" s="685" t="s">
        <v>372</v>
      </c>
      <c r="C110" s="687">
        <v>167071.97</v>
      </c>
      <c r="D110" s="687">
        <v>-53486.25</v>
      </c>
      <c r="E110" s="687">
        <v>113585.72</v>
      </c>
      <c r="F110" s="685" t="s">
        <v>2225</v>
      </c>
      <c r="G110" s="685" t="s">
        <v>372</v>
      </c>
      <c r="H110" s="641" t="s">
        <v>3074</v>
      </c>
      <c r="I110" s="640"/>
      <c r="J110" s="640"/>
      <c r="K110" s="640"/>
      <c r="L110" s="149" t="str">
        <f t="shared" si="5"/>
        <v>220</v>
      </c>
      <c r="M110" s="150" t="str">
        <f t="shared" si="6"/>
        <v>RECEVABLES PIECES ET SERVICE</v>
      </c>
      <c r="N110" s="151">
        <f>+IF(OR($Q110=Parametres!$G$2,$Q110=Parametres!$G$3),I110,C110)</f>
        <v>167071.97</v>
      </c>
      <c r="O110" s="151">
        <f>+IF(OR($Q110=Parametres!$G$2,$Q110=Parametres!$G$3),J110,D110)</f>
        <v>-53486.25</v>
      </c>
      <c r="P110" s="151">
        <f>+IF(OR($Q110=Parametres!$G$2,$Q110=Parametres!$G$3),K110,E110)</f>
        <v>113585.72</v>
      </c>
      <c r="Q110" s="150" t="str">
        <f t="shared" si="7"/>
        <v>2-Actifs</v>
      </c>
      <c r="R110" s="149" t="str">
        <f t="shared" si="8"/>
        <v>220</v>
      </c>
      <c r="S110" s="150" t="str">
        <f t="shared" si="9"/>
        <v>_</v>
      </c>
      <c r="T110" s="152" t="str">
        <f>+VLOOKUP($L110,Data_Validation!$A:$D,1,0)</f>
        <v>220</v>
      </c>
      <c r="U110" s="152" t="str">
        <f>+VLOOKUP($L110,Data_Validation!$A:$D,3,0)</f>
        <v>Bilan</v>
      </c>
      <c r="V110" s="152" t="str">
        <f>+VLOOKUP($L110,Data_Validation!$A:$D,4,0)</f>
        <v>Recevables Pièces et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2933</v>
      </c>
      <c r="B111" s="685" t="s">
        <v>2934</v>
      </c>
      <c r="C111" s="687">
        <v>-9850</v>
      </c>
      <c r="D111" s="687">
        <v>0</v>
      </c>
      <c r="E111" s="687">
        <v>-9850</v>
      </c>
      <c r="F111" s="685" t="s">
        <v>2225</v>
      </c>
      <c r="G111" s="685" t="s">
        <v>372</v>
      </c>
      <c r="H111" s="595" t="s">
        <v>3074</v>
      </c>
      <c r="I111" s="594"/>
      <c r="J111" s="594"/>
      <c r="K111" s="594"/>
      <c r="L111" s="149" t="str">
        <f t="shared" si="5"/>
        <v>220C</v>
      </c>
      <c r="M111" s="150" t="str">
        <f t="shared" si="6"/>
        <v>RECEVABLE RECOURS COLLECTIF</v>
      </c>
      <c r="N111" s="151">
        <f>+IF(OR($Q111=Parametres!$G$2,$Q111=Parametres!$G$3),I111,C111)</f>
        <v>-9850</v>
      </c>
      <c r="O111" s="151">
        <f>+IF(OR($Q111=Parametres!$G$2,$Q111=Parametres!$G$3),J111,D111)</f>
        <v>0</v>
      </c>
      <c r="P111" s="151">
        <f>+IF(OR($Q111=Parametres!$G$2,$Q111=Parametres!$G$3),K111,E111)</f>
        <v>-9850</v>
      </c>
      <c r="Q111" s="150" t="str">
        <f t="shared" si="7"/>
        <v>2-Actifs</v>
      </c>
      <c r="R111" s="149" t="str">
        <f t="shared" si="8"/>
        <v>220</v>
      </c>
      <c r="S111" s="150" t="str">
        <f t="shared" si="9"/>
        <v>_</v>
      </c>
      <c r="T111" s="152" t="str">
        <f>+VLOOKUP($L111,Data_Validation!$A:$D,1,0)</f>
        <v>220C</v>
      </c>
      <c r="U111" s="152" t="str">
        <f>+VLOOKUP($L111,Data_Validation!$A:$D,3,0)</f>
        <v>Bilan</v>
      </c>
      <c r="V111" s="152" t="str">
        <f>+VLOOKUP($L111,Data_Validation!$A:$D,4,0)</f>
        <v>Autres Courus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1114</v>
      </c>
      <c r="B112" s="685" t="s">
        <v>385</v>
      </c>
      <c r="C112" s="1038">
        <v>136149.46</v>
      </c>
      <c r="D112" s="1038">
        <v>-65182.92</v>
      </c>
      <c r="E112" s="1038">
        <v>70966.539999999994</v>
      </c>
      <c r="F112" s="685" t="s">
        <v>2225</v>
      </c>
      <c r="G112" s="685" t="s">
        <v>385</v>
      </c>
      <c r="H112" s="686" t="s">
        <v>3074</v>
      </c>
      <c r="I112" s="687"/>
      <c r="J112" s="687"/>
      <c r="K112" s="687"/>
      <c r="L112" s="149" t="str">
        <f t="shared" si="5"/>
        <v>221</v>
      </c>
      <c r="M112" s="150" t="str">
        <f t="shared" si="6"/>
        <v>BONIS A/R MANUFACTURIER</v>
      </c>
      <c r="N112" s="151">
        <f>+IF(OR($Q112=Parametres!$G$2,$Q112=Parametres!$G$3),I112,C112)</f>
        <v>136149.46</v>
      </c>
      <c r="O112" s="496">
        <f>+IF(OR($Q112=Parametres!$G$2,$Q112=Parametres!$G$3),J112,D112)</f>
        <v>-65182.92</v>
      </c>
      <c r="P112" s="151">
        <f>+IF(OR($Q112=Parametres!$G$2,$Q112=Parametres!$G$3),K112,E112)</f>
        <v>70966.539999999994</v>
      </c>
      <c r="Q112" s="150" t="str">
        <f t="shared" si="7"/>
        <v>2-Actifs</v>
      </c>
      <c r="R112" s="149" t="str">
        <f t="shared" si="8"/>
        <v>221</v>
      </c>
      <c r="S112" s="150" t="str">
        <f t="shared" si="9"/>
        <v>_</v>
      </c>
      <c r="T112" s="152" t="str">
        <f>+VLOOKUP($L112,Data_Validation!$A:$D,1,0)</f>
        <v>221</v>
      </c>
      <c r="U112" s="152" t="str">
        <f>+VLOOKUP($L112,Data_Validation!$A:$D,3,0)</f>
        <v>Bilan</v>
      </c>
      <c r="V112" s="152" t="str">
        <f>+VLOOKUP($L112,Data_Validation!$A:$D,4,0)</f>
        <v>Recevables Manufacturier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1833</v>
      </c>
      <c r="B113" s="685" t="s">
        <v>451</v>
      </c>
      <c r="C113" s="687">
        <v>89327.38</v>
      </c>
      <c r="D113" s="687">
        <v>14477.6</v>
      </c>
      <c r="E113" s="687">
        <v>103804.98</v>
      </c>
      <c r="F113" s="685" t="s">
        <v>2225</v>
      </c>
      <c r="G113" s="685" t="s">
        <v>451</v>
      </c>
      <c r="H113" s="686" t="s">
        <v>3074</v>
      </c>
      <c r="I113" s="686"/>
      <c r="J113" s="686"/>
      <c r="K113" s="686"/>
      <c r="L113" s="149" t="str">
        <f t="shared" si="5"/>
        <v>221A</v>
      </c>
      <c r="M113" s="150" t="str">
        <f t="shared" si="6"/>
        <v>PROGRAMMES A/R MANUFACTURIER</v>
      </c>
      <c r="N113" s="151">
        <f>+IF(OR($Q113=Parametres!$G$2,$Q113=Parametres!$G$3),I113,C113)</f>
        <v>89327.38</v>
      </c>
      <c r="O113" s="151">
        <f>+IF(OR($Q113=Parametres!$G$2,$Q113=Parametres!$G$3),J113,D113)</f>
        <v>14477.6</v>
      </c>
      <c r="P113" s="151">
        <f>+IF(OR($Q113=Parametres!$G$2,$Q113=Parametres!$G$3),K113,E113)</f>
        <v>103804.98</v>
      </c>
      <c r="Q113" s="150" t="str">
        <f t="shared" si="7"/>
        <v>2-Actifs</v>
      </c>
      <c r="R113" s="149" t="str">
        <f t="shared" si="8"/>
        <v>221A</v>
      </c>
      <c r="S113" s="150" t="str">
        <f t="shared" si="9"/>
        <v>_</v>
      </c>
      <c r="T113" s="152" t="str">
        <f>+VLOOKUP($L113,Data_Validation!$A:$D,1,0)</f>
        <v>221A</v>
      </c>
      <c r="U113" s="152" t="str">
        <f>+VLOOKUP($L113,Data_Validation!$A:$D,3,0)</f>
        <v>Bilan</v>
      </c>
      <c r="V113" s="152" t="str">
        <f>+VLOOKUP($L113,Data_Validation!$A:$D,4,0)</f>
        <v>Recevables Manufacturier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1193</v>
      </c>
      <c r="B114" s="685" t="s">
        <v>1010</v>
      </c>
      <c r="C114" s="1038">
        <v>5000</v>
      </c>
      <c r="D114" s="1038">
        <v>0</v>
      </c>
      <c r="E114" s="1038">
        <v>5000</v>
      </c>
      <c r="F114" s="685" t="s">
        <v>2225</v>
      </c>
      <c r="G114" s="685" t="s">
        <v>451</v>
      </c>
      <c r="H114" s="686" t="s">
        <v>3074</v>
      </c>
      <c r="I114" s="687"/>
      <c r="J114" s="687"/>
      <c r="K114" s="687"/>
      <c r="L114" s="149" t="str">
        <f t="shared" si="5"/>
        <v>221C</v>
      </c>
      <c r="M114" s="150" t="str">
        <f t="shared" si="6"/>
        <v>ROULEZ VERT A RECEVOIR</v>
      </c>
      <c r="N114" s="151">
        <f>+IF(OR($Q114=Parametres!$G$2,$Q114=Parametres!$G$3),I114,C114)</f>
        <v>5000</v>
      </c>
      <c r="O114" s="151">
        <f>+IF(OR($Q114=Parametres!$G$2,$Q114=Parametres!$G$3),J114,D114)</f>
        <v>0</v>
      </c>
      <c r="P114" s="151">
        <f>+IF(OR($Q114=Parametres!$G$2,$Q114=Parametres!$G$3),K114,E114)</f>
        <v>5000</v>
      </c>
      <c r="Q114" s="150" t="str">
        <f t="shared" si="7"/>
        <v>2-Actifs</v>
      </c>
      <c r="R114" s="149" t="str">
        <f t="shared" si="8"/>
        <v>221A</v>
      </c>
      <c r="S114" s="150" t="str">
        <f t="shared" si="9"/>
        <v>_</v>
      </c>
      <c r="T114" s="152" t="str">
        <f>+VLOOKUP($L114,Data_Validation!$A:$D,1,0)</f>
        <v>221C</v>
      </c>
      <c r="U114" s="152" t="str">
        <f>+VLOOKUP($L114,Data_Validation!$A:$D,3,0)</f>
        <v>Bilan</v>
      </c>
      <c r="V114" s="152" t="str">
        <f>+VLOOKUP($L114,Data_Validation!$A:$D,4,0)</f>
        <v>Recevables Autres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1788</v>
      </c>
      <c r="B115" s="685" t="s">
        <v>965</v>
      </c>
      <c r="C115" s="687">
        <v>81342.3</v>
      </c>
      <c r="D115" s="687">
        <v>-41675.83</v>
      </c>
      <c r="E115" s="687">
        <v>39666.47</v>
      </c>
      <c r="F115" s="685" t="s">
        <v>2225</v>
      </c>
      <c r="G115" s="685" t="s">
        <v>2246</v>
      </c>
      <c r="H115" s="641" t="s">
        <v>3074</v>
      </c>
      <c r="I115" s="641"/>
      <c r="J115" s="641"/>
      <c r="K115" s="641"/>
      <c r="L115" s="149" t="str">
        <f t="shared" si="5"/>
        <v>222A</v>
      </c>
      <c r="M115" s="150" t="str">
        <f t="shared" si="6"/>
        <v>RECLAMATION GARANTIE A/R BMW</v>
      </c>
      <c r="N115" s="151">
        <f>+IF(OR($Q115=Parametres!$G$2,$Q115=Parametres!$G$3),I115,C115)</f>
        <v>81342.3</v>
      </c>
      <c r="O115" s="151">
        <f>+IF(OR($Q115=Parametres!$G$2,$Q115=Parametres!$G$3),J115,D115)</f>
        <v>-41675.83</v>
      </c>
      <c r="P115" s="151">
        <f>+IF(OR($Q115=Parametres!$G$2,$Q115=Parametres!$G$3),K115,E115)</f>
        <v>39666.47</v>
      </c>
      <c r="Q115" s="150" t="str">
        <f t="shared" si="7"/>
        <v>2-Actifs</v>
      </c>
      <c r="R115" s="149" t="str">
        <f t="shared" si="8"/>
        <v>222</v>
      </c>
      <c r="S115" s="150" t="str">
        <f t="shared" si="9"/>
        <v>_</v>
      </c>
      <c r="T115" s="152" t="str">
        <f>+VLOOKUP($L115,Data_Validation!$A:$D,1,0)</f>
        <v>222A</v>
      </c>
      <c r="U115" s="152" t="str">
        <f>+VLOOKUP($L115,Data_Validation!$A:$D,3,0)</f>
        <v>Bilan</v>
      </c>
      <c r="V115" s="152" t="str">
        <f>+VLOOKUP($L115,Data_Validation!$A:$D,4,0)</f>
        <v>Recevables Garantie Manufacturier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2982</v>
      </c>
      <c r="B116" s="685" t="s">
        <v>2983</v>
      </c>
      <c r="C116" s="687">
        <v>6410.44</v>
      </c>
      <c r="D116" s="687">
        <v>0</v>
      </c>
      <c r="E116" s="687">
        <v>6410.44</v>
      </c>
      <c r="F116" s="685" t="s">
        <v>2225</v>
      </c>
      <c r="G116" s="685" t="s">
        <v>2983</v>
      </c>
      <c r="H116" s="634" t="s">
        <v>3074</v>
      </c>
      <c r="I116" s="633"/>
      <c r="J116" s="633"/>
      <c r="K116" s="633"/>
      <c r="L116" s="149" t="str">
        <f t="shared" si="5"/>
        <v>226</v>
      </c>
      <c r="M116" s="150" t="str">
        <f t="shared" si="6"/>
        <v>AUTRES RECEVABLES</v>
      </c>
      <c r="N116" s="151">
        <f>+IF(OR($Q116=Parametres!$G$2,$Q116=Parametres!$G$3),I116,C116)</f>
        <v>6410.44</v>
      </c>
      <c r="O116" s="151">
        <f>+IF(OR($Q116=Parametres!$G$2,$Q116=Parametres!$G$3),J116,D116)</f>
        <v>0</v>
      </c>
      <c r="P116" s="151">
        <f>+IF(OR($Q116=Parametres!$G$2,$Q116=Parametres!$G$3),K116,E116)</f>
        <v>6410.44</v>
      </c>
      <c r="Q116" s="150" t="str">
        <f t="shared" si="7"/>
        <v>2-Actifs</v>
      </c>
      <c r="R116" s="149" t="str">
        <f t="shared" si="8"/>
        <v>226</v>
      </c>
      <c r="S116" s="150" t="str">
        <f t="shared" si="9"/>
        <v>_</v>
      </c>
      <c r="T116" s="152" t="str">
        <f>+VLOOKUP($L116,Data_Validation!$A:$D,1,0)</f>
        <v>226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1850</v>
      </c>
      <c r="B117" s="685" t="s">
        <v>352</v>
      </c>
      <c r="C117" s="1038">
        <v>1873088.44</v>
      </c>
      <c r="D117" s="1038">
        <v>268033.71000000002</v>
      </c>
      <c r="E117" s="1038">
        <v>2141122.15</v>
      </c>
      <c r="F117" s="685" t="s">
        <v>2225</v>
      </c>
      <c r="G117" s="685" t="s">
        <v>352</v>
      </c>
      <c r="H117" s="686" t="s">
        <v>3074</v>
      </c>
      <c r="I117" s="687"/>
      <c r="J117" s="687"/>
      <c r="K117" s="687"/>
      <c r="L117" s="149" t="str">
        <f t="shared" si="5"/>
        <v>230</v>
      </c>
      <c r="M117" s="150" t="str">
        <f t="shared" si="6"/>
        <v>INV. VOITURES NEUVES BMW</v>
      </c>
      <c r="N117" s="151">
        <f>+IF(OR($Q117=Parametres!$G$2,$Q117=Parametres!$G$3),I117,C117)</f>
        <v>1873088.44</v>
      </c>
      <c r="O117" s="151">
        <f>+IF(OR($Q117=Parametres!$G$2,$Q117=Parametres!$G$3),J117,D117)</f>
        <v>268033.71000000002</v>
      </c>
      <c r="P117" s="151">
        <f>+IF(OR($Q117=Parametres!$G$2,$Q117=Parametres!$G$3),K117,E117)</f>
        <v>2141122.15</v>
      </c>
      <c r="Q117" s="150" t="str">
        <f t="shared" si="7"/>
        <v>2-Actifs</v>
      </c>
      <c r="R117" s="149" t="str">
        <f t="shared" si="8"/>
        <v>230</v>
      </c>
      <c r="S117" s="150" t="str">
        <f t="shared" si="9"/>
        <v>_</v>
      </c>
      <c r="T117" s="152" t="str">
        <f>+VLOOKUP($L117,Data_Validation!$A:$D,1,0)</f>
        <v>230</v>
      </c>
      <c r="U117" s="152" t="str">
        <f>+VLOOKUP($L117,Data_Validation!$A:$D,3,0)</f>
        <v>Bilan</v>
      </c>
      <c r="V117" s="152" t="str">
        <f>+VLOOKUP($L117,Data_Validation!$A:$D,4,0)</f>
        <v>Inventaire Véhicules Neufs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1074</v>
      </c>
      <c r="B118" s="685" t="s">
        <v>382</v>
      </c>
      <c r="C118" s="687">
        <v>4633515.32</v>
      </c>
      <c r="D118" s="687">
        <v>17219.939999999999</v>
      </c>
      <c r="E118" s="687">
        <v>4650735.26</v>
      </c>
      <c r="F118" s="685" t="s">
        <v>2225</v>
      </c>
      <c r="G118" s="685" t="s">
        <v>382</v>
      </c>
      <c r="H118" s="641" t="s">
        <v>3074</v>
      </c>
      <c r="I118" s="640"/>
      <c r="J118" s="640"/>
      <c r="K118" s="640"/>
      <c r="L118" s="149" t="str">
        <f t="shared" si="5"/>
        <v>232</v>
      </c>
      <c r="M118" s="150" t="str">
        <f t="shared" si="6"/>
        <v>INV. CAMIONS NEUFS BMW</v>
      </c>
      <c r="N118" s="151">
        <f>+IF(OR($Q118=Parametres!$G$2,$Q118=Parametres!$G$3),I118,C118)</f>
        <v>4633515.32</v>
      </c>
      <c r="O118" s="151">
        <f>+IF(OR($Q118=Parametres!$G$2,$Q118=Parametres!$G$3),J118,D118)</f>
        <v>17219.939999999999</v>
      </c>
      <c r="P118" s="151">
        <f>+IF(OR($Q118=Parametres!$G$2,$Q118=Parametres!$G$3),K118,E118)</f>
        <v>4650735.26</v>
      </c>
      <c r="Q118" s="150" t="str">
        <f t="shared" si="7"/>
        <v>2-Actifs</v>
      </c>
      <c r="R118" s="149" t="str">
        <f t="shared" si="8"/>
        <v>232</v>
      </c>
      <c r="S118" s="150" t="str">
        <f t="shared" si="9"/>
        <v>_</v>
      </c>
      <c r="T118" s="152" t="str">
        <f>+VLOOKUP($L118,Data_Validation!$A:$D,1,0)</f>
        <v>232</v>
      </c>
      <c r="U118" s="152" t="str">
        <f>+VLOOKUP($L118,Data_Validation!$A:$D,3,0)</f>
        <v>Bilan</v>
      </c>
      <c r="V118" s="152" t="str">
        <f>+VLOOKUP($L118,Data_Validation!$A:$D,4,0)</f>
        <v>Inventaire Véhicules Neufs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1176</v>
      </c>
      <c r="B119" s="685" t="s">
        <v>353</v>
      </c>
      <c r="C119" s="1038">
        <v>427098.79</v>
      </c>
      <c r="D119" s="1038">
        <v>827209.71</v>
      </c>
      <c r="E119" s="1038">
        <v>1254308.5</v>
      </c>
      <c r="F119" s="685" t="s">
        <v>2225</v>
      </c>
      <c r="G119" s="685" t="s">
        <v>353</v>
      </c>
      <c r="H119" s="686" t="s">
        <v>3074</v>
      </c>
      <c r="I119" s="687"/>
      <c r="J119" s="687"/>
      <c r="K119" s="687"/>
      <c r="L119" s="149" t="str">
        <f t="shared" si="5"/>
        <v>234</v>
      </c>
      <c r="M119" s="150" t="str">
        <f t="shared" si="6"/>
        <v>INVENTAIRE VEHICULES I</v>
      </c>
      <c r="N119" s="151">
        <f>+IF(OR($Q119=Parametres!$G$2,$Q119=Parametres!$G$3),I119,C119)</f>
        <v>427098.79</v>
      </c>
      <c r="O119" s="151">
        <f>+IF(OR($Q119=Parametres!$G$2,$Q119=Parametres!$G$3),J119,D119)</f>
        <v>827209.71</v>
      </c>
      <c r="P119" s="151">
        <f>+IF(OR($Q119=Parametres!$G$2,$Q119=Parametres!$G$3),K119,E119)</f>
        <v>1254308.5</v>
      </c>
      <c r="Q119" s="150" t="str">
        <f t="shared" si="7"/>
        <v>2-Actifs</v>
      </c>
      <c r="R119" s="149" t="str">
        <f t="shared" si="8"/>
        <v>234</v>
      </c>
      <c r="S119" s="150" t="str">
        <f t="shared" si="9"/>
        <v>_</v>
      </c>
      <c r="T119" s="152" t="str">
        <f>+VLOOKUP($L119,Data_Validation!$A:$D,1,0)</f>
        <v>234</v>
      </c>
      <c r="U119" s="152" t="str">
        <f>+VLOOKUP($L119,Data_Validation!$A:$D,3,0)</f>
        <v>Bilan</v>
      </c>
      <c r="V119" s="152" t="str">
        <f>+VLOOKUP($L119,Data_Validation!$A:$D,4,0)</f>
        <v>Inventaire Véhicules Neufs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1083</v>
      </c>
      <c r="B120" s="685" t="s">
        <v>408</v>
      </c>
      <c r="C120" s="687">
        <v>612323.99</v>
      </c>
      <c r="D120" s="687">
        <v>145294.75</v>
      </c>
      <c r="E120" s="687">
        <v>757618.74</v>
      </c>
      <c r="F120" s="685" t="s">
        <v>2225</v>
      </c>
      <c r="G120" s="685" t="s">
        <v>408</v>
      </c>
      <c r="H120" s="641" t="s">
        <v>3074</v>
      </c>
      <c r="I120" s="640"/>
      <c r="J120" s="640"/>
      <c r="K120" s="640"/>
      <c r="L120" s="149" t="str">
        <f t="shared" si="5"/>
        <v>240A</v>
      </c>
      <c r="M120" s="150" t="str">
        <f t="shared" si="6"/>
        <v>INV. VOITURES USAGEES BMW</v>
      </c>
      <c r="N120" s="151">
        <f>+IF(OR($Q120=Parametres!$G$2,$Q120=Parametres!$G$3),I120,C120)</f>
        <v>612323.99</v>
      </c>
      <c r="O120" s="151">
        <f>+IF(OR($Q120=Parametres!$G$2,$Q120=Parametres!$G$3),J120,D120)</f>
        <v>145294.75</v>
      </c>
      <c r="P120" s="151">
        <f>+IF(OR($Q120=Parametres!$G$2,$Q120=Parametres!$G$3),K120,E120)</f>
        <v>757618.74</v>
      </c>
      <c r="Q120" s="150" t="str">
        <f t="shared" si="7"/>
        <v>2-Actifs</v>
      </c>
      <c r="R120" s="149" t="str">
        <f t="shared" si="8"/>
        <v>240A</v>
      </c>
      <c r="S120" s="150" t="str">
        <f t="shared" si="9"/>
        <v>_</v>
      </c>
      <c r="T120" s="152" t="str">
        <f>+VLOOKUP($L120,Data_Validation!$A:$D,1,0)</f>
        <v>240A</v>
      </c>
      <c r="U120" s="152" t="str">
        <f>+VLOOKUP($L120,Data_Validation!$A:$D,3,0)</f>
        <v>Bilan</v>
      </c>
      <c r="V120" s="152" t="str">
        <f>+VLOOKUP($L120,Data_Validation!$A:$D,4,0)</f>
        <v>Inventaire Véhicules Usagés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1092</v>
      </c>
      <c r="B121" s="685" t="s">
        <v>432</v>
      </c>
      <c r="C121" s="687">
        <v>763374.26</v>
      </c>
      <c r="D121" s="687">
        <v>-164627.82</v>
      </c>
      <c r="E121" s="687">
        <v>598746.43999999994</v>
      </c>
      <c r="F121" s="685" t="s">
        <v>2225</v>
      </c>
      <c r="G121" s="685" t="s">
        <v>432</v>
      </c>
      <c r="H121" s="634" t="s">
        <v>3074</v>
      </c>
      <c r="I121" s="633"/>
      <c r="J121" s="633"/>
      <c r="K121" s="633"/>
      <c r="L121" s="149" t="str">
        <f t="shared" si="5"/>
        <v>240C</v>
      </c>
      <c r="M121" s="150" t="str">
        <f t="shared" si="6"/>
        <v>INV. VEHICULES USAGES AUTRES</v>
      </c>
      <c r="N121" s="151">
        <f>+IF(OR($Q121=Parametres!$G$2,$Q121=Parametres!$G$3),I121,C121)</f>
        <v>763374.26</v>
      </c>
      <c r="O121" s="151">
        <f>+IF(OR($Q121=Parametres!$G$2,$Q121=Parametres!$G$3),J121,D121)</f>
        <v>-164627.82</v>
      </c>
      <c r="P121" s="151">
        <f>+IF(OR($Q121=Parametres!$G$2,$Q121=Parametres!$G$3),K121,E121)</f>
        <v>598746.43999999994</v>
      </c>
      <c r="Q121" s="150" t="str">
        <f t="shared" si="7"/>
        <v>2-Actifs</v>
      </c>
      <c r="R121" s="149" t="str">
        <f t="shared" si="8"/>
        <v>240C</v>
      </c>
      <c r="S121" s="150" t="str">
        <f t="shared" si="9"/>
        <v>_</v>
      </c>
      <c r="T121" s="152" t="str">
        <f>+VLOOKUP($L121,Data_Validation!$A:$D,1,0)</f>
        <v>240C</v>
      </c>
      <c r="U121" s="152" t="str">
        <f>+VLOOKUP($L121,Data_Validation!$A:$D,3,0)</f>
        <v>Bilan</v>
      </c>
      <c r="V121" s="152" t="str">
        <f>+VLOOKUP($L121,Data_Validation!$A:$D,4,0)</f>
        <v>Inventaire Véhicules Usagés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1840</v>
      </c>
      <c r="B122" s="685" t="s">
        <v>819</v>
      </c>
      <c r="C122" s="687">
        <v>1565304.84</v>
      </c>
      <c r="D122" s="687">
        <v>-366322.35</v>
      </c>
      <c r="E122" s="687">
        <v>1198982.49</v>
      </c>
      <c r="F122" s="685" t="s">
        <v>2225</v>
      </c>
      <c r="G122" s="685" t="s">
        <v>819</v>
      </c>
      <c r="H122" s="641" t="s">
        <v>3074</v>
      </c>
      <c r="I122" s="640"/>
      <c r="J122" s="640"/>
      <c r="K122" s="640"/>
      <c r="L122" s="149" t="str">
        <f t="shared" si="5"/>
        <v>242A</v>
      </c>
      <c r="M122" s="150" t="str">
        <f t="shared" si="6"/>
        <v>INV. CAMIONS USAGES BMW</v>
      </c>
      <c r="N122" s="151">
        <f>+IF(OR($Q122=Parametres!$G$2,$Q122=Parametres!$G$3),I122,C122)</f>
        <v>1565304.84</v>
      </c>
      <c r="O122" s="496">
        <f>+IF(OR($Q122=Parametres!$G$2,$Q122=Parametres!$G$3),J122,D122)</f>
        <v>-366322.35</v>
      </c>
      <c r="P122" s="151">
        <f>+IF(OR($Q122=Parametres!$G$2,$Q122=Parametres!$G$3),K122,E122)</f>
        <v>1198982.49</v>
      </c>
      <c r="Q122" s="150" t="str">
        <f t="shared" si="7"/>
        <v>2-Actifs</v>
      </c>
      <c r="R122" s="149" t="str">
        <f t="shared" si="8"/>
        <v>242A</v>
      </c>
      <c r="S122" s="150" t="str">
        <f t="shared" si="9"/>
        <v>_</v>
      </c>
      <c r="T122" s="152" t="str">
        <f>+VLOOKUP($L122,Data_Validation!$A:$D,1,0)</f>
        <v>242A</v>
      </c>
      <c r="U122" s="152" t="str">
        <f>+VLOOKUP($L122,Data_Validation!$A:$D,3,0)</f>
        <v>Bilan</v>
      </c>
      <c r="V122" s="152" t="str">
        <f>+VLOOKUP($L122,Data_Validation!$A:$D,4,0)</f>
        <v>Inventaire Véhicules Usagés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1107</v>
      </c>
      <c r="B123" s="685" t="s">
        <v>421</v>
      </c>
      <c r="C123" s="687">
        <v>318732.27</v>
      </c>
      <c r="D123" s="687">
        <v>20075.64</v>
      </c>
      <c r="E123" s="687">
        <v>338807.91</v>
      </c>
      <c r="F123" s="685" t="s">
        <v>2225</v>
      </c>
      <c r="G123" s="685" t="s">
        <v>421</v>
      </c>
      <c r="H123" s="593" t="s">
        <v>3074</v>
      </c>
      <c r="I123" s="153"/>
      <c r="J123" s="153"/>
      <c r="K123" s="153"/>
      <c r="L123" s="149" t="str">
        <f t="shared" si="5"/>
        <v>243A</v>
      </c>
      <c r="M123" s="150" t="str">
        <f t="shared" si="6"/>
        <v>INV. PIECES BMW</v>
      </c>
      <c r="N123" s="151">
        <f>+IF(OR($Q123=Parametres!$G$2,$Q123=Parametres!$G$3),I123,C123)</f>
        <v>318732.27</v>
      </c>
      <c r="O123" s="496">
        <f>+IF(OR($Q123=Parametres!$G$2,$Q123=Parametres!$G$3),J123,D123)</f>
        <v>20075.64</v>
      </c>
      <c r="P123" s="151">
        <f>+IF(OR($Q123=Parametres!$G$2,$Q123=Parametres!$G$3),K123,E123)</f>
        <v>338807.91</v>
      </c>
      <c r="Q123" s="150" t="str">
        <f t="shared" si="7"/>
        <v>2-Actifs</v>
      </c>
      <c r="R123" s="149" t="str">
        <f t="shared" si="8"/>
        <v>243A</v>
      </c>
      <c r="S123" s="150" t="str">
        <f t="shared" si="9"/>
        <v>_</v>
      </c>
      <c r="T123" s="152" t="str">
        <f>+VLOOKUP($L123,Data_Validation!$A:$D,1,0)</f>
        <v>243A</v>
      </c>
      <c r="U123" s="152" t="str">
        <f>+VLOOKUP($L123,Data_Validation!$A:$D,3,0)</f>
        <v>Bilan</v>
      </c>
      <c r="V123" s="152" t="str">
        <f>+VLOOKUP($L123,Data_Validation!$A:$D,4,0)</f>
        <v>Inventaire Pièces, Pneus, Huile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362</v>
      </c>
      <c r="B124" s="685" t="s">
        <v>1147</v>
      </c>
      <c r="C124" s="687">
        <v>-25891.97</v>
      </c>
      <c r="D124" s="687">
        <v>-1921.7</v>
      </c>
      <c r="E124" s="687">
        <v>-27813.67</v>
      </c>
      <c r="F124" s="685" t="s">
        <v>2225</v>
      </c>
      <c r="G124" s="685" t="s">
        <v>421</v>
      </c>
      <c r="H124" s="595" t="s">
        <v>3074</v>
      </c>
      <c r="I124" s="594"/>
      <c r="J124" s="594"/>
      <c r="K124" s="594"/>
      <c r="L124" s="149" t="str">
        <f t="shared" si="5"/>
        <v>243F</v>
      </c>
      <c r="M124" s="150" t="str">
        <f t="shared" si="6"/>
        <v>AJUSTEMENT INVENTAIRE PIECES</v>
      </c>
      <c r="N124" s="151">
        <f>+IF(OR($Q124=Parametres!$G$2,$Q124=Parametres!$G$3),I124,C124)</f>
        <v>-25891.97</v>
      </c>
      <c r="O124" s="151">
        <f>+IF(OR($Q124=Parametres!$G$2,$Q124=Parametres!$G$3),J124,D124)</f>
        <v>-1921.7</v>
      </c>
      <c r="P124" s="151">
        <f>+IF(OR($Q124=Parametres!$G$2,$Q124=Parametres!$G$3),K124,E124)</f>
        <v>-27813.67</v>
      </c>
      <c r="Q124" s="150" t="str">
        <f t="shared" si="7"/>
        <v>2-Actifs</v>
      </c>
      <c r="R124" s="149" t="str">
        <f t="shared" si="8"/>
        <v>243A</v>
      </c>
      <c r="S124" s="150" t="str">
        <f t="shared" si="9"/>
        <v>_</v>
      </c>
      <c r="T124" s="152" t="str">
        <f>+VLOOKUP($L124,Data_Validation!$A:$D,1,0)</f>
        <v>243F</v>
      </c>
      <c r="U124" s="152" t="str">
        <f>+VLOOKUP($L124,Data_Validation!$A:$D,3,0)</f>
        <v>Bilan</v>
      </c>
      <c r="V124" s="152" t="str">
        <f>+VLOOKUP($L124,Data_Validation!$A:$D,4,0)</f>
        <v>Inventaire Pièces, Pneus, Huile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1192</v>
      </c>
      <c r="B125" s="685" t="s">
        <v>881</v>
      </c>
      <c r="C125" s="687">
        <v>-15287.65</v>
      </c>
      <c r="D125" s="687">
        <v>12898.4</v>
      </c>
      <c r="E125" s="687">
        <v>-2389.25</v>
      </c>
      <c r="F125" s="685" t="s">
        <v>2225</v>
      </c>
      <c r="G125" s="685" t="s">
        <v>881</v>
      </c>
      <c r="H125" s="593" t="s">
        <v>3074</v>
      </c>
      <c r="I125" s="594"/>
      <c r="J125" s="594"/>
      <c r="K125" s="594"/>
      <c r="L125" s="149" t="str">
        <f t="shared" si="5"/>
        <v>247</v>
      </c>
      <c r="M125" s="150" t="str">
        <f t="shared" si="6"/>
        <v>INV. SOUS TRAITANCE</v>
      </c>
      <c r="N125" s="151">
        <f>+IF(OR($Q125=Parametres!$G$2,$Q125=Parametres!$G$3),I125,C125)</f>
        <v>-15287.65</v>
      </c>
      <c r="O125" s="151">
        <f>+IF(OR($Q125=Parametres!$G$2,$Q125=Parametres!$G$3),J125,D125)</f>
        <v>12898.4</v>
      </c>
      <c r="P125" s="151">
        <f>+IF(OR($Q125=Parametres!$G$2,$Q125=Parametres!$G$3),K125,E125)</f>
        <v>-2389.25</v>
      </c>
      <c r="Q125" s="150" t="str">
        <f t="shared" si="7"/>
        <v>2-Actifs</v>
      </c>
      <c r="R125" s="149" t="str">
        <f t="shared" si="8"/>
        <v>247</v>
      </c>
      <c r="S125" s="150" t="str">
        <f t="shared" si="9"/>
        <v>_</v>
      </c>
      <c r="T125" s="152" t="str">
        <f>+VLOOKUP($L125,Data_Validation!$A:$D,1,0)</f>
        <v>247</v>
      </c>
      <c r="U125" s="152" t="str">
        <f>+VLOOKUP($L125,Data_Validation!$A:$D,3,0)</f>
        <v>Bilan</v>
      </c>
      <c r="V125" s="152" t="str">
        <f>+VLOOKUP($L125,Data_Validation!$A:$D,4,0)</f>
        <v>Sous-Traitance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380</v>
      </c>
      <c r="B126" s="685" t="s">
        <v>462</v>
      </c>
      <c r="C126" s="687">
        <v>6909.36</v>
      </c>
      <c r="D126" s="687">
        <v>1700.52</v>
      </c>
      <c r="E126" s="687">
        <v>8609.8799999999992</v>
      </c>
      <c r="F126" s="685" t="s">
        <v>2225</v>
      </c>
      <c r="G126" s="685" t="s">
        <v>462</v>
      </c>
      <c r="H126" s="641" t="s">
        <v>3074</v>
      </c>
      <c r="I126" s="641"/>
      <c r="J126" s="641"/>
      <c r="K126" s="641"/>
      <c r="L126" s="149" t="str">
        <f t="shared" si="5"/>
        <v>248</v>
      </c>
      <c r="M126" s="150" t="str">
        <f t="shared" si="6"/>
        <v>TRAVAUX EN COURS</v>
      </c>
      <c r="N126" s="151">
        <f>+IF(OR($Q126=Parametres!$G$2,$Q126=Parametres!$G$3),I126,C126)</f>
        <v>6909.36</v>
      </c>
      <c r="O126" s="496">
        <f>+IF(OR($Q126=Parametres!$G$2,$Q126=Parametres!$G$3),J126,D126)</f>
        <v>1700.52</v>
      </c>
      <c r="P126" s="151">
        <f>+IF(OR($Q126=Parametres!$G$2,$Q126=Parametres!$G$3),K126,E126)</f>
        <v>8609.8799999999992</v>
      </c>
      <c r="Q126" s="150" t="str">
        <f t="shared" si="7"/>
        <v>2-Actifs</v>
      </c>
      <c r="R126" s="149" t="str">
        <f t="shared" si="8"/>
        <v>248</v>
      </c>
      <c r="S126" s="150" t="str">
        <f t="shared" si="9"/>
        <v>_</v>
      </c>
      <c r="T126" s="152" t="str">
        <f>+VLOOKUP($L126,Data_Validation!$A:$D,1,0)</f>
        <v>248</v>
      </c>
      <c r="U126" s="152" t="str">
        <f>+VLOOKUP($L126,Data_Validation!$A:$D,3,0)</f>
        <v>Bilan</v>
      </c>
      <c r="V126" s="152" t="str">
        <f>+VLOOKUP($L126,Data_Validation!$A:$D,4,0)</f>
        <v>Travaux en Cours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3044</v>
      </c>
      <c r="B127" s="685" t="s">
        <v>3045</v>
      </c>
      <c r="C127" s="687">
        <v>457.39</v>
      </c>
      <c r="D127" s="687">
        <v>-278.33</v>
      </c>
      <c r="E127" s="687">
        <v>179.06</v>
      </c>
      <c r="F127" s="685" t="s">
        <v>2225</v>
      </c>
      <c r="G127" s="685" t="s">
        <v>462</v>
      </c>
      <c r="H127" s="641" t="s">
        <v>3074</v>
      </c>
      <c r="I127" s="640"/>
      <c r="J127" s="640"/>
      <c r="K127" s="640"/>
      <c r="L127" s="149" t="str">
        <f t="shared" si="5"/>
        <v>248A</v>
      </c>
      <c r="M127" s="150" t="str">
        <f t="shared" si="6"/>
        <v>TRAVAUX EN COURS LAVEURS</v>
      </c>
      <c r="N127" s="151">
        <f>+IF(OR($Q127=Parametres!$G$2,$Q127=Parametres!$G$3),I127,C127)</f>
        <v>457.39</v>
      </c>
      <c r="O127" s="496">
        <f>+IF(OR($Q127=Parametres!$G$2,$Q127=Parametres!$G$3),J127,D127)</f>
        <v>-278.33</v>
      </c>
      <c r="P127" s="151">
        <f>+IF(OR($Q127=Parametres!$G$2,$Q127=Parametres!$G$3),K127,E127)</f>
        <v>179.06</v>
      </c>
      <c r="Q127" s="150" t="str">
        <f t="shared" si="7"/>
        <v>2-Actifs</v>
      </c>
      <c r="R127" s="149" t="str">
        <f t="shared" si="8"/>
        <v>248</v>
      </c>
      <c r="S127" s="150" t="str">
        <f t="shared" si="9"/>
        <v>_</v>
      </c>
      <c r="T127" s="152" t="str">
        <f>+VLOOKUP($L127,Data_Validation!$A:$D,1,0)</f>
        <v>248A</v>
      </c>
      <c r="U127" s="152" t="str">
        <f>+VLOOKUP($L127,Data_Validation!$A:$D,3,0)</f>
        <v>Bilan</v>
      </c>
      <c r="V127" s="152" t="str">
        <f>+VLOOKUP($L127,Data_Validation!$A:$D,4,0)</f>
        <v>Travaux en Cours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1825</v>
      </c>
      <c r="B128" s="685" t="s">
        <v>427</v>
      </c>
      <c r="C128" s="1038">
        <v>166949.48000000001</v>
      </c>
      <c r="D128" s="1038">
        <v>-22244.799999999999</v>
      </c>
      <c r="E128" s="1038">
        <v>144704.68</v>
      </c>
      <c r="F128" s="685" t="s">
        <v>2225</v>
      </c>
      <c r="G128" s="685" t="s">
        <v>421</v>
      </c>
      <c r="H128" s="686" t="s">
        <v>3074</v>
      </c>
      <c r="I128" s="687"/>
      <c r="J128" s="687"/>
      <c r="K128" s="687"/>
      <c r="L128" s="149" t="str">
        <f t="shared" si="5"/>
        <v>249</v>
      </c>
      <c r="M128" s="150" t="str">
        <f t="shared" si="6"/>
        <v>INV. PNEUS</v>
      </c>
      <c r="N128" s="151">
        <f>+IF(OR($Q128=Parametres!$G$2,$Q128=Parametres!$G$3),I128,C128)</f>
        <v>166949.48000000001</v>
      </c>
      <c r="O128" s="151">
        <f>+IF(OR($Q128=Parametres!$G$2,$Q128=Parametres!$G$3),J128,D128)</f>
        <v>-22244.799999999999</v>
      </c>
      <c r="P128" s="151">
        <f>+IF(OR($Q128=Parametres!$G$2,$Q128=Parametres!$G$3),K128,E128)</f>
        <v>144704.68</v>
      </c>
      <c r="Q128" s="150" t="str">
        <f t="shared" si="7"/>
        <v>2-Actifs</v>
      </c>
      <c r="R128" s="149" t="str">
        <f t="shared" si="8"/>
        <v>243A</v>
      </c>
      <c r="S128" s="150" t="str">
        <f t="shared" si="9"/>
        <v>_</v>
      </c>
      <c r="T128" s="152" t="str">
        <f>+VLOOKUP($L128,Data_Validation!$A:$D,1,0)</f>
        <v>249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1821</v>
      </c>
      <c r="B129" s="685" t="s">
        <v>446</v>
      </c>
      <c r="C129" s="687">
        <v>50703.76</v>
      </c>
      <c r="D129" s="687">
        <v>-8764.23</v>
      </c>
      <c r="E129" s="687">
        <v>41939.53</v>
      </c>
      <c r="F129" s="685" t="s">
        <v>2225</v>
      </c>
      <c r="G129" s="685" t="s">
        <v>2245</v>
      </c>
      <c r="H129" s="641" t="s">
        <v>3074</v>
      </c>
      <c r="I129" s="640"/>
      <c r="J129" s="640"/>
      <c r="K129" s="640"/>
      <c r="L129" s="149" t="str">
        <f t="shared" si="5"/>
        <v>270A</v>
      </c>
      <c r="M129" s="150" t="str">
        <f t="shared" si="6"/>
        <v>TAXES PAYEES D'AVANCE</v>
      </c>
      <c r="N129" s="151">
        <f>+IF(OR($Q129=Parametres!$G$2,$Q129=Parametres!$G$3),I129,C129)</f>
        <v>50703.76</v>
      </c>
      <c r="O129" s="151">
        <f>+IF(OR($Q129=Parametres!$G$2,$Q129=Parametres!$G$3),J129,D129)</f>
        <v>-8764.23</v>
      </c>
      <c r="P129" s="151">
        <f>+IF(OR($Q129=Parametres!$G$2,$Q129=Parametres!$G$3),K129,E129)</f>
        <v>41939.53</v>
      </c>
      <c r="Q129" s="150" t="str">
        <f t="shared" si="7"/>
        <v>2-Actifs</v>
      </c>
      <c r="R129" s="149" t="str">
        <f t="shared" si="8"/>
        <v>270</v>
      </c>
      <c r="S129" s="150" t="str">
        <f t="shared" si="9"/>
        <v>_</v>
      </c>
      <c r="T129" s="152" t="str">
        <f>+VLOOKUP($L129,Data_Validation!$A:$D,1,0)</f>
        <v>270A</v>
      </c>
      <c r="U129" s="152" t="str">
        <f>+VLOOKUP($L129,Data_Validation!$A:$D,3,0)</f>
        <v>Bilan</v>
      </c>
      <c r="V129" s="152" t="str">
        <f>+VLOOKUP($L129,Data_Validation!$A:$D,4,0)</f>
        <v>Frais Payés d'Avance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1779</v>
      </c>
      <c r="B130" s="685" t="s">
        <v>1780</v>
      </c>
      <c r="C130" s="687">
        <v>-6815.78</v>
      </c>
      <c r="D130" s="687">
        <v>-1000</v>
      </c>
      <c r="E130" s="687">
        <v>-7815.78</v>
      </c>
      <c r="F130" s="685" t="s">
        <v>2225</v>
      </c>
      <c r="G130" s="685" t="s">
        <v>2245</v>
      </c>
      <c r="H130" s="641" t="s">
        <v>3074</v>
      </c>
      <c r="I130" s="640"/>
      <c r="J130" s="640"/>
      <c r="K130" s="640"/>
      <c r="L130" s="149" t="str">
        <f t="shared" ref="L130:L193" si="10">+B130</f>
        <v>270B</v>
      </c>
      <c r="M130" s="150" t="str">
        <f t="shared" ref="M130:M193" si="11">+A130</f>
        <v>ELECTRICITE PAYES D'AVANCE</v>
      </c>
      <c r="N130" s="151">
        <f>+IF(OR($Q130=Parametres!$G$2,$Q130=Parametres!$G$3),I130,C130)</f>
        <v>-6815.78</v>
      </c>
      <c r="O130" s="151">
        <f>+IF(OR($Q130=Parametres!$G$2,$Q130=Parametres!$G$3),J130,D130)</f>
        <v>-1000</v>
      </c>
      <c r="P130" s="151">
        <f>+IF(OR($Q130=Parametres!$G$2,$Q130=Parametres!$G$3),K130,E130)</f>
        <v>-7815.78</v>
      </c>
      <c r="Q130" s="150" t="str">
        <f t="shared" ref="Q130:Q193" si="12">+F130</f>
        <v>2-Actifs</v>
      </c>
      <c r="R130" s="149" t="str">
        <f t="shared" ref="R130:R193" si="13">+G130</f>
        <v>270</v>
      </c>
      <c r="S130" s="150" t="str">
        <f t="shared" ref="S130:S193" si="14">+H130</f>
        <v>_</v>
      </c>
      <c r="T130" s="152" t="str">
        <f>+VLOOKUP($L130,Data_Validation!$A:$D,1,0)</f>
        <v>270B</v>
      </c>
      <c r="U130" s="152" t="str">
        <f>+VLOOKUP($L130,Data_Validation!$A:$D,3,0)</f>
        <v>Bilan</v>
      </c>
      <c r="V130" s="152" t="str">
        <f>+VLOOKUP($L130,Data_Validation!$A:$D,4,0)</f>
        <v>Autres Comptes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1811</v>
      </c>
      <c r="B131" s="685" t="s">
        <v>1812</v>
      </c>
      <c r="C131" s="687">
        <v>16808.53</v>
      </c>
      <c r="D131" s="687">
        <v>-1617.28</v>
      </c>
      <c r="E131" s="687">
        <v>15191.25</v>
      </c>
      <c r="F131" s="685" t="s">
        <v>2225</v>
      </c>
      <c r="G131" s="685" t="s">
        <v>2245</v>
      </c>
      <c r="H131" s="641" t="s">
        <v>3074</v>
      </c>
      <c r="I131" s="640"/>
      <c r="J131" s="640"/>
      <c r="K131" s="640"/>
      <c r="L131" s="149" t="str">
        <f t="shared" si="10"/>
        <v>270C</v>
      </c>
      <c r="M131" s="150" t="str">
        <f t="shared" si="11"/>
        <v>PLAQUES PAYES D'AVANCE</v>
      </c>
      <c r="N131" s="151">
        <f>+IF(OR($Q131=Parametres!$G$2,$Q131=Parametres!$G$3),I131,C131)</f>
        <v>16808.53</v>
      </c>
      <c r="O131" s="151">
        <f>+IF(OR($Q131=Parametres!$G$2,$Q131=Parametres!$G$3),J131,D131)</f>
        <v>-1617.28</v>
      </c>
      <c r="P131" s="151">
        <f>+IF(OR($Q131=Parametres!$G$2,$Q131=Parametres!$G$3),K131,E131)</f>
        <v>15191.25</v>
      </c>
      <c r="Q131" s="150" t="str">
        <f t="shared" si="12"/>
        <v>2-Actifs</v>
      </c>
      <c r="R131" s="149" t="str">
        <f t="shared" si="13"/>
        <v>270</v>
      </c>
      <c r="S131" s="150" t="str">
        <f t="shared" si="14"/>
        <v>_</v>
      </c>
      <c r="T131" s="152" t="str">
        <f>+VLOOKUP($L131,Data_Validation!$A:$D,1,0)</f>
        <v>270C</v>
      </c>
      <c r="U131" s="152" t="str">
        <f>+VLOOKUP($L131,Data_Validation!$A:$D,3,0)</f>
        <v>Bilan</v>
      </c>
      <c r="V131" s="152" t="str">
        <f>+VLOOKUP($L131,Data_Validation!$A:$D,4,0)</f>
        <v>Frais Payés d'Avance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2985</v>
      </c>
      <c r="B132" s="685" t="s">
        <v>2986</v>
      </c>
      <c r="C132" s="687">
        <v>17855.87</v>
      </c>
      <c r="D132" s="687">
        <v>-3571.16</v>
      </c>
      <c r="E132" s="687">
        <v>14284.71</v>
      </c>
      <c r="F132" s="685" t="s">
        <v>2225</v>
      </c>
      <c r="G132" s="685" t="s">
        <v>2245</v>
      </c>
      <c r="H132" s="641" t="s">
        <v>3074</v>
      </c>
      <c r="I132" s="640"/>
      <c r="J132" s="640"/>
      <c r="K132" s="640"/>
      <c r="L132" s="149" t="str">
        <f t="shared" si="10"/>
        <v>270D</v>
      </c>
      <c r="M132" s="150" t="str">
        <f t="shared" si="11"/>
        <v>ASSURANCES PAYES D'AVANCE</v>
      </c>
      <c r="N132" s="151">
        <f>+IF(OR($Q132=Parametres!$G$2,$Q132=Parametres!$G$3),I132,C132)</f>
        <v>17855.87</v>
      </c>
      <c r="O132" s="151">
        <f>+IF(OR($Q132=Parametres!$G$2,$Q132=Parametres!$G$3),J132,D132)</f>
        <v>-3571.16</v>
      </c>
      <c r="P132" s="151">
        <f>+IF(OR($Q132=Parametres!$G$2,$Q132=Parametres!$G$3),K132,E132)</f>
        <v>14284.71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270D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2997</v>
      </c>
      <c r="B133" s="685" t="s">
        <v>2998</v>
      </c>
      <c r="C133" s="687">
        <v>6591.69</v>
      </c>
      <c r="D133" s="687">
        <v>-58.33</v>
      </c>
      <c r="E133" s="687">
        <v>6533.36</v>
      </c>
      <c r="F133" s="685" t="s">
        <v>2225</v>
      </c>
      <c r="G133" s="685" t="s">
        <v>2245</v>
      </c>
      <c r="H133" s="641" t="s">
        <v>3074</v>
      </c>
      <c r="I133" s="640"/>
      <c r="J133" s="640"/>
      <c r="K133" s="640"/>
      <c r="L133" s="149" t="str">
        <f t="shared" si="10"/>
        <v>270E</v>
      </c>
      <c r="M133" s="150" t="str">
        <f t="shared" si="11"/>
        <v>FRAIS DE PRETS</v>
      </c>
      <c r="N133" s="151">
        <f>+IF(OR($Q133=Parametres!$G$2,$Q133=Parametres!$G$3),I133,C133)</f>
        <v>6591.69</v>
      </c>
      <c r="O133" s="151">
        <f>+IF(OR($Q133=Parametres!$G$2,$Q133=Parametres!$G$3),J133,D133)</f>
        <v>-58.33</v>
      </c>
      <c r="P133" s="151">
        <f>+IF(OR($Q133=Parametres!$G$2,$Q133=Parametres!$G$3),K133,E133)</f>
        <v>6533.36</v>
      </c>
      <c r="Q133" s="150" t="str">
        <f t="shared" si="12"/>
        <v>2-Actifs</v>
      </c>
      <c r="R133" s="149" t="str">
        <f t="shared" si="13"/>
        <v>270</v>
      </c>
      <c r="S133" s="150" t="str">
        <f t="shared" si="14"/>
        <v>_</v>
      </c>
      <c r="T133" s="152" t="str">
        <f>+VLOOKUP($L133,Data_Validation!$A:$D,1,0)</f>
        <v>270E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940</v>
      </c>
      <c r="B134" s="685" t="s">
        <v>386</v>
      </c>
      <c r="C134" s="687">
        <v>1606.67</v>
      </c>
      <c r="D134" s="687">
        <v>-810</v>
      </c>
      <c r="E134" s="687">
        <v>796.67</v>
      </c>
      <c r="F134" s="685" t="s">
        <v>2225</v>
      </c>
      <c r="G134" s="685" t="s">
        <v>386</v>
      </c>
      <c r="H134" s="641" t="s">
        <v>3074</v>
      </c>
      <c r="I134" s="640"/>
      <c r="J134" s="640"/>
      <c r="K134" s="640"/>
      <c r="L134" s="149" t="str">
        <f t="shared" si="10"/>
        <v>274</v>
      </c>
      <c r="M134" s="150" t="str">
        <f t="shared" si="11"/>
        <v>FPA CONTRATS DE SERVICE</v>
      </c>
      <c r="N134" s="151">
        <f>+IF(OR($Q134=Parametres!$G$2,$Q134=Parametres!$G$3),I134,C134)</f>
        <v>1606.67</v>
      </c>
      <c r="O134" s="151">
        <f>+IF(OR($Q134=Parametres!$G$2,$Q134=Parametres!$G$3),J134,D134)</f>
        <v>-810</v>
      </c>
      <c r="P134" s="151">
        <f>+IF(OR($Q134=Parametres!$G$2,$Q134=Parametres!$G$3),K134,E134)</f>
        <v>796.67</v>
      </c>
      <c r="Q134" s="150" t="str">
        <f t="shared" si="12"/>
        <v>2-Actifs</v>
      </c>
      <c r="R134" s="149" t="str">
        <f t="shared" si="13"/>
        <v>274</v>
      </c>
      <c r="S134" s="150" t="str">
        <f t="shared" si="14"/>
        <v>_</v>
      </c>
      <c r="T134" s="152" t="str">
        <f>+VLOOKUP($L134,Data_Validation!$A:$D,1,0)</f>
        <v>274</v>
      </c>
      <c r="U134" s="152" t="str">
        <f>+VLOOKUP($L134,Data_Validation!$A:$D,3,0)</f>
        <v>Bilan</v>
      </c>
      <c r="V134" s="152" t="str">
        <f>+VLOOKUP($L134,Data_Validation!$A:$D,4,0)</f>
        <v>Frais Payés d'Avance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3005</v>
      </c>
      <c r="B135" s="685" t="s">
        <v>3006</v>
      </c>
      <c r="C135" s="687">
        <v>10060.790000000001</v>
      </c>
      <c r="D135" s="687">
        <v>4903.7</v>
      </c>
      <c r="E135" s="687">
        <v>14964.49</v>
      </c>
      <c r="F135" s="685" t="s">
        <v>2225</v>
      </c>
      <c r="G135" s="685" t="s">
        <v>386</v>
      </c>
      <c r="H135" s="641" t="s">
        <v>3074</v>
      </c>
      <c r="I135" s="640"/>
      <c r="J135" s="640"/>
      <c r="K135" s="640"/>
      <c r="L135" s="149" t="str">
        <f t="shared" si="10"/>
        <v>274A</v>
      </c>
      <c r="M135" s="150" t="str">
        <f t="shared" si="11"/>
        <v>REYNOLDS</v>
      </c>
      <c r="N135" s="151">
        <f>+IF(OR($Q135=Parametres!$G$2,$Q135=Parametres!$G$3),I135,C135)</f>
        <v>10060.790000000001</v>
      </c>
      <c r="O135" s="151">
        <f>+IF(OR($Q135=Parametres!$G$2,$Q135=Parametres!$G$3),J135,D135)</f>
        <v>4903.7</v>
      </c>
      <c r="P135" s="151">
        <f>+IF(OR($Q135=Parametres!$G$2,$Q135=Parametres!$G$3),K135,E135)</f>
        <v>14964.49</v>
      </c>
      <c r="Q135" s="150" t="str">
        <f t="shared" si="12"/>
        <v>2-Actifs</v>
      </c>
      <c r="R135" s="149" t="str">
        <f t="shared" si="13"/>
        <v>274</v>
      </c>
      <c r="S135" s="150" t="str">
        <f t="shared" si="14"/>
        <v>_</v>
      </c>
      <c r="T135" s="152" t="str">
        <f>+VLOOKUP($L135,Data_Validation!$A:$D,1,0)</f>
        <v>274A</v>
      </c>
      <c r="U135" s="152" t="str">
        <f>+VLOOKUP($L135,Data_Validation!$A:$D,3,0)</f>
        <v>Bilan</v>
      </c>
      <c r="V135" s="152" t="str">
        <f>+VLOOKUP($L135,Data_Validation!$A:$D,4,0)</f>
        <v>Frais Payés d'Avance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1823</v>
      </c>
      <c r="B136" s="685" t="s">
        <v>596</v>
      </c>
      <c r="C136" s="1038">
        <v>-1587.86</v>
      </c>
      <c r="D136" s="1038">
        <v>-412.14</v>
      </c>
      <c r="E136" s="1038">
        <v>-2000</v>
      </c>
      <c r="F136" s="685" t="s">
        <v>2225</v>
      </c>
      <c r="G136" s="685" t="s">
        <v>386</v>
      </c>
      <c r="H136" s="686" t="s">
        <v>3074</v>
      </c>
      <c r="I136" s="687"/>
      <c r="J136" s="687"/>
      <c r="K136" s="687"/>
      <c r="L136" s="149" t="str">
        <f t="shared" si="10"/>
        <v>275A</v>
      </c>
      <c r="M136" s="150" t="str">
        <f t="shared" si="11"/>
        <v>FPA PUB NEUF</v>
      </c>
      <c r="N136" s="151">
        <f>+IF(OR($Q136=Parametres!$G$2,$Q136=Parametres!$G$3),I136,C136)</f>
        <v>-1587.86</v>
      </c>
      <c r="O136" s="151">
        <f>+IF(OR($Q136=Parametres!$G$2,$Q136=Parametres!$G$3),J136,D136)</f>
        <v>-412.14</v>
      </c>
      <c r="P136" s="151">
        <f>+IF(OR($Q136=Parametres!$G$2,$Q136=Parametres!$G$3),K136,E136)</f>
        <v>-2000</v>
      </c>
      <c r="Q136" s="150" t="str">
        <f t="shared" si="12"/>
        <v>2-Actifs</v>
      </c>
      <c r="R136" s="149" t="str">
        <f t="shared" si="13"/>
        <v>274</v>
      </c>
      <c r="S136" s="150" t="str">
        <f t="shared" si="14"/>
        <v>_</v>
      </c>
      <c r="T136" s="152" t="str">
        <f>+VLOOKUP($L136,Data_Validation!$A:$D,1,0)</f>
        <v>275A</v>
      </c>
      <c r="U136" s="152" t="str">
        <f>+VLOOKUP($L136,Data_Validation!$A:$D,3,0)</f>
        <v>Bilan</v>
      </c>
      <c r="V136" s="152" t="str">
        <f>+VLOOKUP($L136,Data_Validation!$A:$D,4,0)</f>
        <v>Frais Payés d'Avance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1887</v>
      </c>
      <c r="B137" s="685" t="s">
        <v>1888</v>
      </c>
      <c r="C137" s="687">
        <v>0</v>
      </c>
      <c r="D137" s="687">
        <v>-399.8</v>
      </c>
      <c r="E137" s="687">
        <v>-399.8</v>
      </c>
      <c r="F137" s="685" t="s">
        <v>2225</v>
      </c>
      <c r="G137" s="685" t="s">
        <v>386</v>
      </c>
      <c r="H137" s="641" t="s">
        <v>3074</v>
      </c>
      <c r="I137" s="640"/>
      <c r="J137" s="640"/>
      <c r="K137" s="640"/>
      <c r="L137" s="149" t="str">
        <f t="shared" si="10"/>
        <v>275E</v>
      </c>
      <c r="M137" s="150" t="str">
        <f t="shared" si="11"/>
        <v>FPA PUB FIXE</v>
      </c>
      <c r="N137" s="151">
        <f>+IF(OR($Q137=Parametres!$G$2,$Q137=Parametres!$G$3),I137,C137)</f>
        <v>0</v>
      </c>
      <c r="O137" s="151">
        <f>+IF(OR($Q137=Parametres!$G$2,$Q137=Parametres!$G$3),J137,D137)</f>
        <v>-399.8</v>
      </c>
      <c r="P137" s="151">
        <f>+IF(OR($Q137=Parametres!$G$2,$Q137=Parametres!$G$3),K137,E137)</f>
        <v>-399.8</v>
      </c>
      <c r="Q137" s="150" t="str">
        <f t="shared" si="12"/>
        <v>2-Actifs</v>
      </c>
      <c r="R137" s="149" t="str">
        <f t="shared" si="13"/>
        <v>274</v>
      </c>
      <c r="S137" s="150" t="str">
        <f t="shared" si="14"/>
        <v>_</v>
      </c>
      <c r="T137" s="152" t="str">
        <f>+VLOOKUP($L137,Data_Validation!$A:$D,1,0)</f>
        <v>275E</v>
      </c>
      <c r="U137" s="152" t="str">
        <f>+VLOOKUP($L137,Data_Validation!$A:$D,3,0)</f>
        <v>Bilan</v>
      </c>
      <c r="V137" s="152" t="str">
        <f>+VLOOKUP($L137,Data_Validation!$A:$D,4,0)</f>
        <v>Frais Payés d'Avance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1748</v>
      </c>
      <c r="B138" s="685" t="s">
        <v>1009</v>
      </c>
      <c r="C138" s="687">
        <v>1437.52</v>
      </c>
      <c r="D138" s="687">
        <v>-239.58</v>
      </c>
      <c r="E138" s="687">
        <v>1197.94</v>
      </c>
      <c r="F138" s="685" t="s">
        <v>2225</v>
      </c>
      <c r="G138" s="685" t="s">
        <v>386</v>
      </c>
      <c r="H138" s="641" t="s">
        <v>3074</v>
      </c>
      <c r="I138" s="640"/>
      <c r="J138" s="640"/>
      <c r="K138" s="640"/>
      <c r="L138" s="149" t="str">
        <f t="shared" si="10"/>
        <v>276A</v>
      </c>
      <c r="M138" s="150" t="str">
        <f t="shared" si="11"/>
        <v>FPA CCAQ</v>
      </c>
      <c r="N138" s="151">
        <f>+IF(OR($Q138=Parametres!$G$2,$Q138=Parametres!$G$3),I138,C138)</f>
        <v>1437.52</v>
      </c>
      <c r="O138" s="496">
        <f>+IF(OR($Q138=Parametres!$G$2,$Q138=Parametres!$G$3),J138,D138)</f>
        <v>-239.58</v>
      </c>
      <c r="P138" s="151">
        <f>+IF(OR($Q138=Parametres!$G$2,$Q138=Parametres!$G$3),K138,E138)</f>
        <v>1197.94</v>
      </c>
      <c r="Q138" s="150" t="str">
        <f t="shared" si="12"/>
        <v>2-Actifs</v>
      </c>
      <c r="R138" s="149" t="str">
        <f t="shared" si="13"/>
        <v>274</v>
      </c>
      <c r="S138" s="150" t="str">
        <f t="shared" si="14"/>
        <v>_</v>
      </c>
      <c r="T138" s="152" t="str">
        <f>+VLOOKUP($L138,Data_Validation!$A:$D,1,0)</f>
        <v>276A</v>
      </c>
      <c r="U138" s="152" t="str">
        <f>+VLOOKUP($L138,Data_Validation!$A:$D,3,0)</f>
        <v>Bilan</v>
      </c>
      <c r="V138" s="152" t="str">
        <f>+VLOOKUP($L138,Data_Validation!$A:$D,4,0)</f>
        <v>Frais Payés d'Avance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597</v>
      </c>
      <c r="B139" s="685" t="s">
        <v>598</v>
      </c>
      <c r="C139" s="687">
        <v>-10989.55</v>
      </c>
      <c r="D139" s="687">
        <v>2421.86</v>
      </c>
      <c r="E139" s="687">
        <v>-8567.69</v>
      </c>
      <c r="F139" s="685" t="s">
        <v>2225</v>
      </c>
      <c r="G139" s="685" t="s">
        <v>386</v>
      </c>
      <c r="H139" s="641" t="s">
        <v>3074</v>
      </c>
      <c r="I139" s="641"/>
      <c r="J139" s="641"/>
      <c r="K139" s="641"/>
      <c r="L139" s="149" t="str">
        <f t="shared" si="10"/>
        <v>276B</v>
      </c>
      <c r="M139" s="150" t="str">
        <f t="shared" si="11"/>
        <v>FPA FORMATION</v>
      </c>
      <c r="N139" s="151">
        <f>+IF(OR($Q139=Parametres!$G$2,$Q139=Parametres!$G$3),I139,C139)</f>
        <v>-10989.55</v>
      </c>
      <c r="O139" s="151">
        <f>+IF(OR($Q139=Parametres!$G$2,$Q139=Parametres!$G$3),J139,D139)</f>
        <v>2421.86</v>
      </c>
      <c r="P139" s="151">
        <f>+IF(OR($Q139=Parametres!$G$2,$Q139=Parametres!$G$3),K139,E139)</f>
        <v>-8567.69</v>
      </c>
      <c r="Q139" s="150" t="str">
        <f t="shared" si="12"/>
        <v>2-Actifs</v>
      </c>
      <c r="R139" s="149" t="str">
        <f t="shared" si="13"/>
        <v>274</v>
      </c>
      <c r="S139" s="150" t="str">
        <f t="shared" si="14"/>
        <v>_</v>
      </c>
      <c r="T139" s="152" t="str">
        <f>+VLOOKUP($L139,Data_Validation!$A:$D,1,0)</f>
        <v>276B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2123</v>
      </c>
      <c r="B140" s="685" t="s">
        <v>2124</v>
      </c>
      <c r="C140" s="687">
        <v>161176.32999999999</v>
      </c>
      <c r="D140" s="687">
        <v>-107414.87</v>
      </c>
      <c r="E140" s="687">
        <v>53761.46</v>
      </c>
      <c r="F140" s="685" t="s">
        <v>2225</v>
      </c>
      <c r="G140" s="685" t="s">
        <v>2245</v>
      </c>
      <c r="H140" s="641" t="s">
        <v>3074</v>
      </c>
      <c r="I140" s="640"/>
      <c r="J140" s="640"/>
      <c r="K140" s="640"/>
      <c r="L140" s="149" t="str">
        <f t="shared" si="10"/>
        <v>279</v>
      </c>
      <c r="M140" s="150" t="str">
        <f t="shared" si="11"/>
        <v>TAXES A RECEVOIR</v>
      </c>
      <c r="N140" s="151">
        <f>+IF(OR($Q140=Parametres!$G$2,$Q140=Parametres!$G$3),I140,C140)</f>
        <v>161176.32999999999</v>
      </c>
      <c r="O140" s="151">
        <f>+IF(OR($Q140=Parametres!$G$2,$Q140=Parametres!$G$3),J140,D140)</f>
        <v>-107414.87</v>
      </c>
      <c r="P140" s="151">
        <f>+IF(OR($Q140=Parametres!$G$2,$Q140=Parametres!$G$3),K140,E140)</f>
        <v>53761.46</v>
      </c>
      <c r="Q140" s="150" t="str">
        <f t="shared" si="12"/>
        <v>2-Actifs</v>
      </c>
      <c r="R140" s="149" t="str">
        <f t="shared" si="13"/>
        <v>270</v>
      </c>
      <c r="S140" s="150" t="str">
        <f t="shared" si="14"/>
        <v>_</v>
      </c>
      <c r="T140" s="152" t="str">
        <f>+VLOOKUP($L140,Data_Validation!$A:$D,1,0)</f>
        <v>279</v>
      </c>
      <c r="U140" s="152" t="str">
        <f>+VLOOKUP($L140,Data_Validation!$A:$D,3,0)</f>
        <v>Bilan</v>
      </c>
      <c r="V140" s="152" t="str">
        <f>+VLOOKUP($L140,Data_Validation!$A:$D,4,0)</f>
        <v>Recevables Autres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1941</v>
      </c>
      <c r="B141" s="685" t="s">
        <v>1942</v>
      </c>
      <c r="C141" s="1038">
        <v>6807.62</v>
      </c>
      <c r="D141" s="1038">
        <v>1026</v>
      </c>
      <c r="E141" s="1038">
        <v>7833.62</v>
      </c>
      <c r="F141" s="685" t="s">
        <v>2225</v>
      </c>
      <c r="G141" s="685" t="s">
        <v>2245</v>
      </c>
      <c r="H141" s="686" t="s">
        <v>3074</v>
      </c>
      <c r="I141" s="687"/>
      <c r="J141" s="687"/>
      <c r="K141" s="687"/>
      <c r="L141" s="149" t="str">
        <f t="shared" si="10"/>
        <v>279A</v>
      </c>
      <c r="M141" s="150" t="str">
        <f t="shared" si="11"/>
        <v>INTERCO</v>
      </c>
      <c r="N141" s="151">
        <f>+IF(OR($Q141=Parametres!$G$2,$Q141=Parametres!$G$3),I141,C141)</f>
        <v>6807.62</v>
      </c>
      <c r="O141" s="151">
        <f>+IF(OR($Q141=Parametres!$G$2,$Q141=Parametres!$G$3),J141,D141)</f>
        <v>1026</v>
      </c>
      <c r="P141" s="151">
        <f>+IF(OR($Q141=Parametres!$G$2,$Q141=Parametres!$G$3),K141,E141)</f>
        <v>7833.62</v>
      </c>
      <c r="Q141" s="150" t="str">
        <f t="shared" si="12"/>
        <v>2-Actifs</v>
      </c>
      <c r="R141" s="149" t="str">
        <f t="shared" si="13"/>
        <v>270</v>
      </c>
      <c r="S141" s="150" t="str">
        <f t="shared" si="14"/>
        <v>_</v>
      </c>
      <c r="T141" s="152" t="str">
        <f>+VLOOKUP($L141,Data_Validation!$A:$D,1,0)</f>
        <v>279A</v>
      </c>
      <c r="U141" s="152" t="str">
        <f>+VLOOKUP($L141,Data_Validation!$A:$D,3,0)</f>
        <v>Bilan</v>
      </c>
      <c r="V141" s="152" t="str">
        <f>+VLOOKUP($L141,Data_Validation!$A:$D,4,0)</f>
        <v>Payables Intercos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405</v>
      </c>
      <c r="B142" s="685" t="s">
        <v>406</v>
      </c>
      <c r="C142" s="1038">
        <v>259047.21</v>
      </c>
      <c r="D142" s="1038">
        <v>50729.09</v>
      </c>
      <c r="E142" s="1038">
        <v>309776.3</v>
      </c>
      <c r="F142" s="685" t="s">
        <v>2225</v>
      </c>
      <c r="G142" s="685" t="s">
        <v>386</v>
      </c>
      <c r="H142" s="686" t="s">
        <v>3074</v>
      </c>
      <c r="I142" s="687"/>
      <c r="J142" s="687"/>
      <c r="K142" s="687"/>
      <c r="L142" s="149" t="str">
        <f t="shared" si="10"/>
        <v>279B</v>
      </c>
      <c r="M142" s="150" t="str">
        <f t="shared" si="11"/>
        <v>FPA AUTRES</v>
      </c>
      <c r="N142" s="151">
        <f>+IF(OR($Q142=Parametres!$G$2,$Q142=Parametres!$G$3),I142,C142)</f>
        <v>259047.21</v>
      </c>
      <c r="O142" s="496">
        <f>+IF(OR($Q142=Parametres!$G$2,$Q142=Parametres!$G$3),J142,D142)</f>
        <v>50729.09</v>
      </c>
      <c r="P142" s="151">
        <f>+IF(OR($Q142=Parametres!$G$2,$Q142=Parametres!$G$3),K142,E142)</f>
        <v>309776.3</v>
      </c>
      <c r="Q142" s="150" t="str">
        <f t="shared" si="12"/>
        <v>2-Actifs</v>
      </c>
      <c r="R142" s="149" t="str">
        <f t="shared" si="13"/>
        <v>274</v>
      </c>
      <c r="S142" s="150" t="str">
        <f t="shared" si="14"/>
        <v>_</v>
      </c>
      <c r="T142" s="152" t="str">
        <f>+VLOOKUP($L142,Data_Validation!$A:$D,1,0)</f>
        <v>279B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1184</v>
      </c>
      <c r="B143" s="685" t="s">
        <v>388</v>
      </c>
      <c r="C143" s="687">
        <v>145436.17000000001</v>
      </c>
      <c r="D143" s="687">
        <v>8556.84</v>
      </c>
      <c r="E143" s="687">
        <v>153993.01</v>
      </c>
      <c r="F143" s="685" t="s">
        <v>2225</v>
      </c>
      <c r="G143" s="685" t="s">
        <v>388</v>
      </c>
      <c r="H143" s="634" t="s">
        <v>3074</v>
      </c>
      <c r="I143" s="633"/>
      <c r="J143" s="633"/>
      <c r="K143" s="633"/>
      <c r="L143" s="149" t="str">
        <f t="shared" si="10"/>
        <v>282</v>
      </c>
      <c r="M143" s="150" t="str">
        <f t="shared" si="11"/>
        <v>EQUIPEMENTS &amp; OUTILLAGES</v>
      </c>
      <c r="N143" s="151">
        <f>+IF(OR($Q143=Parametres!$G$2,$Q143=Parametres!$G$3),I143,C143)</f>
        <v>145436.17000000001</v>
      </c>
      <c r="O143" s="151">
        <f>+IF(OR($Q143=Parametres!$G$2,$Q143=Parametres!$G$3),J143,D143)</f>
        <v>8556.84</v>
      </c>
      <c r="P143" s="151">
        <f>+IF(OR($Q143=Parametres!$G$2,$Q143=Parametres!$G$3),K143,E143)</f>
        <v>153993.01</v>
      </c>
      <c r="Q143" s="150" t="str">
        <f t="shared" si="12"/>
        <v>2-Actifs</v>
      </c>
      <c r="R143" s="149" t="str">
        <f t="shared" si="13"/>
        <v>282</v>
      </c>
      <c r="S143" s="150" t="str">
        <f t="shared" si="14"/>
        <v>_</v>
      </c>
      <c r="T143" s="152" t="str">
        <f>+VLOOKUP($L143,Data_Validation!$A:$D,1,0)</f>
        <v>282</v>
      </c>
      <c r="U143" s="152" t="str">
        <f>+VLOOKUP($L143,Data_Validation!$A:$D,3,0)</f>
        <v>Bilan</v>
      </c>
      <c r="V143" s="152" t="str">
        <f>+VLOOKUP($L143,Data_Validation!$A:$D,4,0)</f>
        <v>Équipements Service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1356</v>
      </c>
      <c r="B144" s="685" t="s">
        <v>381</v>
      </c>
      <c r="C144" s="687">
        <v>1283.78</v>
      </c>
      <c r="D144" s="687">
        <v>0</v>
      </c>
      <c r="E144" s="687">
        <v>1283.78</v>
      </c>
      <c r="F144" s="685" t="s">
        <v>2225</v>
      </c>
      <c r="G144" s="685" t="s">
        <v>381</v>
      </c>
      <c r="H144" s="641" t="s">
        <v>3074</v>
      </c>
      <c r="I144" s="640"/>
      <c r="J144" s="640"/>
      <c r="K144" s="640"/>
      <c r="L144" s="149" t="str">
        <f t="shared" si="10"/>
        <v>283</v>
      </c>
      <c r="M144" s="150" t="str">
        <f t="shared" si="11"/>
        <v>EQUIPEMENTS PIECES &amp; ACCESSOIRES</v>
      </c>
      <c r="N144" s="151">
        <f>+IF(OR($Q144=Parametres!$G$2,$Q144=Parametres!$G$3),I144,C144)</f>
        <v>1283.78</v>
      </c>
      <c r="O144" s="151">
        <f>+IF(OR($Q144=Parametres!$G$2,$Q144=Parametres!$G$3),J144,D144)</f>
        <v>0</v>
      </c>
      <c r="P144" s="151">
        <f>+IF(OR($Q144=Parametres!$G$2,$Q144=Parametres!$G$3),K144,E144)</f>
        <v>1283.78</v>
      </c>
      <c r="Q144" s="150" t="str">
        <f t="shared" si="12"/>
        <v>2-Actifs</v>
      </c>
      <c r="R144" s="149" t="str">
        <f t="shared" si="13"/>
        <v>283</v>
      </c>
      <c r="S144" s="150" t="str">
        <f t="shared" si="14"/>
        <v>_</v>
      </c>
      <c r="T144" s="152" t="str">
        <f>+VLOOKUP($L144,Data_Validation!$A:$D,1,0)</f>
        <v>283</v>
      </c>
      <c r="U144" s="152" t="str">
        <f>+VLOOKUP($L144,Data_Validation!$A:$D,3,0)</f>
        <v>Bilan</v>
      </c>
      <c r="V144" s="152" t="str">
        <f>+VLOOKUP($L144,Data_Validation!$A:$D,4,0)</f>
        <v>Équipements Service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1357</v>
      </c>
      <c r="B145" s="685" t="s">
        <v>1358</v>
      </c>
      <c r="C145" s="687">
        <v>201347.91</v>
      </c>
      <c r="D145" s="687">
        <v>0</v>
      </c>
      <c r="E145" s="687">
        <v>201347.91</v>
      </c>
      <c r="F145" s="685" t="s">
        <v>2225</v>
      </c>
      <c r="G145" s="685" t="s">
        <v>1358</v>
      </c>
      <c r="H145" s="641" t="s">
        <v>3074</v>
      </c>
      <c r="I145" s="640"/>
      <c r="J145" s="640"/>
      <c r="K145" s="640"/>
      <c r="L145" s="149" t="str">
        <f t="shared" si="10"/>
        <v>284A</v>
      </c>
      <c r="M145" s="150" t="str">
        <f t="shared" si="11"/>
        <v>MEUBLES &amp; ACCESSOIRES</v>
      </c>
      <c r="N145" s="151">
        <f>+IF(OR($Q145=Parametres!$G$2,$Q145=Parametres!$G$3),I145,C145)</f>
        <v>201347.91</v>
      </c>
      <c r="O145" s="151">
        <f>+IF(OR($Q145=Parametres!$G$2,$Q145=Parametres!$G$3),J145,D145)</f>
        <v>0</v>
      </c>
      <c r="P145" s="151">
        <f>+IF(OR($Q145=Parametres!$G$2,$Q145=Parametres!$G$3),K145,E145)</f>
        <v>201347.91</v>
      </c>
      <c r="Q145" s="150" t="str">
        <f t="shared" si="12"/>
        <v>2-Actifs</v>
      </c>
      <c r="R145" s="149" t="str">
        <f t="shared" si="13"/>
        <v>284A</v>
      </c>
      <c r="S145" s="150" t="str">
        <f t="shared" si="14"/>
        <v>_</v>
      </c>
      <c r="T145" s="152" t="str">
        <f>+VLOOKUP($L145,Data_Validation!$A:$D,1,0)</f>
        <v>284A</v>
      </c>
      <c r="U145" s="152" t="str">
        <f>+VLOOKUP($L145,Data_Validation!$A:$D,3,0)</f>
        <v>Bilan</v>
      </c>
      <c r="V145" s="152" t="str">
        <f>+VLOOKUP($L145,Data_Validation!$A:$D,4,0)</f>
        <v>Mobilier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1359</v>
      </c>
      <c r="B146" s="685" t="s">
        <v>1360</v>
      </c>
      <c r="C146" s="687">
        <v>9907.58</v>
      </c>
      <c r="D146" s="687">
        <v>0</v>
      </c>
      <c r="E146" s="687">
        <v>9907.58</v>
      </c>
      <c r="F146" s="685" t="s">
        <v>2225</v>
      </c>
      <c r="G146" s="685" t="s">
        <v>1360</v>
      </c>
      <c r="H146" s="641" t="s">
        <v>3074</v>
      </c>
      <c r="I146" s="640"/>
      <c r="J146" s="640"/>
      <c r="K146" s="640"/>
      <c r="L146" s="149" t="str">
        <f t="shared" si="10"/>
        <v>284B</v>
      </c>
      <c r="M146" s="150" t="str">
        <f t="shared" si="11"/>
        <v>ENSEIGNE</v>
      </c>
      <c r="N146" s="151">
        <f>+IF(OR($Q146=Parametres!$G$2,$Q146=Parametres!$G$3),I146,C146)</f>
        <v>9907.58</v>
      </c>
      <c r="O146" s="151">
        <f>+IF(OR($Q146=Parametres!$G$2,$Q146=Parametres!$G$3),J146,D146)</f>
        <v>0</v>
      </c>
      <c r="P146" s="151">
        <f>+IF(OR($Q146=Parametres!$G$2,$Q146=Parametres!$G$3),K146,E146)</f>
        <v>9907.58</v>
      </c>
      <c r="Q146" s="150" t="str">
        <f t="shared" si="12"/>
        <v>2-Actifs</v>
      </c>
      <c r="R146" s="149" t="str">
        <f t="shared" si="13"/>
        <v>284B</v>
      </c>
      <c r="S146" s="150" t="str">
        <f t="shared" si="14"/>
        <v>_</v>
      </c>
      <c r="T146" s="152" t="str">
        <f>+VLOOKUP($L146,Data_Validation!$A:$D,1,0)</f>
        <v>284B</v>
      </c>
      <c r="U146" s="152" t="str">
        <f>+VLOOKUP($L146,Data_Validation!$A:$D,3,0)</f>
        <v>Bilan</v>
      </c>
      <c r="V146" s="152" t="str">
        <f>+VLOOKUP($L146,Data_Validation!$A:$D,4,0)</f>
        <v>Enseigne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1361</v>
      </c>
      <c r="B147" s="685" t="s">
        <v>1362</v>
      </c>
      <c r="C147" s="687">
        <v>30578.959999999999</v>
      </c>
      <c r="D147" s="687">
        <v>999</v>
      </c>
      <c r="E147" s="687">
        <v>31577.96</v>
      </c>
      <c r="F147" s="685" t="s">
        <v>2225</v>
      </c>
      <c r="G147" s="685" t="s">
        <v>1362</v>
      </c>
      <c r="H147" s="641" t="s">
        <v>3074</v>
      </c>
      <c r="I147" s="640"/>
      <c r="J147" s="640"/>
      <c r="K147" s="640"/>
      <c r="L147" s="149" t="str">
        <f t="shared" si="10"/>
        <v>284C</v>
      </c>
      <c r="M147" s="150" t="str">
        <f t="shared" si="11"/>
        <v>EQUIPEMENTS INFORMATIQUE</v>
      </c>
      <c r="N147" s="151">
        <f>+IF(OR($Q147=Parametres!$G$2,$Q147=Parametres!$G$3),I147,C147)</f>
        <v>30578.959999999999</v>
      </c>
      <c r="O147" s="496">
        <f>+IF(OR($Q147=Parametres!$G$2,$Q147=Parametres!$G$3),J147,D147)</f>
        <v>999</v>
      </c>
      <c r="P147" s="151">
        <f>+IF(OR($Q147=Parametres!$G$2,$Q147=Parametres!$G$3),K147,E147)</f>
        <v>31577.96</v>
      </c>
      <c r="Q147" s="150" t="str">
        <f t="shared" si="12"/>
        <v>2-Actifs</v>
      </c>
      <c r="R147" s="149" t="str">
        <f t="shared" si="13"/>
        <v>284C</v>
      </c>
      <c r="S147" s="150" t="str">
        <f t="shared" si="14"/>
        <v>_</v>
      </c>
      <c r="T147" s="152" t="str">
        <f>+VLOOKUP($L147,Data_Validation!$A:$D,1,0)</f>
        <v>284C</v>
      </c>
      <c r="U147" s="152" t="str">
        <f>+VLOOKUP($L147,Data_Validation!$A:$D,3,0)</f>
        <v>Bilan</v>
      </c>
      <c r="V147" s="152" t="str">
        <f>+VLOOKUP($L147,Data_Validation!$A:$D,4,0)</f>
        <v>Équipements Informatique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1020</v>
      </c>
      <c r="B148" s="685" t="s">
        <v>600</v>
      </c>
      <c r="C148" s="687">
        <v>1841</v>
      </c>
      <c r="D148" s="687">
        <v>0</v>
      </c>
      <c r="E148" s="687">
        <v>1841</v>
      </c>
      <c r="F148" s="685" t="s">
        <v>2225</v>
      </c>
      <c r="G148" s="685" t="s">
        <v>600</v>
      </c>
      <c r="H148" s="641" t="s">
        <v>3074</v>
      </c>
      <c r="I148" s="641"/>
      <c r="J148" s="641"/>
      <c r="K148" s="641"/>
      <c r="L148" s="149" t="str">
        <f t="shared" si="10"/>
        <v>286</v>
      </c>
      <c r="M148" s="150" t="str">
        <f t="shared" si="11"/>
        <v>AMELIORATION LOCATIVE</v>
      </c>
      <c r="N148" s="151">
        <f>+IF(OR($Q148=Parametres!$G$2,$Q148=Parametres!$G$3),I148,C148)</f>
        <v>1841</v>
      </c>
      <c r="O148" s="496">
        <f>+IF(OR($Q148=Parametres!$G$2,$Q148=Parametres!$G$3),J148,D148)</f>
        <v>0</v>
      </c>
      <c r="P148" s="151">
        <f>+IF(OR($Q148=Parametres!$G$2,$Q148=Parametres!$G$3),K148,E148)</f>
        <v>1841</v>
      </c>
      <c r="Q148" s="150" t="str">
        <f t="shared" si="12"/>
        <v>2-Actifs</v>
      </c>
      <c r="R148" s="149" t="str">
        <f t="shared" si="13"/>
        <v>286</v>
      </c>
      <c r="S148" s="150" t="str">
        <f t="shared" si="14"/>
        <v>_</v>
      </c>
      <c r="T148" s="152" t="str">
        <f>+VLOOKUP($L148,Data_Validation!$A:$D,1,0)</f>
        <v>286</v>
      </c>
      <c r="U148" s="152" t="str">
        <f>+VLOOKUP($L148,Data_Validation!$A:$D,3,0)</f>
        <v>Bilan</v>
      </c>
      <c r="V148" s="152" t="str">
        <f>+VLOOKUP($L148,Data_Validation!$A:$D,4,0)</f>
        <v>Améliorations Locatives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2987</v>
      </c>
      <c r="B149" s="685" t="s">
        <v>2988</v>
      </c>
      <c r="C149" s="687">
        <v>9743</v>
      </c>
      <c r="D149" s="687">
        <v>0</v>
      </c>
      <c r="E149" s="687">
        <v>9743</v>
      </c>
      <c r="F149" s="685" t="s">
        <v>2225</v>
      </c>
      <c r="G149" s="685" t="s">
        <v>1022</v>
      </c>
      <c r="H149" s="641" t="s">
        <v>3074</v>
      </c>
      <c r="I149" s="641"/>
      <c r="J149" s="641"/>
      <c r="K149" s="641"/>
      <c r="L149" s="149" t="str">
        <f t="shared" si="10"/>
        <v>290A</v>
      </c>
      <c r="M149" s="150" t="str">
        <f t="shared" si="11"/>
        <v>DEPOT HYDRO</v>
      </c>
      <c r="N149" s="151">
        <f>+IF(OR($Q149=Parametres!$G$2,$Q149=Parametres!$G$3),I149,C149)</f>
        <v>9743</v>
      </c>
      <c r="O149" s="151">
        <f>+IF(OR($Q149=Parametres!$G$2,$Q149=Parametres!$G$3),J149,D149)</f>
        <v>0</v>
      </c>
      <c r="P149" s="151">
        <f>+IF(OR($Q149=Parametres!$G$2,$Q149=Parametres!$G$3),K149,E149)</f>
        <v>9743</v>
      </c>
      <c r="Q149" s="150" t="str">
        <f t="shared" si="12"/>
        <v>2-Actifs</v>
      </c>
      <c r="R149" s="149" t="str">
        <f t="shared" si="13"/>
        <v>290</v>
      </c>
      <c r="S149" s="150" t="str">
        <f t="shared" si="14"/>
        <v>_</v>
      </c>
      <c r="T149" s="152" t="str">
        <f>+VLOOKUP($L149,Data_Validation!$A:$D,1,0)</f>
        <v>290A</v>
      </c>
      <c r="U149" s="152" t="str">
        <f>+VLOOKUP($L149,Data_Validation!$A:$D,3,0)</f>
        <v>Bilan</v>
      </c>
      <c r="V149" s="152" t="str">
        <f>+VLOOKUP($L149,Data_Validation!$A:$D,4,0)</f>
        <v>Recevables Autres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2989</v>
      </c>
      <c r="B150" s="685" t="s">
        <v>2990</v>
      </c>
      <c r="C150" s="687">
        <v>7000</v>
      </c>
      <c r="D150" s="687">
        <v>0</v>
      </c>
      <c r="E150" s="687">
        <v>7000</v>
      </c>
      <c r="F150" s="685" t="s">
        <v>2225</v>
      </c>
      <c r="G150" s="685" t="s">
        <v>1022</v>
      </c>
      <c r="H150" s="641" t="s">
        <v>3074</v>
      </c>
      <c r="I150" s="640"/>
      <c r="J150" s="640"/>
      <c r="K150" s="640"/>
      <c r="L150" s="149" t="str">
        <f t="shared" si="10"/>
        <v>290B</v>
      </c>
      <c r="M150" s="150" t="str">
        <f t="shared" si="11"/>
        <v>DEPOT ENERGIR</v>
      </c>
      <c r="N150" s="151">
        <f>+IF(OR($Q150=Parametres!$G$2,$Q150=Parametres!$G$3),I150,C150)</f>
        <v>7000</v>
      </c>
      <c r="O150" s="151">
        <f>+IF(OR($Q150=Parametres!$G$2,$Q150=Parametres!$G$3),J150,D150)</f>
        <v>0</v>
      </c>
      <c r="P150" s="151">
        <f>+IF(OR($Q150=Parametres!$G$2,$Q150=Parametres!$G$3),K150,E150)</f>
        <v>7000</v>
      </c>
      <c r="Q150" s="150" t="str">
        <f t="shared" si="12"/>
        <v>2-Actifs</v>
      </c>
      <c r="R150" s="149" t="str">
        <f t="shared" si="13"/>
        <v>290</v>
      </c>
      <c r="S150" s="150" t="str">
        <f t="shared" si="14"/>
        <v>_</v>
      </c>
      <c r="T150" s="152" t="str">
        <f>+VLOOKUP($L150,Data_Validation!$A:$D,1,0)</f>
        <v>290B</v>
      </c>
      <c r="U150" s="152" t="str">
        <f>+VLOOKUP($L150,Data_Validation!$A:$D,3,0)</f>
        <v>Bilan</v>
      </c>
      <c r="V150" s="152" t="str">
        <f>+VLOOKUP($L150,Data_Validation!$A:$D,4,0)</f>
        <v>Recevables Autres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3076</v>
      </c>
      <c r="B151" s="685" t="s">
        <v>1367</v>
      </c>
      <c r="C151" s="1038">
        <v>9500000</v>
      </c>
      <c r="D151" s="1038">
        <v>0</v>
      </c>
      <c r="E151" s="1038">
        <v>9500000</v>
      </c>
      <c r="F151" s="685" t="s">
        <v>2225</v>
      </c>
      <c r="G151" s="685" t="s">
        <v>1367</v>
      </c>
      <c r="H151" s="686" t="s">
        <v>3074</v>
      </c>
      <c r="I151" s="687"/>
      <c r="J151" s="687"/>
      <c r="K151" s="687"/>
      <c r="L151" s="149" t="str">
        <f t="shared" si="10"/>
        <v>296</v>
      </c>
      <c r="M151" s="150" t="str">
        <f t="shared" si="11"/>
        <v>GOODWILLL</v>
      </c>
      <c r="N151" s="151">
        <f>+IF(OR($Q151=Parametres!$G$2,$Q151=Parametres!$G$3),I151,C151)</f>
        <v>9500000</v>
      </c>
      <c r="O151" s="496">
        <f>+IF(OR($Q151=Parametres!$G$2,$Q151=Parametres!$G$3),J151,D151)</f>
        <v>0</v>
      </c>
      <c r="P151" s="151">
        <f>+IF(OR($Q151=Parametres!$G$2,$Q151=Parametres!$G$3),K151,E151)</f>
        <v>9500000</v>
      </c>
      <c r="Q151" s="150" t="str">
        <f t="shared" si="12"/>
        <v>2-Actifs</v>
      </c>
      <c r="R151" s="149" t="str">
        <f t="shared" si="13"/>
        <v>296</v>
      </c>
      <c r="S151" s="150" t="str">
        <f t="shared" si="14"/>
        <v>_</v>
      </c>
      <c r="T151" s="152" t="str">
        <f>+VLOOKUP($L151,Data_Validation!$A:$D,1,0)</f>
        <v>296</v>
      </c>
      <c r="U151" s="152" t="str">
        <f>+VLOOKUP($L151,Data_Validation!$A:$D,3,0)</f>
        <v>Bilan</v>
      </c>
      <c r="V151" s="152" t="str">
        <f>+VLOOKUP($L151,Data_Validation!$A:$D,4,0)</f>
        <v>Achalandage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2991</v>
      </c>
      <c r="B152" s="685" t="s">
        <v>2992</v>
      </c>
      <c r="C152" s="687">
        <v>1000000</v>
      </c>
      <c r="D152" s="687">
        <v>0</v>
      </c>
      <c r="E152" s="687">
        <v>1000000</v>
      </c>
      <c r="F152" s="685" t="s">
        <v>2225</v>
      </c>
      <c r="G152" s="685" t="s">
        <v>2491</v>
      </c>
      <c r="H152" s="641" t="s">
        <v>3074</v>
      </c>
      <c r="I152" s="640"/>
      <c r="J152" s="640"/>
      <c r="K152" s="640"/>
      <c r="L152" s="149" t="str">
        <f t="shared" si="10"/>
        <v>297A</v>
      </c>
      <c r="M152" s="150" t="str">
        <f t="shared" si="11"/>
        <v>AVANCE HYUNDAY LONGUEUIL</v>
      </c>
      <c r="N152" s="151">
        <f>+IF(OR($Q152=Parametres!$G$2,$Q152=Parametres!$G$3),I152,C152)</f>
        <v>1000000</v>
      </c>
      <c r="O152" s="151">
        <f>+IF(OR($Q152=Parametres!$G$2,$Q152=Parametres!$G$3),J152,D152)</f>
        <v>0</v>
      </c>
      <c r="P152" s="151">
        <f>+IF(OR($Q152=Parametres!$G$2,$Q152=Parametres!$G$3),K152,E152)</f>
        <v>1000000</v>
      </c>
      <c r="Q152" s="150" t="str">
        <f t="shared" si="12"/>
        <v>2-Actifs</v>
      </c>
      <c r="R152" s="149" t="str">
        <f t="shared" si="13"/>
        <v>297</v>
      </c>
      <c r="S152" s="150" t="str">
        <f t="shared" si="14"/>
        <v>_</v>
      </c>
      <c r="T152" s="152" t="str">
        <f>+VLOOKUP($L152,Data_Validation!$A:$D,1,0)</f>
        <v>297A</v>
      </c>
      <c r="U152" s="152" t="str">
        <f>+VLOOKUP($L152,Data_Validation!$A:$D,3,0)</f>
        <v>Bilan</v>
      </c>
      <c r="V152" s="152" t="str">
        <f>+VLOOKUP($L152,Data_Validation!$A:$D,4,0)</f>
        <v>Avances à Recevoir Long Terme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2995</v>
      </c>
      <c r="B153" s="685" t="s">
        <v>2996</v>
      </c>
      <c r="C153" s="687">
        <v>-10834.57</v>
      </c>
      <c r="D153" s="687">
        <v>0</v>
      </c>
      <c r="E153" s="687">
        <v>-10834.57</v>
      </c>
      <c r="F153" s="685" t="s">
        <v>2225</v>
      </c>
      <c r="G153" s="685" t="s">
        <v>2491</v>
      </c>
      <c r="H153" s="641" t="s">
        <v>3074</v>
      </c>
      <c r="I153" s="640"/>
      <c r="J153" s="640"/>
      <c r="K153" s="640"/>
      <c r="L153" s="149" t="str">
        <f t="shared" si="10"/>
        <v>297B</v>
      </c>
      <c r="M153" s="150" t="str">
        <f t="shared" si="11"/>
        <v>AVANCE 9548-3442 QC INC (IMMO)</v>
      </c>
      <c r="N153" s="151">
        <f>+IF(OR($Q153=Parametres!$G$2,$Q153=Parametres!$G$3),I153,C153)</f>
        <v>-10834.57</v>
      </c>
      <c r="O153" s="151">
        <f>+IF(OR($Q153=Parametres!$G$2,$Q153=Parametres!$G$3),J153,D153)</f>
        <v>0</v>
      </c>
      <c r="P153" s="151">
        <f>+IF(OR($Q153=Parametres!$G$2,$Q153=Parametres!$G$3),K153,E153)</f>
        <v>-10834.57</v>
      </c>
      <c r="Q153" s="150" t="str">
        <f t="shared" si="12"/>
        <v>2-Actifs</v>
      </c>
      <c r="R153" s="149" t="str">
        <f t="shared" si="13"/>
        <v>297</v>
      </c>
      <c r="S153" s="150" t="str">
        <f t="shared" si="14"/>
        <v>_</v>
      </c>
      <c r="T153" s="152" t="str">
        <f>+VLOOKUP($L153,Data_Validation!$A:$D,1,0)</f>
        <v>297B</v>
      </c>
      <c r="U153" s="152" t="str">
        <f>+VLOOKUP($L153,Data_Validation!$A:$D,3,0)</f>
        <v>Bilan</v>
      </c>
      <c r="V153" s="152" t="str">
        <f>+VLOOKUP($L153,Data_Validation!$A:$D,4,0)</f>
        <v>Avances à Recevoir Long Terme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3077</v>
      </c>
      <c r="B154" s="685" t="s">
        <v>3078</v>
      </c>
      <c r="C154" s="687">
        <v>-91558</v>
      </c>
      <c r="D154" s="687">
        <v>0</v>
      </c>
      <c r="E154" s="687">
        <v>-91558</v>
      </c>
      <c r="F154" s="685" t="s">
        <v>2225</v>
      </c>
      <c r="G154" s="685" t="s">
        <v>2491</v>
      </c>
      <c r="H154" s="641" t="s">
        <v>3074</v>
      </c>
      <c r="I154" s="640"/>
      <c r="J154" s="640"/>
      <c r="K154" s="640"/>
      <c r="L154" s="149" t="str">
        <f t="shared" si="10"/>
        <v>297C</v>
      </c>
      <c r="M154" s="150" t="str">
        <f t="shared" si="11"/>
        <v>AVANCE 9512-1703 QC INC</v>
      </c>
      <c r="N154" s="151">
        <f>+IF(OR($Q154=Parametres!$G$2,$Q154=Parametres!$G$3),I154,C154)</f>
        <v>-91558</v>
      </c>
      <c r="O154" s="151">
        <f>+IF(OR($Q154=Parametres!$G$2,$Q154=Parametres!$G$3),J154,D154)</f>
        <v>0</v>
      </c>
      <c r="P154" s="151">
        <f>+IF(OR($Q154=Parametres!$G$2,$Q154=Parametres!$G$3),K154,E154)</f>
        <v>-91558</v>
      </c>
      <c r="Q154" s="150" t="str">
        <f t="shared" si="12"/>
        <v>2-Actifs</v>
      </c>
      <c r="R154" s="149" t="str">
        <f t="shared" si="13"/>
        <v>297</v>
      </c>
      <c r="S154" s="150" t="str">
        <f t="shared" si="14"/>
        <v>_</v>
      </c>
      <c r="T154" s="152" t="str">
        <f>+VLOOKUP($L154,Data_Validation!$A:$D,1,0)</f>
        <v>297C</v>
      </c>
      <c r="U154" s="152" t="str">
        <f>+VLOOKUP($L154,Data_Validation!$A:$D,3,0)</f>
        <v>Bilan</v>
      </c>
      <c r="V154" s="152" t="str">
        <f>+VLOOKUP($L154,Data_Validation!$A:$D,4,0)</f>
        <v>Recevables Intercos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3079</v>
      </c>
      <c r="B155" s="685" t="s">
        <v>3080</v>
      </c>
      <c r="C155" s="687">
        <v>-39041</v>
      </c>
      <c r="D155" s="687">
        <v>0</v>
      </c>
      <c r="E155" s="687">
        <v>-39041</v>
      </c>
      <c r="F155" s="685" t="s">
        <v>2225</v>
      </c>
      <c r="G155" s="685" t="s">
        <v>1367</v>
      </c>
      <c r="H155" s="641" t="s">
        <v>3074</v>
      </c>
      <c r="I155" s="640"/>
      <c r="J155" s="640"/>
      <c r="K155" s="640"/>
      <c r="L155" s="149" t="str">
        <f t="shared" si="10"/>
        <v>298</v>
      </c>
      <c r="M155" s="150" t="str">
        <f t="shared" si="11"/>
        <v>AMORTISSEMENT GOODWILL</v>
      </c>
      <c r="N155" s="151">
        <f>+IF(OR($Q155=Parametres!$G$2,$Q155=Parametres!$G$3),I155,C155)</f>
        <v>-39041</v>
      </c>
      <c r="O155" s="151">
        <f>+IF(OR($Q155=Parametres!$G$2,$Q155=Parametres!$G$3),J155,D155)</f>
        <v>0</v>
      </c>
      <c r="P155" s="151">
        <f>+IF(OR($Q155=Parametres!$G$2,$Q155=Parametres!$G$3),K155,E155)</f>
        <v>-39041</v>
      </c>
      <c r="Q155" s="150" t="str">
        <f t="shared" si="12"/>
        <v>2-Actifs</v>
      </c>
      <c r="R155" s="149" t="str">
        <f t="shared" si="13"/>
        <v>296</v>
      </c>
      <c r="S155" s="150" t="str">
        <f t="shared" si="14"/>
        <v>_</v>
      </c>
      <c r="T155" s="152" t="str">
        <f>+VLOOKUP($L155,Data_Validation!$A:$D,1,0)</f>
        <v>298</v>
      </c>
      <c r="U155" s="152" t="str">
        <f>+VLOOKUP($L155,Data_Validation!$A:$D,3,0)</f>
        <v>Bilan</v>
      </c>
      <c r="V155" s="152" t="str">
        <f>+VLOOKUP($L155,Data_Validation!$A:$D,4,0)</f>
        <v>Achalandage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1846</v>
      </c>
      <c r="B156" s="685" t="s">
        <v>354</v>
      </c>
      <c r="C156" s="1038">
        <v>-178046.18</v>
      </c>
      <c r="D156" s="1038">
        <v>47693.31</v>
      </c>
      <c r="E156" s="1038">
        <v>-130352.87</v>
      </c>
      <c r="F156" s="685" t="s">
        <v>2226</v>
      </c>
      <c r="G156" s="685" t="s">
        <v>354</v>
      </c>
      <c r="H156" s="686" t="s">
        <v>3074</v>
      </c>
      <c r="I156" s="687"/>
      <c r="J156" s="687"/>
      <c r="K156" s="687"/>
      <c r="L156" s="149" t="str">
        <f t="shared" si="10"/>
        <v>300</v>
      </c>
      <c r="M156" s="150" t="str">
        <f t="shared" si="11"/>
        <v>COMPTES FOURNISSEURS</v>
      </c>
      <c r="N156" s="151">
        <f>+IF(OR($Q156=Parametres!$G$2,$Q156=Parametres!$G$3),I156,C156)</f>
        <v>-178046.18</v>
      </c>
      <c r="O156" s="496">
        <f>+IF(OR($Q156=Parametres!$G$2,$Q156=Parametres!$G$3),J156,D156)</f>
        <v>47693.31</v>
      </c>
      <c r="P156" s="151">
        <f>+IF(OR($Q156=Parametres!$G$2,$Q156=Parametres!$G$3),K156,E156)</f>
        <v>-130352.87</v>
      </c>
      <c r="Q156" s="150" t="str">
        <f t="shared" si="12"/>
        <v>3-Passifs</v>
      </c>
      <c r="R156" s="149" t="str">
        <f t="shared" si="13"/>
        <v>300</v>
      </c>
      <c r="S156" s="150" t="str">
        <f t="shared" si="14"/>
        <v>_</v>
      </c>
      <c r="T156" s="152" t="str">
        <f>+VLOOKUP($L156,Data_Validation!$A:$D,1,0)</f>
        <v>300</v>
      </c>
      <c r="U156" s="152" t="str">
        <f>+VLOOKUP($L156,Data_Validation!$A:$D,3,0)</f>
        <v>Bilan</v>
      </c>
      <c r="V156" s="152" t="str">
        <f>+VLOOKUP($L156,Data_Validation!$A:$D,4,0)</f>
        <v>Comptes à Payer Fournisseurs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1855</v>
      </c>
      <c r="B157" s="685" t="s">
        <v>984</v>
      </c>
      <c r="C157" s="1038">
        <v>24125.87</v>
      </c>
      <c r="D157" s="1038">
        <v>-109425.24</v>
      </c>
      <c r="E157" s="1038">
        <v>-85299.37</v>
      </c>
      <c r="F157" s="685" t="s">
        <v>2226</v>
      </c>
      <c r="G157" s="685" t="s">
        <v>354</v>
      </c>
      <c r="H157" s="686" t="s">
        <v>3074</v>
      </c>
      <c r="I157" s="687"/>
      <c r="J157" s="687"/>
      <c r="K157" s="687"/>
      <c r="L157" s="149" t="str">
        <f t="shared" si="10"/>
        <v>300A</v>
      </c>
      <c r="M157" s="150" t="str">
        <f t="shared" si="11"/>
        <v>ECHANGE ENTRE CONCESSIONNAIRE</v>
      </c>
      <c r="N157" s="151">
        <f>+IF(OR($Q157=Parametres!$G$2,$Q157=Parametres!$G$3),I157,C157)</f>
        <v>24125.87</v>
      </c>
      <c r="O157" s="496">
        <f>+IF(OR($Q157=Parametres!$G$2,$Q157=Parametres!$G$3),J157,D157)</f>
        <v>-109425.24</v>
      </c>
      <c r="P157" s="151">
        <f>+IF(OR($Q157=Parametres!$G$2,$Q157=Parametres!$G$3),K157,E157)</f>
        <v>-85299.37</v>
      </c>
      <c r="Q157" s="150" t="str">
        <f t="shared" si="12"/>
        <v>3-Passifs</v>
      </c>
      <c r="R157" s="149" t="str">
        <f t="shared" si="13"/>
        <v>300</v>
      </c>
      <c r="S157" s="150" t="str">
        <f t="shared" si="14"/>
        <v>_</v>
      </c>
      <c r="T157" s="152" t="str">
        <f>+VLOOKUP($L157,Data_Validation!$A:$D,1,0)</f>
        <v>300A</v>
      </c>
      <c r="U157" s="152" t="str">
        <f>+VLOOKUP($L157,Data_Validation!$A:$D,3,0)</f>
        <v>Bilan</v>
      </c>
      <c r="V157" s="152" t="str">
        <f>+VLOOKUP($L157,Data_Validation!$A:$D,4,0)</f>
        <v>Autres Comptes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1835</v>
      </c>
      <c r="B158" s="685" t="s">
        <v>957</v>
      </c>
      <c r="C158" s="687">
        <v>166673.65</v>
      </c>
      <c r="D158" s="687">
        <v>46576.39</v>
      </c>
      <c r="E158" s="687">
        <v>213250.04</v>
      </c>
      <c r="F158" s="685" t="s">
        <v>2226</v>
      </c>
      <c r="G158" s="685" t="s">
        <v>354</v>
      </c>
      <c r="H158" s="634" t="s">
        <v>3074</v>
      </c>
      <c r="I158" s="633"/>
      <c r="J158" s="633"/>
      <c r="K158" s="633"/>
      <c r="L158" s="149" t="str">
        <f t="shared" si="10"/>
        <v>300B</v>
      </c>
      <c r="M158" s="150" t="str">
        <f t="shared" si="11"/>
        <v>ETAT DE COMPTE BMW CANADA</v>
      </c>
      <c r="N158" s="151">
        <f>+IF(OR($Q158=Parametres!$G$2,$Q158=Parametres!$G$3),I158,C158)</f>
        <v>166673.65</v>
      </c>
      <c r="O158" s="151">
        <f>+IF(OR($Q158=Parametres!$G$2,$Q158=Parametres!$G$3),J158,D158)</f>
        <v>46576.39</v>
      </c>
      <c r="P158" s="151">
        <f>+IF(OR($Q158=Parametres!$G$2,$Q158=Parametres!$G$3),K158,E158)</f>
        <v>213250.04</v>
      </c>
      <c r="Q158" s="150" t="str">
        <f t="shared" si="12"/>
        <v>3-Passifs</v>
      </c>
      <c r="R158" s="149" t="str">
        <f t="shared" si="13"/>
        <v>300</v>
      </c>
      <c r="S158" s="150" t="str">
        <f t="shared" si="14"/>
        <v>_</v>
      </c>
      <c r="T158" s="152" t="str">
        <f>+VLOOKUP($L158,Data_Validation!$A:$D,1,0)</f>
        <v>300B</v>
      </c>
      <c r="U158" s="152" t="str">
        <f>+VLOOKUP($L158,Data_Validation!$A:$D,3,0)</f>
        <v>Bilan</v>
      </c>
      <c r="V158" s="152" t="str">
        <f>+VLOOKUP($L158,Data_Validation!$A:$D,4,0)</f>
        <v>Autres Comptes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1185</v>
      </c>
      <c r="B159" s="685" t="s">
        <v>1017</v>
      </c>
      <c r="C159" s="687">
        <v>-24431</v>
      </c>
      <c r="D159" s="687">
        <v>2944</v>
      </c>
      <c r="E159" s="687">
        <v>-21487</v>
      </c>
      <c r="F159" s="685" t="s">
        <v>2226</v>
      </c>
      <c r="G159" s="685" t="s">
        <v>354</v>
      </c>
      <c r="H159" s="641" t="s">
        <v>3074</v>
      </c>
      <c r="I159" s="640"/>
      <c r="J159" s="640"/>
      <c r="K159" s="640"/>
      <c r="L159" s="149" t="str">
        <f t="shared" si="10"/>
        <v>300D</v>
      </c>
      <c r="M159" s="150" t="str">
        <f t="shared" si="11"/>
        <v>PROTECTION BMW A/P</v>
      </c>
      <c r="N159" s="151">
        <f>+IF(OR($Q159=Parametres!$G$2,$Q159=Parametres!$G$3),I159,C159)</f>
        <v>-24431</v>
      </c>
      <c r="O159" s="151">
        <f>+IF(OR($Q159=Parametres!$G$2,$Q159=Parametres!$G$3),J159,D159)</f>
        <v>2944</v>
      </c>
      <c r="P159" s="151">
        <f>+IF(OR($Q159=Parametres!$G$2,$Q159=Parametres!$G$3),K159,E159)</f>
        <v>-21487</v>
      </c>
      <c r="Q159" s="150" t="str">
        <f t="shared" si="12"/>
        <v>3-Passifs</v>
      </c>
      <c r="R159" s="149" t="str">
        <f t="shared" si="13"/>
        <v>300</v>
      </c>
      <c r="S159" s="150" t="str">
        <f t="shared" si="14"/>
        <v>_</v>
      </c>
      <c r="T159" s="152" t="str">
        <f>+VLOOKUP($L159,Data_Validation!$A:$D,1,0)</f>
        <v>300D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1661</v>
      </c>
      <c r="B160" s="685" t="s">
        <v>885</v>
      </c>
      <c r="C160" s="687">
        <v>-7145.42</v>
      </c>
      <c r="D160" s="687">
        <v>-2100</v>
      </c>
      <c r="E160" s="687">
        <v>-9245.42</v>
      </c>
      <c r="F160" s="685" t="s">
        <v>2226</v>
      </c>
      <c r="G160" s="685" t="s">
        <v>2248</v>
      </c>
      <c r="H160" s="641" t="s">
        <v>3074</v>
      </c>
      <c r="I160" s="640"/>
      <c r="J160" s="640"/>
      <c r="K160" s="640"/>
      <c r="L160" s="149" t="str">
        <f t="shared" si="10"/>
        <v>300H</v>
      </c>
      <c r="M160" s="150" t="str">
        <f t="shared" si="11"/>
        <v>RESERVE GARANTIE LEGALE USAGE</v>
      </c>
      <c r="N160" s="151">
        <f>+IF(OR($Q160=Parametres!$G$2,$Q160=Parametres!$G$3),I160,C160)</f>
        <v>-7145.42</v>
      </c>
      <c r="O160" s="151">
        <f>+IF(OR($Q160=Parametres!$G$2,$Q160=Parametres!$G$3),J160,D160)</f>
        <v>-2100</v>
      </c>
      <c r="P160" s="151">
        <f>+IF(OR($Q160=Parametres!$G$2,$Q160=Parametres!$G$3),K160,E160)</f>
        <v>-9245.42</v>
      </c>
      <c r="Q160" s="150" t="str">
        <f t="shared" si="12"/>
        <v>3-Passifs</v>
      </c>
      <c r="R160" s="149" t="str">
        <f t="shared" si="13"/>
        <v>301</v>
      </c>
      <c r="S160" s="150" t="str">
        <f t="shared" si="14"/>
        <v>_</v>
      </c>
      <c r="T160" s="152" t="str">
        <f>+VLOOKUP($L160,Data_Validation!$A:$D,1,0)</f>
        <v>300H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3081</v>
      </c>
      <c r="B161" s="685" t="s">
        <v>459</v>
      </c>
      <c r="C161" s="1038">
        <v>-38056.76</v>
      </c>
      <c r="D161" s="1038">
        <v>13004</v>
      </c>
      <c r="E161" s="1038">
        <v>-25052.76</v>
      </c>
      <c r="F161" s="685" t="s">
        <v>2226</v>
      </c>
      <c r="G161" s="685" t="s">
        <v>354</v>
      </c>
      <c r="H161" s="686" t="s">
        <v>3074</v>
      </c>
      <c r="I161" s="687"/>
      <c r="J161" s="687"/>
      <c r="K161" s="687"/>
      <c r="L161" s="149" t="str">
        <f t="shared" si="10"/>
        <v>300I</v>
      </c>
      <c r="M161" s="150" t="str">
        <f t="shared" si="11"/>
        <v>PROTECTION LGM A/P</v>
      </c>
      <c r="N161" s="151">
        <f>+IF(OR($Q161=Parametres!$G$2,$Q161=Parametres!$G$3),I161,C161)</f>
        <v>-38056.76</v>
      </c>
      <c r="O161" s="151">
        <f>+IF(OR($Q161=Parametres!$G$2,$Q161=Parametres!$G$3),J161,D161)</f>
        <v>13004</v>
      </c>
      <c r="P161" s="151">
        <f>+IF(OR($Q161=Parametres!$G$2,$Q161=Parametres!$G$3),K161,E161)</f>
        <v>-25052.76</v>
      </c>
      <c r="Q161" s="150" t="str">
        <f t="shared" si="12"/>
        <v>3-Passifs</v>
      </c>
      <c r="R161" s="149" t="str">
        <f t="shared" si="13"/>
        <v>300</v>
      </c>
      <c r="S161" s="150" t="str">
        <f t="shared" si="14"/>
        <v>_</v>
      </c>
      <c r="T161" s="152" t="str">
        <f>+VLOOKUP($L161,Data_Validation!$A:$D,1,0)</f>
        <v>300I</v>
      </c>
      <c r="U161" s="152" t="str">
        <f>+VLOOKUP($L161,Data_Validation!$A:$D,3,0)</f>
        <v>Bilan</v>
      </c>
      <c r="V161" s="152" t="str">
        <f>+VLOOKUP($L161,Data_Validation!$A:$D,4,0)</f>
        <v>Autres Comptes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2467</v>
      </c>
      <c r="B162" s="685" t="s">
        <v>2468</v>
      </c>
      <c r="C162" s="687">
        <v>464.96</v>
      </c>
      <c r="D162" s="687">
        <v>0</v>
      </c>
      <c r="E162" s="687">
        <v>464.96</v>
      </c>
      <c r="F162" s="685" t="s">
        <v>2226</v>
      </c>
      <c r="G162" s="685" t="s">
        <v>354</v>
      </c>
      <c r="H162" s="641" t="s">
        <v>3074</v>
      </c>
      <c r="I162" s="640"/>
      <c r="J162" s="640"/>
      <c r="K162" s="640"/>
      <c r="L162" s="149" t="str">
        <f t="shared" si="10"/>
        <v>300N</v>
      </c>
      <c r="M162" s="150" t="str">
        <f t="shared" si="11"/>
        <v>SAAQ A PAYER - INTERO COMPLEXE</v>
      </c>
      <c r="N162" s="151">
        <f>+IF(OR($Q162=Parametres!$G$2,$Q162=Parametres!$G$3),I162,C162)</f>
        <v>464.96</v>
      </c>
      <c r="O162" s="151">
        <f>+IF(OR($Q162=Parametres!$G$2,$Q162=Parametres!$G$3),J162,D162)</f>
        <v>0</v>
      </c>
      <c r="P162" s="151">
        <f>+IF(OR($Q162=Parametres!$G$2,$Q162=Parametres!$G$3),K162,E162)</f>
        <v>464.96</v>
      </c>
      <c r="Q162" s="150" t="str">
        <f t="shared" si="12"/>
        <v>3-Passifs</v>
      </c>
      <c r="R162" s="149" t="str">
        <f t="shared" si="13"/>
        <v>300</v>
      </c>
      <c r="S162" s="150" t="str">
        <f t="shared" si="14"/>
        <v>_</v>
      </c>
      <c r="T162" s="152" t="str">
        <f>+VLOOKUP($L162,Data_Validation!$A:$D,1,0)</f>
        <v>300N</v>
      </c>
      <c r="U162" s="152" t="str">
        <f>+VLOOKUP($L162,Data_Validation!$A:$D,3,0)</f>
        <v>Bilan</v>
      </c>
      <c r="V162" s="152" t="str">
        <f>+VLOOKUP($L162,Data_Validation!$A:$D,4,0)</f>
        <v>Payables Intercos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391</v>
      </c>
      <c r="B163" s="685" t="s">
        <v>377</v>
      </c>
      <c r="C163" s="1038">
        <v>-88092</v>
      </c>
      <c r="D163" s="1038">
        <v>-58250</v>
      </c>
      <c r="E163" s="1038">
        <v>-146342</v>
      </c>
      <c r="F163" s="685" t="s">
        <v>2226</v>
      </c>
      <c r="G163" s="685" t="s">
        <v>377</v>
      </c>
      <c r="H163" s="686" t="s">
        <v>3074</v>
      </c>
      <c r="I163" s="687"/>
      <c r="J163" s="687"/>
      <c r="K163" s="687"/>
      <c r="L163" s="149" t="str">
        <f t="shared" si="10"/>
        <v>303</v>
      </c>
      <c r="M163" s="150" t="str">
        <f t="shared" si="11"/>
        <v>DEPOTS DE CLIENTS</v>
      </c>
      <c r="N163" s="151">
        <f>+IF(OR($Q163=Parametres!$G$2,$Q163=Parametres!$G$3),I163,C163)</f>
        <v>-88092</v>
      </c>
      <c r="O163" s="151">
        <f>+IF(OR($Q163=Parametres!$G$2,$Q163=Parametres!$G$3),J163,D163)</f>
        <v>-58250</v>
      </c>
      <c r="P163" s="151">
        <f>+IF(OR($Q163=Parametres!$G$2,$Q163=Parametres!$G$3),K163,E163)</f>
        <v>-146342</v>
      </c>
      <c r="Q163" s="150" t="str">
        <f t="shared" si="12"/>
        <v>3-Passifs</v>
      </c>
      <c r="R163" s="149" t="str">
        <f t="shared" si="13"/>
        <v>303</v>
      </c>
      <c r="S163" s="150" t="str">
        <f t="shared" si="14"/>
        <v>_</v>
      </c>
      <c r="T163" s="152" t="str">
        <f>+VLOOKUP($L163,Data_Validation!$A:$D,1,0)</f>
        <v>303</v>
      </c>
      <c r="U163" s="152" t="str">
        <f>+VLOOKUP($L163,Data_Validation!$A:$D,3,0)</f>
        <v>Bilan</v>
      </c>
      <c r="V163" s="152" t="str">
        <f>+VLOOKUP($L163,Data_Validation!$A:$D,4,0)</f>
        <v>Dépôts de Client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1851</v>
      </c>
      <c r="B164" s="685" t="s">
        <v>363</v>
      </c>
      <c r="C164" s="1038">
        <v>-8390410.8200000003</v>
      </c>
      <c r="D164" s="1038">
        <v>-737987.45</v>
      </c>
      <c r="E164" s="1038">
        <v>-9128398.2699999996</v>
      </c>
      <c r="F164" s="685" t="s">
        <v>2226</v>
      </c>
      <c r="G164" s="685" t="s">
        <v>363</v>
      </c>
      <c r="H164" s="686" t="s">
        <v>3074</v>
      </c>
      <c r="I164" s="687"/>
      <c r="J164" s="687"/>
      <c r="K164" s="687"/>
      <c r="L164" s="149" t="str">
        <f t="shared" si="10"/>
        <v>310</v>
      </c>
      <c r="M164" s="150" t="str">
        <f t="shared" si="11"/>
        <v>FINANCEMENT VEHICULES NEUFS</v>
      </c>
      <c r="N164" s="151">
        <f>+IF(OR($Q164=Parametres!$G$2,$Q164=Parametres!$G$3),I164,C164)</f>
        <v>-8390410.8200000003</v>
      </c>
      <c r="O164" s="497">
        <f>+IF(OR($Q164=Parametres!$G$2,$Q164=Parametres!$G$3),J164,D164)</f>
        <v>-737987.45</v>
      </c>
      <c r="P164" s="151">
        <f>+IF(OR($Q164=Parametres!$G$2,$Q164=Parametres!$G$3),K164,E164)</f>
        <v>-9128398.2699999996</v>
      </c>
      <c r="Q164" s="150" t="str">
        <f t="shared" si="12"/>
        <v>3-Passifs</v>
      </c>
      <c r="R164" s="149" t="str">
        <f t="shared" si="13"/>
        <v>310</v>
      </c>
      <c r="S164" s="150" t="str">
        <f t="shared" si="14"/>
        <v>_</v>
      </c>
      <c r="T164" s="152" t="str">
        <f>+VLOOKUP($L164,Data_Validation!$A:$D,1,0)</f>
        <v>310</v>
      </c>
      <c r="U164" s="152" t="str">
        <f>+VLOOKUP($L164,Data_Validation!$A:$D,3,0)</f>
        <v>Bilan</v>
      </c>
      <c r="V164" s="152" t="str">
        <f>+VLOOKUP($L164,Data_Validation!$A:$D,4,0)</f>
        <v>Effet à Payer Véhicules Neufs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1849</v>
      </c>
      <c r="B165" s="685" t="s">
        <v>355</v>
      </c>
      <c r="C165" s="687">
        <v>-2388609.19</v>
      </c>
      <c r="D165" s="687">
        <v>677678.16</v>
      </c>
      <c r="E165" s="687">
        <v>-1710931.03</v>
      </c>
      <c r="F165" s="685" t="s">
        <v>2226</v>
      </c>
      <c r="G165" s="685" t="s">
        <v>355</v>
      </c>
      <c r="H165" s="641" t="s">
        <v>3074</v>
      </c>
      <c r="I165" s="641"/>
      <c r="J165" s="641"/>
      <c r="K165" s="641"/>
      <c r="L165" s="149" t="str">
        <f t="shared" si="10"/>
        <v>311</v>
      </c>
      <c r="M165" s="150" t="str">
        <f t="shared" si="11"/>
        <v>FINANCEMENT VEHICULES USAGES</v>
      </c>
      <c r="N165" s="151">
        <f>+IF(OR($Q165=Parametres!$G$2,$Q165=Parametres!$G$3),I165,C165)</f>
        <v>-2388609.19</v>
      </c>
      <c r="O165" s="151">
        <f>+IF(OR($Q165=Parametres!$G$2,$Q165=Parametres!$G$3),J165,D165)</f>
        <v>677678.16</v>
      </c>
      <c r="P165" s="151">
        <f>+IF(OR($Q165=Parametres!$G$2,$Q165=Parametres!$G$3),K165,E165)</f>
        <v>-1710931.03</v>
      </c>
      <c r="Q165" s="150" t="str">
        <f t="shared" si="12"/>
        <v>3-Passifs</v>
      </c>
      <c r="R165" s="149" t="str">
        <f t="shared" si="13"/>
        <v>311</v>
      </c>
      <c r="S165" s="150" t="str">
        <f t="shared" si="14"/>
        <v>_</v>
      </c>
      <c r="T165" s="152" t="str">
        <f>+VLOOKUP($L165,Data_Validation!$A:$D,1,0)</f>
        <v>311</v>
      </c>
      <c r="U165" s="152" t="str">
        <f>+VLOOKUP($L165,Data_Validation!$A:$D,3,0)</f>
        <v>Bilan</v>
      </c>
      <c r="V165" s="152" t="str">
        <f>+VLOOKUP($L165,Data_Validation!$A:$D,4,0)</f>
        <v>Effet à Payer Véhicules Usagés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1102</v>
      </c>
      <c r="B166" s="685" t="s">
        <v>1103</v>
      </c>
      <c r="C166" s="1038">
        <v>-151757.38</v>
      </c>
      <c r="D166" s="1038">
        <v>90838.33</v>
      </c>
      <c r="E166" s="1038">
        <v>-60919.05</v>
      </c>
      <c r="F166" s="685" t="s">
        <v>2226</v>
      </c>
      <c r="G166" s="685" t="s">
        <v>1103</v>
      </c>
      <c r="H166" s="686" t="s">
        <v>3074</v>
      </c>
      <c r="I166" s="687"/>
      <c r="J166" s="687"/>
      <c r="K166" s="687"/>
      <c r="L166" s="149" t="str">
        <f t="shared" si="10"/>
        <v>314L</v>
      </c>
      <c r="M166" s="150" t="str">
        <f t="shared" si="11"/>
        <v>LIEN A PAYER</v>
      </c>
      <c r="N166" s="151">
        <f>+IF(OR($Q166=Parametres!$G$2,$Q166=Parametres!$G$3),I166,C166)</f>
        <v>-151757.38</v>
      </c>
      <c r="O166" s="498">
        <f>+IF(OR($Q166=Parametres!$G$2,$Q166=Parametres!$G$3),J166,D166)</f>
        <v>90838.33</v>
      </c>
      <c r="P166" s="151">
        <f>+IF(OR($Q166=Parametres!$G$2,$Q166=Parametres!$G$3),K166,E166)</f>
        <v>-60919.05</v>
      </c>
      <c r="Q166" s="150" t="str">
        <f t="shared" si="12"/>
        <v>3-Passifs</v>
      </c>
      <c r="R166" s="149" t="str">
        <f t="shared" si="13"/>
        <v>314L</v>
      </c>
      <c r="S166" s="150" t="str">
        <f t="shared" si="14"/>
        <v>_</v>
      </c>
      <c r="T166" s="152" t="str">
        <f>+VLOOKUP($L166,Data_Validation!$A:$D,1,0)</f>
        <v>314L</v>
      </c>
      <c r="U166" s="152" t="str">
        <f>+VLOOKUP($L166,Data_Validation!$A:$D,3,0)</f>
        <v>Bilan</v>
      </c>
      <c r="V166" s="152" t="str">
        <f>+VLOOKUP($L166,Data_Validation!$A:$D,4,0)</f>
        <v>Autres Comptes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361</v>
      </c>
      <c r="B167" s="685" t="s">
        <v>424</v>
      </c>
      <c r="C167" s="687">
        <v>-20450.830000000002</v>
      </c>
      <c r="D167" s="687">
        <v>17939.939999999999</v>
      </c>
      <c r="E167" s="687">
        <v>-2510.89</v>
      </c>
      <c r="F167" s="685" t="s">
        <v>2226</v>
      </c>
      <c r="G167" s="685" t="s">
        <v>424</v>
      </c>
      <c r="H167" s="641" t="s">
        <v>3074</v>
      </c>
      <c r="I167" s="640"/>
      <c r="J167" s="640"/>
      <c r="K167" s="640"/>
      <c r="L167" s="149" t="str">
        <f t="shared" si="10"/>
        <v>321</v>
      </c>
      <c r="M167" s="150" t="str">
        <f t="shared" si="11"/>
        <v>SALAIRES A PAYER</v>
      </c>
      <c r="N167" s="151">
        <f>+IF(OR($Q167=Parametres!$G$2,$Q167=Parametres!$G$3),I167,C167)</f>
        <v>-20450.830000000002</v>
      </c>
      <c r="O167" s="151">
        <f>+IF(OR($Q167=Parametres!$G$2,$Q167=Parametres!$G$3),J167,D167)</f>
        <v>17939.939999999999</v>
      </c>
      <c r="P167" s="151">
        <f>+IF(OR($Q167=Parametres!$G$2,$Q167=Parametres!$G$3),K167,E167)</f>
        <v>-2510.89</v>
      </c>
      <c r="Q167" s="150" t="str">
        <f t="shared" si="12"/>
        <v>3-Passifs</v>
      </c>
      <c r="R167" s="149" t="str">
        <f t="shared" si="13"/>
        <v>321</v>
      </c>
      <c r="S167" s="150" t="str">
        <f t="shared" si="14"/>
        <v>_</v>
      </c>
      <c r="T167" s="152" t="str">
        <f>+VLOOKUP($L167,Data_Validation!$A:$D,1,0)</f>
        <v>321</v>
      </c>
      <c r="U167" s="152" t="str">
        <f>+VLOOKUP($L167,Data_Validation!$A:$D,3,0)</f>
        <v>Bilan</v>
      </c>
      <c r="V167" s="152" t="str">
        <f>+VLOOKUP($L167,Data_Validation!$A:$D,4,0)</f>
        <v>Salaires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1108</v>
      </c>
      <c r="B168" s="685" t="s">
        <v>443</v>
      </c>
      <c r="C168" s="687">
        <v>-161384.04</v>
      </c>
      <c r="D168" s="687">
        <v>28847.94</v>
      </c>
      <c r="E168" s="687">
        <v>-132536.1</v>
      </c>
      <c r="F168" s="685" t="s">
        <v>2226</v>
      </c>
      <c r="G168" s="685" t="s">
        <v>443</v>
      </c>
      <c r="H168" s="641" t="s">
        <v>3074</v>
      </c>
      <c r="I168" s="640"/>
      <c r="J168" s="640"/>
      <c r="K168" s="640"/>
      <c r="L168" s="149" t="str">
        <f t="shared" si="10"/>
        <v>321A</v>
      </c>
      <c r="M168" s="150" t="str">
        <f t="shared" si="11"/>
        <v>VACANCES PAYEES</v>
      </c>
      <c r="N168" s="151">
        <f>+IF(OR($Q168=Parametres!$G$2,$Q168=Parametres!$G$3),I168,C168)</f>
        <v>-161384.04</v>
      </c>
      <c r="O168" s="151">
        <f>+IF(OR($Q168=Parametres!$G$2,$Q168=Parametres!$G$3),J168,D168)</f>
        <v>28847.94</v>
      </c>
      <c r="P168" s="151">
        <f>+IF(OR($Q168=Parametres!$G$2,$Q168=Parametres!$G$3),K168,E168)</f>
        <v>-132536.1</v>
      </c>
      <c r="Q168" s="150" t="str">
        <f t="shared" si="12"/>
        <v>3-Passifs</v>
      </c>
      <c r="R168" s="149" t="str">
        <f t="shared" si="13"/>
        <v>321A</v>
      </c>
      <c r="S168" s="150" t="str">
        <f t="shared" si="14"/>
        <v>_</v>
      </c>
      <c r="T168" s="152" t="str">
        <f>+VLOOKUP($L168,Data_Validation!$A:$D,1,0)</f>
        <v>321A</v>
      </c>
      <c r="U168" s="152" t="str">
        <f>+VLOOKUP($L168,Data_Validation!$A:$D,3,0)</f>
        <v>Bilan</v>
      </c>
      <c r="V168" s="152" t="str">
        <f>+VLOOKUP($L168,Data_Validation!$A:$D,4,0)</f>
        <v>Salaires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360</v>
      </c>
      <c r="B169" s="685" t="s">
        <v>919</v>
      </c>
      <c r="C169" s="687">
        <v>-18298.78</v>
      </c>
      <c r="D169" s="687">
        <v>3250.69</v>
      </c>
      <c r="E169" s="687">
        <v>-15048.09</v>
      </c>
      <c r="F169" s="685" t="s">
        <v>2226</v>
      </c>
      <c r="G169" s="685" t="s">
        <v>443</v>
      </c>
      <c r="H169" s="634" t="s">
        <v>3074</v>
      </c>
      <c r="I169" s="633"/>
      <c r="J169" s="633"/>
      <c r="K169" s="633"/>
      <c r="L169" s="149" t="str">
        <f t="shared" si="10"/>
        <v>321B</v>
      </c>
      <c r="M169" s="150" t="str">
        <f t="shared" si="11"/>
        <v>COMMISSIONS A PAYER</v>
      </c>
      <c r="N169" s="151">
        <f>+IF(OR($Q169=Parametres!$G$2,$Q169=Parametres!$G$3),I169,C169)</f>
        <v>-18298.78</v>
      </c>
      <c r="O169" s="151">
        <f>+IF(OR($Q169=Parametres!$G$2,$Q169=Parametres!$G$3),J169,D169)</f>
        <v>3250.69</v>
      </c>
      <c r="P169" s="151">
        <f>+IF(OR($Q169=Parametres!$G$2,$Q169=Parametres!$G$3),K169,E169)</f>
        <v>-15048.09</v>
      </c>
      <c r="Q169" s="150" t="str">
        <f t="shared" si="12"/>
        <v>3-Passifs</v>
      </c>
      <c r="R169" s="149" t="str">
        <f t="shared" si="13"/>
        <v>321A</v>
      </c>
      <c r="S169" s="150" t="str">
        <f t="shared" si="14"/>
        <v>_</v>
      </c>
      <c r="T169" s="152" t="str">
        <f>+VLOOKUP($L169,Data_Validation!$A:$D,1,0)</f>
        <v>321B</v>
      </c>
      <c r="U169" s="152" t="str">
        <f>+VLOOKUP($L169,Data_Validation!$A:$D,3,0)</f>
        <v>Bilan</v>
      </c>
      <c r="V169" s="152" t="str">
        <f>+VLOOKUP($L169,Data_Validation!$A:$D,4,0)</f>
        <v>Salaires à Payer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2141</v>
      </c>
      <c r="B170" s="685" t="s">
        <v>2142</v>
      </c>
      <c r="C170" s="1038">
        <v>-1516.75</v>
      </c>
      <c r="D170" s="1038">
        <v>631.95000000000005</v>
      </c>
      <c r="E170" s="1038">
        <v>-884.8</v>
      </c>
      <c r="F170" s="685" t="s">
        <v>2226</v>
      </c>
      <c r="G170" s="685" t="s">
        <v>424</v>
      </c>
      <c r="H170" s="686" t="s">
        <v>3074</v>
      </c>
      <c r="I170" s="687"/>
      <c r="J170" s="687"/>
      <c r="K170" s="687"/>
      <c r="L170" s="149" t="str">
        <f t="shared" si="10"/>
        <v>321D</v>
      </c>
      <c r="M170" s="150" t="str">
        <f t="shared" si="11"/>
        <v>COMPTE DE DEPENSE A PAYER</v>
      </c>
      <c r="N170" s="151">
        <f>+IF(OR($Q170=Parametres!$G$2,$Q170=Parametres!$G$3),I170,C170)</f>
        <v>-1516.75</v>
      </c>
      <c r="O170" s="496">
        <f>+IF(OR($Q170=Parametres!$G$2,$Q170=Parametres!$G$3),J170,D170)</f>
        <v>631.95000000000005</v>
      </c>
      <c r="P170" s="151">
        <f>+IF(OR($Q170=Parametres!$G$2,$Q170=Parametres!$G$3),K170,E170)</f>
        <v>-884.8</v>
      </c>
      <c r="Q170" s="150" t="str">
        <f t="shared" si="12"/>
        <v>3-Passifs</v>
      </c>
      <c r="R170" s="149" t="str">
        <f t="shared" si="13"/>
        <v>321</v>
      </c>
      <c r="S170" s="150" t="str">
        <f t="shared" si="14"/>
        <v>_</v>
      </c>
      <c r="T170" s="152" t="str">
        <f>+VLOOKUP($L170,Data_Validation!$A:$D,1,0)</f>
        <v>321D</v>
      </c>
      <c r="U170" s="152" t="str">
        <f>+VLOOKUP($L170,Data_Validation!$A:$D,3,0)</f>
        <v>bilan</v>
      </c>
      <c r="V170" s="152" t="str">
        <f>+VLOOKUP($L170,Data_Validation!$A:$D,4,0)</f>
        <v>Salaires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3015</v>
      </c>
      <c r="B171" s="685" t="s">
        <v>2250</v>
      </c>
      <c r="C171" s="687">
        <v>-1907.65</v>
      </c>
      <c r="D171" s="687">
        <v>0</v>
      </c>
      <c r="E171" s="687">
        <v>-1907.65</v>
      </c>
      <c r="F171" s="685" t="s">
        <v>2226</v>
      </c>
      <c r="G171" s="685" t="s">
        <v>2250</v>
      </c>
      <c r="H171" s="641" t="s">
        <v>3074</v>
      </c>
      <c r="I171" s="641"/>
      <c r="J171" s="641"/>
      <c r="K171" s="641"/>
      <c r="L171" s="149" t="str">
        <f t="shared" si="10"/>
        <v>323</v>
      </c>
      <c r="M171" s="150" t="str">
        <f t="shared" si="11"/>
        <v>TAXES A/P - PAYE</v>
      </c>
      <c r="N171" s="151">
        <f>+IF(OR($Q171=Parametres!$G$2,$Q171=Parametres!$G$3),I171,C171)</f>
        <v>-1907.65</v>
      </c>
      <c r="O171" s="151">
        <f>+IF(OR($Q171=Parametres!$G$2,$Q171=Parametres!$G$3),J171,D171)</f>
        <v>0</v>
      </c>
      <c r="P171" s="151">
        <f>+IF(OR($Q171=Parametres!$G$2,$Q171=Parametres!$G$3),K171,E171)</f>
        <v>-1907.65</v>
      </c>
      <c r="Q171" s="150" t="str">
        <f t="shared" si="12"/>
        <v>3-Passifs</v>
      </c>
      <c r="R171" s="149" t="str">
        <f t="shared" si="13"/>
        <v>323</v>
      </c>
      <c r="S171" s="150" t="str">
        <f t="shared" si="14"/>
        <v>_</v>
      </c>
      <c r="T171" s="152" t="str">
        <f>+VLOOKUP($L171,Data_Validation!$A:$D,1,0)</f>
        <v>323</v>
      </c>
      <c r="U171" s="152" t="str">
        <f>+VLOOKUP($L171,Data_Validation!$A:$D,3,0)</f>
        <v>Bilan</v>
      </c>
      <c r="V171" s="152" t="str">
        <f>+VLOOKUP($L171,Data_Validation!$A:$D,4,0)</f>
        <v>DAS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1059</v>
      </c>
      <c r="B172" s="685" t="s">
        <v>1023</v>
      </c>
      <c r="C172" s="1038">
        <v>-785.62</v>
      </c>
      <c r="D172" s="1038">
        <v>46.34</v>
      </c>
      <c r="E172" s="1038">
        <v>-739.28</v>
      </c>
      <c r="F172" s="685" t="s">
        <v>2226</v>
      </c>
      <c r="G172" s="685" t="s">
        <v>2250</v>
      </c>
      <c r="H172" s="686" t="s">
        <v>3074</v>
      </c>
      <c r="I172" s="687"/>
      <c r="J172" s="687"/>
      <c r="K172" s="687"/>
      <c r="L172" s="149" t="str">
        <f t="shared" si="10"/>
        <v>323I</v>
      </c>
      <c r="M172" s="150" t="str">
        <f t="shared" si="11"/>
        <v>COMITE PARITAIRE A PAYER</v>
      </c>
      <c r="N172" s="151">
        <f>+IF(OR($Q172=Parametres!$G$2,$Q172=Parametres!$G$3),I172,C172)</f>
        <v>-785.62</v>
      </c>
      <c r="O172" s="497">
        <f>+IF(OR($Q172=Parametres!$G$2,$Q172=Parametres!$G$3),J172,D172)</f>
        <v>46.34</v>
      </c>
      <c r="P172" s="151">
        <f>+IF(OR($Q172=Parametres!$G$2,$Q172=Parametres!$G$3),K172,E172)</f>
        <v>-739.28</v>
      </c>
      <c r="Q172" s="150" t="str">
        <f t="shared" si="12"/>
        <v>3-Passifs</v>
      </c>
      <c r="R172" s="149" t="str">
        <f t="shared" si="13"/>
        <v>323</v>
      </c>
      <c r="S172" s="150" t="str">
        <f t="shared" si="14"/>
        <v>_</v>
      </c>
      <c r="T172" s="152" t="str">
        <f>+VLOOKUP($L172,Data_Validation!$A:$D,1,0)</f>
        <v>323I</v>
      </c>
      <c r="U172" s="152" t="str">
        <f>+VLOOKUP($L172,Data_Validation!$A:$D,3,0)</f>
        <v>Bilan</v>
      </c>
      <c r="V172" s="152" t="str">
        <f>+VLOOKUP($L172,Data_Validation!$A:$D,4,0)</f>
        <v>DAS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1157</v>
      </c>
      <c r="B173" s="685" t="s">
        <v>1060</v>
      </c>
      <c r="C173" s="687">
        <v>2773.67</v>
      </c>
      <c r="D173" s="687">
        <v>-249.4</v>
      </c>
      <c r="E173" s="687">
        <v>2524.27</v>
      </c>
      <c r="F173" s="685" t="s">
        <v>2226</v>
      </c>
      <c r="G173" s="685" t="s">
        <v>2250</v>
      </c>
      <c r="H173" s="634" t="s">
        <v>3074</v>
      </c>
      <c r="I173" s="633"/>
      <c r="J173" s="633"/>
      <c r="K173" s="633"/>
      <c r="L173" s="149" t="str">
        <f t="shared" si="10"/>
        <v>323J</v>
      </c>
      <c r="M173" s="150" t="str">
        <f t="shared" si="11"/>
        <v>ASSURANCE COLLECTIVE A PAYER</v>
      </c>
      <c r="N173" s="151">
        <f>+IF(OR($Q173=Parametres!$G$2,$Q173=Parametres!$G$3),I173,C173)</f>
        <v>2773.67</v>
      </c>
      <c r="O173" s="151">
        <f>+IF(OR($Q173=Parametres!$G$2,$Q173=Parametres!$G$3),J173,D173)</f>
        <v>-249.4</v>
      </c>
      <c r="P173" s="151">
        <f>+IF(OR($Q173=Parametres!$G$2,$Q173=Parametres!$G$3),K173,E173)</f>
        <v>2524.27</v>
      </c>
      <c r="Q173" s="150" t="str">
        <f t="shared" si="12"/>
        <v>3-Passifs</v>
      </c>
      <c r="R173" s="149" t="str">
        <f t="shared" si="13"/>
        <v>323</v>
      </c>
      <c r="S173" s="150" t="str">
        <f t="shared" si="14"/>
        <v>_</v>
      </c>
      <c r="T173" s="152" t="str">
        <f>+VLOOKUP($L173,Data_Validation!$A:$D,1,0)</f>
        <v>323J</v>
      </c>
      <c r="U173" s="152" t="str">
        <f>+VLOOKUP($L173,Data_Validation!$A:$D,3,0)</f>
        <v>Bilan</v>
      </c>
      <c r="V173" s="152" t="str">
        <f>+VLOOKUP($L173,Data_Validation!$A:$D,4,0)</f>
        <v>DAS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3001</v>
      </c>
      <c r="B174" s="685" t="s">
        <v>3002</v>
      </c>
      <c r="C174" s="1038">
        <v>-754.97</v>
      </c>
      <c r="D174" s="1038">
        <v>-158.06</v>
      </c>
      <c r="E174" s="1038">
        <v>-913.03</v>
      </c>
      <c r="F174" s="685" t="s">
        <v>2226</v>
      </c>
      <c r="G174" s="685" t="s">
        <v>2250</v>
      </c>
      <c r="H174" s="686" t="s">
        <v>3074</v>
      </c>
      <c r="I174" s="687"/>
      <c r="J174" s="687"/>
      <c r="K174" s="687"/>
      <c r="L174" s="149" t="str">
        <f t="shared" si="10"/>
        <v>323L</v>
      </c>
      <c r="M174" s="150" t="str">
        <f t="shared" si="11"/>
        <v>CNT A PAYER</v>
      </c>
      <c r="N174" s="151">
        <f>+IF(OR($Q174=Parametres!$G$2,$Q174=Parametres!$G$3),I174,C174)</f>
        <v>-754.97</v>
      </c>
      <c r="O174" s="497">
        <f>+IF(OR($Q174=Parametres!$G$2,$Q174=Parametres!$G$3),J174,D174)</f>
        <v>-158.06</v>
      </c>
      <c r="P174" s="151">
        <f>+IF(OR($Q174=Parametres!$G$2,$Q174=Parametres!$G$3),K174,E174)</f>
        <v>-913.03</v>
      </c>
      <c r="Q174" s="150" t="str">
        <f t="shared" si="12"/>
        <v>3-Passifs</v>
      </c>
      <c r="R174" s="149" t="str">
        <f t="shared" si="13"/>
        <v>323</v>
      </c>
      <c r="S174" s="150" t="str">
        <f t="shared" si="14"/>
        <v>_</v>
      </c>
      <c r="T174" s="152" t="str">
        <f>+VLOOKUP($L174,Data_Validation!$A:$D,1,0)</f>
        <v>323L</v>
      </c>
      <c r="U174" s="152" t="str">
        <f>+VLOOKUP($L174,Data_Validation!$A:$D,3,0)</f>
        <v>Bilan</v>
      </c>
      <c r="V174" s="152" t="str">
        <f>+VLOOKUP($L174,Data_Validation!$A:$D,4,0)</f>
        <v>DAS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1845</v>
      </c>
      <c r="B175" s="685" t="s">
        <v>403</v>
      </c>
      <c r="C175" s="687">
        <v>-258358.44</v>
      </c>
      <c r="D175" s="687">
        <v>19499.11</v>
      </c>
      <c r="E175" s="687">
        <v>-238859.33</v>
      </c>
      <c r="F175" s="685" t="s">
        <v>2226</v>
      </c>
      <c r="G175" s="685" t="s">
        <v>403</v>
      </c>
      <c r="H175" s="641" t="s">
        <v>3074</v>
      </c>
      <c r="I175" s="640"/>
      <c r="J175" s="640"/>
      <c r="K175" s="640"/>
      <c r="L175" s="149" t="str">
        <f t="shared" si="10"/>
        <v>324</v>
      </c>
      <c r="M175" s="150" t="str">
        <f t="shared" si="11"/>
        <v>TPS A PAYER</v>
      </c>
      <c r="N175" s="151">
        <f>+IF(OR($Q175=Parametres!$G$2,$Q175=Parametres!$G$3),I175,C175)</f>
        <v>-258358.44</v>
      </c>
      <c r="O175" s="151">
        <f>+IF(OR($Q175=Parametres!$G$2,$Q175=Parametres!$G$3),J175,D175)</f>
        <v>19499.11</v>
      </c>
      <c r="P175" s="151">
        <f>+IF(OR($Q175=Parametres!$G$2,$Q175=Parametres!$G$3),K175,E175)</f>
        <v>-238859.33</v>
      </c>
      <c r="Q175" s="150" t="str">
        <f t="shared" si="12"/>
        <v>3-Passifs</v>
      </c>
      <c r="R175" s="149" t="str">
        <f t="shared" si="13"/>
        <v>324</v>
      </c>
      <c r="S175" s="150" t="str">
        <f t="shared" si="14"/>
        <v>_</v>
      </c>
      <c r="T175" s="152" t="str">
        <f>+VLOOKUP($L175,Data_Validation!$A:$D,1,0)</f>
        <v>324</v>
      </c>
      <c r="U175" s="152" t="str">
        <f>+VLOOKUP($L175,Data_Validation!$A:$D,3,0)</f>
        <v>Bilan</v>
      </c>
      <c r="V175" s="152" t="str">
        <f>+VLOOKUP($L175,Data_Validation!$A:$D,4,0)</f>
        <v>Taxes de Vente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1128</v>
      </c>
      <c r="B176" s="685" t="s">
        <v>966</v>
      </c>
      <c r="C176" s="687">
        <v>352543.18</v>
      </c>
      <c r="D176" s="687">
        <v>-67477.38</v>
      </c>
      <c r="E176" s="687">
        <v>285065.8</v>
      </c>
      <c r="F176" s="685" t="s">
        <v>2226</v>
      </c>
      <c r="G176" s="685" t="s">
        <v>403</v>
      </c>
      <c r="H176" s="641" t="s">
        <v>3074</v>
      </c>
      <c r="I176" s="640"/>
      <c r="J176" s="640"/>
      <c r="K176" s="640"/>
      <c r="L176" s="149" t="str">
        <f t="shared" si="10"/>
        <v>324A</v>
      </c>
      <c r="M176" s="150" t="str">
        <f t="shared" si="11"/>
        <v>TPS A RECEVOIR</v>
      </c>
      <c r="N176" s="151">
        <f>+IF(OR($Q176=Parametres!$G$2,$Q176=Parametres!$G$3),I176,C176)</f>
        <v>352543.18</v>
      </c>
      <c r="O176" s="151">
        <f>+IF(OR($Q176=Parametres!$G$2,$Q176=Parametres!$G$3),J176,D176)</f>
        <v>-67477.38</v>
      </c>
      <c r="P176" s="151">
        <f>+IF(OR($Q176=Parametres!$G$2,$Q176=Parametres!$G$3),K176,E176)</f>
        <v>285065.8</v>
      </c>
      <c r="Q176" s="150" t="str">
        <f t="shared" si="12"/>
        <v>3-Passifs</v>
      </c>
      <c r="R176" s="149" t="str">
        <f t="shared" si="13"/>
        <v>324</v>
      </c>
      <c r="S176" s="150" t="str">
        <f t="shared" si="14"/>
        <v>_</v>
      </c>
      <c r="T176" s="152" t="str">
        <f>+VLOOKUP($L176,Data_Validation!$A:$D,1,0)</f>
        <v>324A</v>
      </c>
      <c r="U176" s="152" t="str">
        <f>+VLOOKUP($L176,Data_Validation!$A:$D,3,0)</f>
        <v>Bilan</v>
      </c>
      <c r="V176" s="152" t="str">
        <f>+VLOOKUP($L176,Data_Validation!$A:$D,4,0)</f>
        <v>Taxes de Vente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2413</v>
      </c>
      <c r="B177" s="685" t="s">
        <v>2414</v>
      </c>
      <c r="C177" s="687">
        <v>-62590.93</v>
      </c>
      <c r="D177" s="687">
        <v>42860.68</v>
      </c>
      <c r="E177" s="687">
        <v>-19730.25</v>
      </c>
      <c r="F177" s="685" t="s">
        <v>2226</v>
      </c>
      <c r="G177" s="685" t="s">
        <v>403</v>
      </c>
      <c r="H177" s="641" t="s">
        <v>3074</v>
      </c>
      <c r="I177" s="640"/>
      <c r="J177" s="640"/>
      <c r="K177" s="640"/>
      <c r="L177" s="149" t="str">
        <f t="shared" si="10"/>
        <v>324E</v>
      </c>
      <c r="M177" s="150" t="str">
        <f t="shared" si="11"/>
        <v>TAXE DE LUXE</v>
      </c>
      <c r="N177" s="151">
        <f>+IF(OR($Q177=Parametres!$G$2,$Q177=Parametres!$G$3),I177,C177)</f>
        <v>-62590.93</v>
      </c>
      <c r="O177" s="151">
        <f>+IF(OR($Q177=Parametres!$G$2,$Q177=Parametres!$G$3),J177,D177)</f>
        <v>42860.68</v>
      </c>
      <c r="P177" s="151">
        <f>+IF(OR($Q177=Parametres!$G$2,$Q177=Parametres!$G$3),K177,E177)</f>
        <v>-19730.25</v>
      </c>
      <c r="Q177" s="150" t="str">
        <f t="shared" si="12"/>
        <v>3-Passifs</v>
      </c>
      <c r="R177" s="149" t="str">
        <f t="shared" si="13"/>
        <v>324</v>
      </c>
      <c r="S177" s="150" t="str">
        <f t="shared" si="14"/>
        <v>_</v>
      </c>
      <c r="T177" s="152" t="str">
        <f>+VLOOKUP($L177,Data_Validation!$A:$D,1,0)</f>
        <v>324E</v>
      </c>
      <c r="U177" s="152" t="str">
        <f>+VLOOKUP($L177,Data_Validation!$A:$D,3,0)</f>
        <v>Bilan</v>
      </c>
      <c r="V177" s="152" t="str">
        <f>+VLOOKUP($L177,Data_Validation!$A:$D,4,0)</f>
        <v>Taxes de Vente à Payer</v>
      </c>
      <c r="W177" s="152">
        <f>+VLOOKUP($L177,Data_Validation!$A:$E,5,0)</f>
        <v>0</v>
      </c>
      <c r="X177" s="152">
        <f>+VLOOKUP($L177,Data_Validation!$A:$F,6,0)</f>
        <v>0</v>
      </c>
    </row>
    <row r="178" spans="1:24" ht="15" customHeight="1">
      <c r="A178" s="685" t="s">
        <v>351</v>
      </c>
      <c r="B178" s="685" t="s">
        <v>1829</v>
      </c>
      <c r="C178" s="687">
        <v>-67767.539999999994</v>
      </c>
      <c r="D178" s="687">
        <v>-2868.61</v>
      </c>
      <c r="E178" s="687">
        <v>-70636.149999999994</v>
      </c>
      <c r="F178" s="685" t="s">
        <v>2226</v>
      </c>
      <c r="G178" s="685" t="s">
        <v>403</v>
      </c>
      <c r="H178" s="641" t="s">
        <v>3074</v>
      </c>
      <c r="I178" s="640"/>
      <c r="J178" s="640"/>
      <c r="K178" s="640"/>
      <c r="L178" s="149" t="str">
        <f t="shared" si="10"/>
        <v>325</v>
      </c>
      <c r="M178" s="150" t="str">
        <f t="shared" si="11"/>
        <v>TVQ A PAYER</v>
      </c>
      <c r="N178" s="151">
        <f>+IF(OR($Q178=Parametres!$G$2,$Q178=Parametres!$G$3),I178,C178)</f>
        <v>-67767.539999999994</v>
      </c>
      <c r="O178" s="151">
        <f>+IF(OR($Q178=Parametres!$G$2,$Q178=Parametres!$G$3),J178,D178)</f>
        <v>-2868.61</v>
      </c>
      <c r="P178" s="151">
        <f>+IF(OR($Q178=Parametres!$G$2,$Q178=Parametres!$G$3),K178,E178)</f>
        <v>-70636.149999999994</v>
      </c>
      <c r="Q178" s="150" t="str">
        <f t="shared" si="12"/>
        <v>3-Passifs</v>
      </c>
      <c r="R178" s="149" t="str">
        <f t="shared" si="13"/>
        <v>324</v>
      </c>
      <c r="S178" s="150" t="str">
        <f t="shared" si="14"/>
        <v>_</v>
      </c>
      <c r="T178" s="152" t="str">
        <f>+VLOOKUP($L178,Data_Validation!$A:$D,1,0)</f>
        <v>325</v>
      </c>
      <c r="U178" s="152" t="str">
        <f>+VLOOKUP($L178,Data_Validation!$A:$D,3,0)</f>
        <v>Bilan</v>
      </c>
      <c r="V178" s="152" t="str">
        <f>+VLOOKUP($L178,Data_Validation!$A:$D,4,0)</f>
        <v>Taxes de Vente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1700</v>
      </c>
      <c r="B179" s="685" t="s">
        <v>1701</v>
      </c>
      <c r="C179" s="687">
        <v>27344.26</v>
      </c>
      <c r="D179" s="687">
        <v>4399.58</v>
      </c>
      <c r="E179" s="687">
        <v>31743.84</v>
      </c>
      <c r="F179" s="685" t="s">
        <v>2226</v>
      </c>
      <c r="G179" s="685" t="s">
        <v>403</v>
      </c>
      <c r="H179" s="641" t="s">
        <v>3074</v>
      </c>
      <c r="I179" s="640"/>
      <c r="J179" s="640"/>
      <c r="K179" s="640"/>
      <c r="L179" s="149" t="str">
        <f t="shared" si="10"/>
        <v>325B</v>
      </c>
      <c r="M179" s="150" t="str">
        <f t="shared" si="11"/>
        <v>TVQ A RECEVOIR</v>
      </c>
      <c r="N179" s="151">
        <f>+IF(OR($Q179=Parametres!$G$2,$Q179=Parametres!$G$3),I179,C179)</f>
        <v>27344.26</v>
      </c>
      <c r="O179" s="151">
        <f>+IF(OR($Q179=Parametres!$G$2,$Q179=Parametres!$G$3),J179,D179)</f>
        <v>4399.58</v>
      </c>
      <c r="P179" s="151">
        <f>+IF(OR($Q179=Parametres!$G$2,$Q179=Parametres!$G$3),K179,E179)</f>
        <v>31743.84</v>
      </c>
      <c r="Q179" s="150" t="str">
        <f t="shared" si="12"/>
        <v>3-Passifs</v>
      </c>
      <c r="R179" s="149" t="str">
        <f t="shared" si="13"/>
        <v>324</v>
      </c>
      <c r="S179" s="150" t="str">
        <f t="shared" si="14"/>
        <v>_</v>
      </c>
      <c r="T179" s="152" t="str">
        <f>+VLOOKUP($L179,Data_Validation!$A:$D,1,0)</f>
        <v>325B</v>
      </c>
      <c r="U179" s="152" t="str">
        <f>+VLOOKUP($L179,Data_Validation!$A:$D,3,0)</f>
        <v>Bilan</v>
      </c>
      <c r="V179" s="152" t="str">
        <f>+VLOOKUP($L179,Data_Validation!$A:$D,4,0)</f>
        <v>Taxes de Vente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1633</v>
      </c>
      <c r="B180" s="685" t="s">
        <v>1634</v>
      </c>
      <c r="C180" s="687">
        <v>-720</v>
      </c>
      <c r="D180" s="687">
        <v>157.5</v>
      </c>
      <c r="E180" s="687">
        <v>-562.5</v>
      </c>
      <c r="F180" s="685" t="s">
        <v>2226</v>
      </c>
      <c r="G180" s="685" t="s">
        <v>403</v>
      </c>
      <c r="H180" s="641" t="s">
        <v>3074</v>
      </c>
      <c r="I180" s="640"/>
      <c r="J180" s="640"/>
      <c r="K180" s="640"/>
      <c r="L180" s="149" t="str">
        <f t="shared" si="10"/>
        <v>326</v>
      </c>
      <c r="M180" s="150" t="str">
        <f t="shared" si="11"/>
        <v>TAXES DE PNEUS</v>
      </c>
      <c r="N180" s="151">
        <f>+IF(OR($Q180=Parametres!$G$2,$Q180=Parametres!$G$3),I180,C180)</f>
        <v>-720</v>
      </c>
      <c r="O180" s="151">
        <f>+IF(OR($Q180=Parametres!$G$2,$Q180=Parametres!$G$3),J180,D180)</f>
        <v>157.5</v>
      </c>
      <c r="P180" s="151">
        <f>+IF(OR($Q180=Parametres!$G$2,$Q180=Parametres!$G$3),K180,E180)</f>
        <v>-562.5</v>
      </c>
      <c r="Q180" s="150" t="str">
        <f t="shared" si="12"/>
        <v>3-Passifs</v>
      </c>
      <c r="R180" s="149" t="str">
        <f t="shared" si="13"/>
        <v>324</v>
      </c>
      <c r="S180" s="150" t="str">
        <f t="shared" si="14"/>
        <v>_</v>
      </c>
      <c r="T180" s="152" t="str">
        <f>+VLOOKUP($L180,Data_Validation!$A:$D,1,0)</f>
        <v>326</v>
      </c>
      <c r="U180" s="152" t="str">
        <f>+VLOOKUP($L180,Data_Validation!$A:$D,3,0)</f>
        <v>Bilan</v>
      </c>
      <c r="V180" s="152" t="str">
        <f>+VLOOKUP($L180,Data_Validation!$A:$D,4,0)</f>
        <v>Taxes de Vente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2333</v>
      </c>
      <c r="B181" s="685" t="s">
        <v>2334</v>
      </c>
      <c r="C181" s="687">
        <v>-72580.13</v>
      </c>
      <c r="D181" s="687">
        <v>11275.39</v>
      </c>
      <c r="E181" s="687">
        <v>-61304.74</v>
      </c>
      <c r="F181" s="685" t="s">
        <v>2226</v>
      </c>
      <c r="G181" s="685" t="s">
        <v>2334</v>
      </c>
      <c r="H181" s="634" t="s">
        <v>3074</v>
      </c>
      <c r="I181" s="633"/>
      <c r="J181" s="633"/>
      <c r="K181" s="633"/>
      <c r="L181" s="149" t="str">
        <f t="shared" si="10"/>
        <v>328</v>
      </c>
      <c r="M181" s="150" t="str">
        <f t="shared" si="11"/>
        <v>BONUS EMPLOYES A/P</v>
      </c>
      <c r="N181" s="151">
        <f>+IF(OR($Q181=Parametres!$G$2,$Q181=Parametres!$G$3),I181,C181)</f>
        <v>-72580.13</v>
      </c>
      <c r="O181" s="151">
        <f>+IF(OR($Q181=Parametres!$G$2,$Q181=Parametres!$G$3),J181,D181)</f>
        <v>11275.39</v>
      </c>
      <c r="P181" s="151">
        <f>+IF(OR($Q181=Parametres!$G$2,$Q181=Parametres!$G$3),K181,E181)</f>
        <v>-61304.74</v>
      </c>
      <c r="Q181" s="150" t="str">
        <f t="shared" si="12"/>
        <v>3-Passifs</v>
      </c>
      <c r="R181" s="149" t="str">
        <f t="shared" si="13"/>
        <v>328</v>
      </c>
      <c r="S181" s="150" t="str">
        <f t="shared" si="14"/>
        <v>_</v>
      </c>
      <c r="T181" s="152" t="str">
        <f>+VLOOKUP($L181,Data_Validation!$A:$D,1,0)</f>
        <v>328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1827</v>
      </c>
      <c r="B182" s="685" t="s">
        <v>448</v>
      </c>
      <c r="C182" s="687">
        <v>-37600</v>
      </c>
      <c r="D182" s="687">
        <v>-8400</v>
      </c>
      <c r="E182" s="687">
        <v>-46000</v>
      </c>
      <c r="F182" s="685" t="s">
        <v>2226</v>
      </c>
      <c r="G182" s="685" t="s">
        <v>448</v>
      </c>
      <c r="H182" s="634" t="s">
        <v>3074</v>
      </c>
      <c r="I182" s="633"/>
      <c r="J182" s="633"/>
      <c r="K182" s="633"/>
      <c r="L182" s="149" t="str">
        <f t="shared" si="10"/>
        <v>331B</v>
      </c>
      <c r="M182" s="150" t="str">
        <f t="shared" si="11"/>
        <v>RESERVE INVENTAIRE USAGE</v>
      </c>
      <c r="N182" s="151">
        <f>+IF(OR($Q182=Parametres!$G$2,$Q182=Parametres!$G$3),I182,C182)</f>
        <v>-37600</v>
      </c>
      <c r="O182" s="151">
        <f>+IF(OR($Q182=Parametres!$G$2,$Q182=Parametres!$G$3),J182,D182)</f>
        <v>-8400</v>
      </c>
      <c r="P182" s="151">
        <f>+IF(OR($Q182=Parametres!$G$2,$Q182=Parametres!$G$3),K182,E182)</f>
        <v>-46000</v>
      </c>
      <c r="Q182" s="150" t="str">
        <f t="shared" si="12"/>
        <v>3-Passifs</v>
      </c>
      <c r="R182" s="149" t="str">
        <f t="shared" si="13"/>
        <v>331B</v>
      </c>
      <c r="S182" s="150" t="str">
        <f t="shared" si="14"/>
        <v>_</v>
      </c>
      <c r="T182" s="152" t="str">
        <f>+VLOOKUP($L182,Data_Validation!$A:$D,1,0)</f>
        <v>331B</v>
      </c>
      <c r="U182" s="152" t="str">
        <f>+VLOOKUP($L182,Data_Validation!$A:$D,3,0)</f>
        <v>Bilan</v>
      </c>
      <c r="V182" s="152" t="str">
        <f>+VLOOKUP($L182,Data_Validation!$A:$D,4,0)</f>
        <v>Inventaire Véhicules Usagés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1080</v>
      </c>
      <c r="B183" s="685" t="s">
        <v>1063</v>
      </c>
      <c r="C183" s="687">
        <v>-25650</v>
      </c>
      <c r="D183" s="687">
        <v>-3900</v>
      </c>
      <c r="E183" s="687">
        <v>-29550</v>
      </c>
      <c r="F183" s="685" t="s">
        <v>2226</v>
      </c>
      <c r="G183" s="685" t="s">
        <v>1063</v>
      </c>
      <c r="H183" s="641" t="s">
        <v>3074</v>
      </c>
      <c r="I183" s="640"/>
      <c r="J183" s="640"/>
      <c r="K183" s="640"/>
      <c r="L183" s="149" t="str">
        <f t="shared" si="10"/>
        <v>331C</v>
      </c>
      <c r="M183" s="150" t="str">
        <f t="shared" si="11"/>
        <v>RESERVE INVENTAIRE NEUF</v>
      </c>
      <c r="N183" s="151">
        <f>+IF(OR($Q183=Parametres!$G$2,$Q183=Parametres!$G$3),I183,C183)</f>
        <v>-25650</v>
      </c>
      <c r="O183" s="151">
        <f>+IF(OR($Q183=Parametres!$G$2,$Q183=Parametres!$G$3),J183,D183)</f>
        <v>-3900</v>
      </c>
      <c r="P183" s="151">
        <f>+IF(OR($Q183=Parametres!$G$2,$Q183=Parametres!$G$3),K183,E183)</f>
        <v>-29550</v>
      </c>
      <c r="Q183" s="150" t="str">
        <f t="shared" si="12"/>
        <v>3-Passifs</v>
      </c>
      <c r="R183" s="149" t="str">
        <f t="shared" si="13"/>
        <v>331C</v>
      </c>
      <c r="S183" s="150" t="str">
        <f t="shared" si="14"/>
        <v>_</v>
      </c>
      <c r="T183" s="152" t="str">
        <f>+VLOOKUP($L183,Data_Validation!$A:$D,1,0)</f>
        <v>331C</v>
      </c>
      <c r="U183" s="152" t="str">
        <f>+VLOOKUP($L183,Data_Validation!$A:$D,3,0)</f>
        <v>Bilan</v>
      </c>
      <c r="V183" s="152" t="str">
        <f>+VLOOKUP($L183,Data_Validation!$A:$D,4,0)</f>
        <v>Inventaire Véhicules Neufs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1920</v>
      </c>
      <c r="B184" s="685" t="s">
        <v>1921</v>
      </c>
      <c r="C184" s="687">
        <v>-839.75</v>
      </c>
      <c r="D184" s="687">
        <v>0</v>
      </c>
      <c r="E184" s="687">
        <v>-839.75</v>
      </c>
      <c r="F184" s="685" t="s">
        <v>2226</v>
      </c>
      <c r="G184" s="685" t="s">
        <v>1063</v>
      </c>
      <c r="H184" s="634" t="s">
        <v>3074</v>
      </c>
      <c r="I184" s="633"/>
      <c r="J184" s="633"/>
      <c r="K184" s="633"/>
      <c r="L184" s="149" t="str">
        <f t="shared" si="10"/>
        <v>331D</v>
      </c>
      <c r="M184" s="150" t="str">
        <f t="shared" si="11"/>
        <v>RESERVE DEMONSTRATEURS</v>
      </c>
      <c r="N184" s="151">
        <f>+IF(OR($Q184=Parametres!$G$2,$Q184=Parametres!$G$3),I184,C184)</f>
        <v>-839.75</v>
      </c>
      <c r="O184" s="151">
        <f>+IF(OR($Q184=Parametres!$G$2,$Q184=Parametres!$G$3),J184,D184)</f>
        <v>0</v>
      </c>
      <c r="P184" s="151">
        <f>+IF(OR($Q184=Parametres!$G$2,$Q184=Parametres!$G$3),K184,E184)</f>
        <v>-839.75</v>
      </c>
      <c r="Q184" s="150" t="str">
        <f t="shared" si="12"/>
        <v>3-Passifs</v>
      </c>
      <c r="R184" s="149" t="str">
        <f t="shared" si="13"/>
        <v>331C</v>
      </c>
      <c r="S184" s="150" t="str">
        <f t="shared" si="14"/>
        <v>_</v>
      </c>
      <c r="T184" s="152" t="str">
        <f>+VLOOKUP($L184,Data_Validation!$A:$D,1,0)</f>
        <v>331D</v>
      </c>
      <c r="U184" s="152" t="str">
        <f>+VLOOKUP($L184,Data_Validation!$A:$D,3,0)</f>
        <v>Bilan</v>
      </c>
      <c r="V184" s="152" t="str">
        <f>+VLOOKUP($L184,Data_Validation!$A:$D,4,0)</f>
        <v>Inventaire Véhicules Neufs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1922</v>
      </c>
      <c r="B185" s="685" t="s">
        <v>1923</v>
      </c>
      <c r="C185" s="687">
        <v>-53514.95</v>
      </c>
      <c r="D185" s="687">
        <v>-10965.89</v>
      </c>
      <c r="E185" s="687">
        <v>-64480.84</v>
      </c>
      <c r="F185" s="685" t="s">
        <v>2226</v>
      </c>
      <c r="G185" s="685" t="s">
        <v>1063</v>
      </c>
      <c r="H185" s="686" t="s">
        <v>3074</v>
      </c>
      <c r="I185" s="686"/>
      <c r="J185" s="686"/>
      <c r="K185" s="686"/>
      <c r="L185" s="149" t="str">
        <f t="shared" si="10"/>
        <v>331E</v>
      </c>
      <c r="M185" s="150" t="str">
        <f t="shared" si="11"/>
        <v>RESERVE COURTOISIES</v>
      </c>
      <c r="N185" s="151">
        <f>+IF(OR($Q185=Parametres!$G$2,$Q185=Parametres!$G$3),I185,C185)</f>
        <v>-53514.95</v>
      </c>
      <c r="O185" s="151">
        <f>+IF(OR($Q185=Parametres!$G$2,$Q185=Parametres!$G$3),J185,D185)</f>
        <v>-10965.89</v>
      </c>
      <c r="P185" s="151">
        <f>+IF(OR($Q185=Parametres!$G$2,$Q185=Parametres!$G$3),K185,E185)</f>
        <v>-64480.84</v>
      </c>
      <c r="Q185" s="150" t="str">
        <f t="shared" si="12"/>
        <v>3-Passifs</v>
      </c>
      <c r="R185" s="149" t="str">
        <f t="shared" si="13"/>
        <v>331C</v>
      </c>
      <c r="S185" s="150" t="str">
        <f t="shared" si="14"/>
        <v>_</v>
      </c>
      <c r="T185" s="152" t="str">
        <f>+VLOOKUP($L185,Data_Validation!$A:$D,1,0)</f>
        <v>331E</v>
      </c>
      <c r="U185" s="152" t="str">
        <f>+VLOOKUP($L185,Data_Validation!$A:$D,3,0)</f>
        <v>Bilan</v>
      </c>
      <c r="V185" s="152" t="str">
        <f>+VLOOKUP($L185,Data_Validation!$A:$D,4,0)</f>
        <v>Inventaire Véhicules Neufs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1858</v>
      </c>
      <c r="B186" s="685" t="s">
        <v>1859</v>
      </c>
      <c r="C186" s="687">
        <v>-37668</v>
      </c>
      <c r="D186" s="687">
        <v>23813.5</v>
      </c>
      <c r="E186" s="687">
        <v>-13854.5</v>
      </c>
      <c r="F186" s="685" t="s">
        <v>2226</v>
      </c>
      <c r="G186" s="685" t="s">
        <v>1859</v>
      </c>
      <c r="H186" s="641" t="s">
        <v>3074</v>
      </c>
      <c r="I186" s="640"/>
      <c r="J186" s="640"/>
      <c r="K186" s="640"/>
      <c r="L186" s="149" t="str">
        <f t="shared" si="10"/>
        <v>331H</v>
      </c>
      <c r="M186" s="150" t="str">
        <f t="shared" si="11"/>
        <v>HONORAIRES A PAYER</v>
      </c>
      <c r="N186" s="151">
        <f>+IF(OR($Q186=Parametres!$G$2,$Q186=Parametres!$G$3),I186,C186)</f>
        <v>-37668</v>
      </c>
      <c r="O186" s="493">
        <f>+IF(OR($Q186=Parametres!$G$2,$Q186=Parametres!$G$3),J186,D186)</f>
        <v>23813.5</v>
      </c>
      <c r="P186" s="151">
        <f>+IF(OR($Q186=Parametres!$G$2,$Q186=Parametres!$G$3),K186,E186)</f>
        <v>-13854.5</v>
      </c>
      <c r="Q186" s="150" t="str">
        <f t="shared" si="12"/>
        <v>3-Passifs</v>
      </c>
      <c r="R186" s="149" t="str">
        <f t="shared" si="13"/>
        <v>331H</v>
      </c>
      <c r="S186" s="150" t="str">
        <f t="shared" si="14"/>
        <v>_</v>
      </c>
      <c r="T186" s="152" t="str">
        <f>+VLOOKUP($L186,Data_Validation!$A:$D,1,0)</f>
        <v>331H</v>
      </c>
      <c r="U186" s="152" t="str">
        <f>+VLOOKUP($L186,Data_Validation!$A:$D,3,0)</f>
        <v>Bilan</v>
      </c>
      <c r="V186" s="152" t="str">
        <f>+VLOOKUP($L186,Data_Validation!$A:$D,4,0)</f>
        <v>Autres Comptes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3003</v>
      </c>
      <c r="B187" s="685" t="s">
        <v>3004</v>
      </c>
      <c r="C187" s="687">
        <v>-18179</v>
      </c>
      <c r="D187" s="687">
        <v>-2360</v>
      </c>
      <c r="E187" s="687">
        <v>-20539</v>
      </c>
      <c r="F187" s="685" t="s">
        <v>2226</v>
      </c>
      <c r="G187" s="685" t="s">
        <v>3004</v>
      </c>
      <c r="H187" s="593" t="s">
        <v>3074</v>
      </c>
      <c r="I187" s="153"/>
      <c r="J187" s="153"/>
      <c r="K187" s="153"/>
      <c r="L187" s="149" t="str">
        <f t="shared" si="10"/>
        <v>331P</v>
      </c>
      <c r="M187" s="150" t="str">
        <f t="shared" si="11"/>
        <v>RESERVE CERTIFICATION CPO</v>
      </c>
      <c r="N187" s="151">
        <f>+IF(OR($Q187=Parametres!$G$2,$Q187=Parametres!$G$3),I187,C187)</f>
        <v>-18179</v>
      </c>
      <c r="O187" s="151">
        <f>+IF(OR($Q187=Parametres!$G$2,$Q187=Parametres!$G$3),J187,D187)</f>
        <v>-2360</v>
      </c>
      <c r="P187" s="151">
        <f>+IF(OR($Q187=Parametres!$G$2,$Q187=Parametres!$G$3),K187,E187)</f>
        <v>-20539</v>
      </c>
      <c r="Q187" s="150" t="str">
        <f t="shared" si="12"/>
        <v>3-Passifs</v>
      </c>
      <c r="R187" s="149" t="str">
        <f t="shared" si="13"/>
        <v>331P</v>
      </c>
      <c r="S187" s="150" t="str">
        <f t="shared" si="14"/>
        <v>_</v>
      </c>
      <c r="T187" s="152" t="str">
        <f>+VLOOKUP($L187,Data_Validation!$A:$D,1,0)</f>
        <v>331P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5" t="s">
        <v>3018</v>
      </c>
      <c r="B188" s="685" t="s">
        <v>3019</v>
      </c>
      <c r="C188" s="687">
        <v>-32585.85</v>
      </c>
      <c r="D188" s="687">
        <v>-3025.27</v>
      </c>
      <c r="E188" s="687">
        <v>-35611.120000000003</v>
      </c>
      <c r="F188" s="685" t="s">
        <v>2226</v>
      </c>
      <c r="G188" s="685" t="s">
        <v>3019</v>
      </c>
      <c r="H188" s="593" t="s">
        <v>3074</v>
      </c>
      <c r="I188" s="153"/>
      <c r="J188" s="153"/>
      <c r="K188" s="153"/>
      <c r="L188" s="149" t="str">
        <f t="shared" si="10"/>
        <v>331U</v>
      </c>
      <c r="M188" s="150" t="str">
        <f t="shared" si="11"/>
        <v>RESERVE UNITES USA</v>
      </c>
      <c r="N188" s="151">
        <f>+IF(OR($Q188=Parametres!$G$2,$Q188=Parametres!$G$3),I188,C188)</f>
        <v>-32585.85</v>
      </c>
      <c r="O188" s="498">
        <f>+IF(OR($Q188=Parametres!$G$2,$Q188=Parametres!$G$3),J188,D188)</f>
        <v>-3025.27</v>
      </c>
      <c r="P188" s="151">
        <f>+IF(OR($Q188=Parametres!$G$2,$Q188=Parametres!$G$3),K188,E188)</f>
        <v>-35611.120000000003</v>
      </c>
      <c r="Q188" s="150" t="str">
        <f t="shared" si="12"/>
        <v>3-Passifs</v>
      </c>
      <c r="R188" s="149" t="str">
        <f t="shared" si="13"/>
        <v>331U</v>
      </c>
      <c r="S188" s="150" t="str">
        <f t="shared" si="14"/>
        <v>_</v>
      </c>
      <c r="T188" s="152" t="str">
        <f>+VLOOKUP($L188,Data_Validation!$A:$D,1,0)</f>
        <v>331U</v>
      </c>
      <c r="U188" s="152" t="str">
        <f>+VLOOKUP($L188,Data_Validation!$A:$D,3,0)</f>
        <v>Bilan</v>
      </c>
      <c r="V188" s="152" t="str">
        <f>+VLOOKUP($L188,Data_Validation!$A:$D,4,0)</f>
        <v>Inventaire Véhicules Usagés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1111</v>
      </c>
      <c r="B189" s="685" t="s">
        <v>1112</v>
      </c>
      <c r="C189" s="687">
        <v>-2860</v>
      </c>
      <c r="D189" s="687">
        <v>0</v>
      </c>
      <c r="E189" s="687">
        <v>-2860</v>
      </c>
      <c r="F189" s="685" t="s">
        <v>2226</v>
      </c>
      <c r="G189" s="685" t="s">
        <v>1112</v>
      </c>
      <c r="H189" s="641" t="s">
        <v>3074</v>
      </c>
      <c r="I189" s="641"/>
      <c r="J189" s="641"/>
      <c r="K189" s="641"/>
      <c r="L189" s="149" t="str">
        <f t="shared" si="10"/>
        <v>331V</v>
      </c>
      <c r="M189" s="150" t="str">
        <f t="shared" si="11"/>
        <v>PROVISION SERVICE VALET</v>
      </c>
      <c r="N189" s="151">
        <f>+IF(OR($Q189=Parametres!$G$2,$Q189=Parametres!$G$3),I189,C189)</f>
        <v>-2860</v>
      </c>
      <c r="O189" s="151">
        <f>+IF(OR($Q189=Parametres!$G$2,$Q189=Parametres!$G$3),J189,D189)</f>
        <v>0</v>
      </c>
      <c r="P189" s="151">
        <f>+IF(OR($Q189=Parametres!$G$2,$Q189=Parametres!$G$3),K189,E189)</f>
        <v>-2860</v>
      </c>
      <c r="Q189" s="150" t="str">
        <f t="shared" si="12"/>
        <v>3-Passifs</v>
      </c>
      <c r="R189" s="149" t="str">
        <f t="shared" si="13"/>
        <v>331V</v>
      </c>
      <c r="S189" s="150" t="str">
        <f t="shared" si="14"/>
        <v>_</v>
      </c>
      <c r="T189" s="152" t="str">
        <f>+VLOOKUP($L189,Data_Validation!$A:$D,1,0)</f>
        <v>331V</v>
      </c>
      <c r="U189" s="152" t="str">
        <f>+VLOOKUP($L189,Data_Validation!$A:$D,3,0)</f>
        <v>Bilan</v>
      </c>
      <c r="V189" s="152" t="str">
        <f>+VLOOKUP($L189,Data_Validation!$A:$D,4,0)</f>
        <v>autres courus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2305</v>
      </c>
      <c r="B190" s="685" t="s">
        <v>2306</v>
      </c>
      <c r="C190" s="687">
        <v>-145756</v>
      </c>
      <c r="D190" s="687">
        <v>-18949.400000000001</v>
      </c>
      <c r="E190" s="687">
        <v>-164705.4</v>
      </c>
      <c r="F190" s="685" t="s">
        <v>2226</v>
      </c>
      <c r="G190" s="685" t="s">
        <v>2306</v>
      </c>
      <c r="H190" s="641" t="s">
        <v>3074</v>
      </c>
      <c r="I190" s="640"/>
      <c r="J190" s="640"/>
      <c r="K190" s="640"/>
      <c r="L190" s="149" t="str">
        <f t="shared" si="10"/>
        <v>332</v>
      </c>
      <c r="M190" s="150" t="str">
        <f t="shared" si="11"/>
        <v>REVENU HOLDBACK DIFFERE</v>
      </c>
      <c r="N190" s="151">
        <f>+IF(OR($Q190=Parametres!$G$2,$Q190=Parametres!$G$3),I190,C190)</f>
        <v>-145756</v>
      </c>
      <c r="O190" s="151">
        <f>+IF(OR($Q190=Parametres!$G$2,$Q190=Parametres!$G$3),J190,D190)</f>
        <v>-18949.400000000001</v>
      </c>
      <c r="P190" s="151">
        <f>+IF(OR($Q190=Parametres!$G$2,$Q190=Parametres!$G$3),K190,E190)</f>
        <v>-164705.4</v>
      </c>
      <c r="Q190" s="150" t="str">
        <f t="shared" si="12"/>
        <v>3-Passifs</v>
      </c>
      <c r="R190" s="149" t="str">
        <f t="shared" si="13"/>
        <v>332</v>
      </c>
      <c r="S190" s="150" t="str">
        <f t="shared" si="14"/>
        <v>_</v>
      </c>
      <c r="T190" s="152" t="str">
        <f>+VLOOKUP($L190,Data_Validation!$A:$D,1,0)</f>
        <v>332</v>
      </c>
      <c r="U190" s="152" t="str">
        <f>+VLOOKUP($L190,Data_Validation!$A:$D,3,0)</f>
        <v>Bilan</v>
      </c>
      <c r="V190" s="152" t="str">
        <f>+VLOOKUP($L190,Data_Validation!$A:$D,4,0)</f>
        <v>Autres Courus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3009</v>
      </c>
      <c r="B191" s="685" t="s">
        <v>3010</v>
      </c>
      <c r="C191" s="687">
        <v>-16719.36</v>
      </c>
      <c r="D191" s="687">
        <v>2226.5700000000002</v>
      </c>
      <c r="E191" s="687">
        <v>-14492.79</v>
      </c>
      <c r="F191" s="685" t="s">
        <v>2226</v>
      </c>
      <c r="G191" s="685" t="s">
        <v>3010</v>
      </c>
      <c r="H191" s="641" t="s">
        <v>3074</v>
      </c>
      <c r="I191" s="641"/>
      <c r="J191" s="641"/>
      <c r="K191" s="641"/>
      <c r="L191" s="149" t="str">
        <f t="shared" si="10"/>
        <v>332A</v>
      </c>
      <c r="M191" s="150" t="str">
        <f t="shared" si="11"/>
        <v>RBSC DEMOS - COURTOISIES</v>
      </c>
      <c r="N191" s="151">
        <f>+IF(OR($Q191=Parametres!$G$2,$Q191=Parametres!$G$3),I191,C191)</f>
        <v>-16719.36</v>
      </c>
      <c r="O191" s="496">
        <f>+IF(OR($Q191=Parametres!$G$2,$Q191=Parametres!$G$3),J191,D191)</f>
        <v>2226.5700000000002</v>
      </c>
      <c r="P191" s="151">
        <f>+IF(OR($Q191=Parametres!$G$2,$Q191=Parametres!$G$3),K191,E191)</f>
        <v>-14492.79</v>
      </c>
      <c r="Q191" s="150" t="str">
        <f t="shared" si="12"/>
        <v>3-Passifs</v>
      </c>
      <c r="R191" s="149" t="str">
        <f t="shared" si="13"/>
        <v>332A</v>
      </c>
      <c r="S191" s="150" t="str">
        <f t="shared" si="14"/>
        <v>_</v>
      </c>
      <c r="T191" s="152" t="str">
        <f>+VLOOKUP($L191,Data_Validation!$A:$D,1,0)</f>
        <v>332A</v>
      </c>
      <c r="U191" s="152" t="str">
        <f>+VLOOKUP($L191,Data_Validation!$A:$D,3,0)</f>
        <v>Bilan</v>
      </c>
      <c r="V191" s="152" t="str">
        <f>+VLOOKUP($L191,Data_Validation!$A:$D,4,0)</f>
        <v>Autres Courus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3011</v>
      </c>
      <c r="B192" s="685" t="s">
        <v>3012</v>
      </c>
      <c r="C192" s="687">
        <v>-11157.85</v>
      </c>
      <c r="D192" s="687">
        <v>1312.13</v>
      </c>
      <c r="E192" s="687">
        <v>-9845.7199999999993</v>
      </c>
      <c r="F192" s="685" t="s">
        <v>2226</v>
      </c>
      <c r="G192" s="685" t="s">
        <v>3012</v>
      </c>
      <c r="H192" s="593" t="s">
        <v>3074</v>
      </c>
      <c r="I192" s="595"/>
      <c r="J192" s="595"/>
      <c r="K192" s="595"/>
      <c r="L192" s="149" t="str">
        <f t="shared" si="10"/>
        <v>332B</v>
      </c>
      <c r="M192" s="150" t="str">
        <f t="shared" si="11"/>
        <v>MSP DEMOS - COURTOISIES</v>
      </c>
      <c r="N192" s="151">
        <f>+IF(OR($Q192=Parametres!$G$2,$Q192=Parametres!$G$3),I192,C192)</f>
        <v>-11157.85</v>
      </c>
      <c r="O192" s="151">
        <f>+IF(OR($Q192=Parametres!$G$2,$Q192=Parametres!$G$3),J192,D192)</f>
        <v>1312.13</v>
      </c>
      <c r="P192" s="151">
        <f>+IF(OR($Q192=Parametres!$G$2,$Q192=Parametres!$G$3),K192,E192)</f>
        <v>-9845.7199999999993</v>
      </c>
      <c r="Q192" s="150" t="str">
        <f t="shared" si="12"/>
        <v>3-Passifs</v>
      </c>
      <c r="R192" s="149" t="str">
        <f t="shared" si="13"/>
        <v>332B</v>
      </c>
      <c r="S192" s="150" t="str">
        <f t="shared" si="14"/>
        <v>_</v>
      </c>
      <c r="T192" s="152" t="str">
        <f>+VLOOKUP($L192,Data_Validation!$A:$D,1,0)</f>
        <v>332B</v>
      </c>
      <c r="U192" s="152" t="str">
        <f>+VLOOKUP($L192,Data_Validation!$A:$D,3,0)</f>
        <v>Bilan</v>
      </c>
      <c r="V192" s="152" t="str">
        <f>+VLOOKUP($L192,Data_Validation!$A:$D,4,0)</f>
        <v>Autres Courus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3082</v>
      </c>
      <c r="B193" s="685" t="s">
        <v>2994</v>
      </c>
      <c r="C193" s="687">
        <v>-5477048</v>
      </c>
      <c r="D193" s="687">
        <v>37698</v>
      </c>
      <c r="E193" s="687">
        <v>-5439350</v>
      </c>
      <c r="F193" s="685" t="s">
        <v>2226</v>
      </c>
      <c r="G193" s="685" t="s">
        <v>2994</v>
      </c>
      <c r="H193" s="593" t="s">
        <v>3074</v>
      </c>
      <c r="I193" s="594"/>
      <c r="J193" s="594"/>
      <c r="K193" s="594"/>
      <c r="L193" s="149" t="str">
        <f t="shared" si="10"/>
        <v>335</v>
      </c>
      <c r="M193" s="150" t="str">
        <f t="shared" si="11"/>
        <v>PRET BANQUE TD GOODWILL 5.7K</v>
      </c>
      <c r="N193" s="151">
        <f>+IF(OR($Q193=Parametres!$G$2,$Q193=Parametres!$G$3),I193,C193)</f>
        <v>-5477048</v>
      </c>
      <c r="O193" s="151">
        <f>+IF(OR($Q193=Parametres!$G$2,$Q193=Parametres!$G$3),J193,D193)</f>
        <v>37698</v>
      </c>
      <c r="P193" s="151">
        <f>+IF(OR($Q193=Parametres!$G$2,$Q193=Parametres!$G$3),K193,E193)</f>
        <v>-5439350</v>
      </c>
      <c r="Q193" s="150" t="str">
        <f t="shared" si="12"/>
        <v>3-Passifs</v>
      </c>
      <c r="R193" s="149" t="str">
        <f t="shared" si="13"/>
        <v>335</v>
      </c>
      <c r="S193" s="150" t="str">
        <f t="shared" si="14"/>
        <v>_</v>
      </c>
      <c r="T193" s="152" t="str">
        <f>+VLOOKUP($L193,Data_Validation!$A:$D,1,0)</f>
        <v>335</v>
      </c>
      <c r="U193" s="152" t="str">
        <f>+VLOOKUP($L193,Data_Validation!$A:$D,3,0)</f>
        <v>Bilan</v>
      </c>
      <c r="V193" s="152" t="str">
        <f>+VLOOKUP($L193,Data_Validation!$A:$D,4,0)</f>
        <v>Dette à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3016</v>
      </c>
      <c r="B194" s="685" t="s">
        <v>3017</v>
      </c>
      <c r="C194" s="687">
        <v>195572</v>
      </c>
      <c r="D194" s="687">
        <v>33069</v>
      </c>
      <c r="E194" s="687">
        <v>228641</v>
      </c>
      <c r="F194" s="685" t="s">
        <v>2226</v>
      </c>
      <c r="G194" s="685" t="s">
        <v>2994</v>
      </c>
      <c r="H194" s="641" t="s">
        <v>3074</v>
      </c>
      <c r="I194" s="640"/>
      <c r="J194" s="640"/>
      <c r="K194" s="640"/>
      <c r="L194" s="149" t="str">
        <f t="shared" ref="L194:L257" si="15">+B194</f>
        <v>335A</v>
      </c>
      <c r="M194" s="150" t="str">
        <f t="shared" ref="M194:M257" si="16">+A194</f>
        <v>PRET BANQUE TD GOODWILL 5K</v>
      </c>
      <c r="N194" s="151">
        <f>+IF(OR($Q194=Parametres!$G$2,$Q194=Parametres!$G$3),I194,C194)</f>
        <v>195572</v>
      </c>
      <c r="O194" s="151">
        <f>+IF(OR($Q194=Parametres!$G$2,$Q194=Parametres!$G$3),J194,D194)</f>
        <v>33069</v>
      </c>
      <c r="P194" s="151">
        <f>+IF(OR($Q194=Parametres!$G$2,$Q194=Parametres!$G$3),K194,E194)</f>
        <v>228641</v>
      </c>
      <c r="Q194" s="150" t="str">
        <f t="shared" ref="Q194:Q257" si="17">+F194</f>
        <v>3-Passifs</v>
      </c>
      <c r="R194" s="149" t="str">
        <f t="shared" ref="R194:R257" si="18">+G194</f>
        <v>335</v>
      </c>
      <c r="S194" s="150" t="str">
        <f t="shared" ref="S194:S257" si="19">+H194</f>
        <v>_</v>
      </c>
      <c r="T194" s="152" t="str">
        <f>+VLOOKUP($L194,Data_Validation!$A:$D,1,0)</f>
        <v>335A</v>
      </c>
      <c r="U194" s="152" t="str">
        <f>+VLOOKUP($L194,Data_Validation!$A:$D,3,0)</f>
        <v>Bilan</v>
      </c>
      <c r="V194" s="152" t="str">
        <f>+VLOOKUP($L194,Data_Validation!$A:$D,4,0)</f>
        <v>Dette à Long Terme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3083</v>
      </c>
      <c r="B195" s="685" t="s">
        <v>3084</v>
      </c>
      <c r="C195" s="687">
        <v>-7247577</v>
      </c>
      <c r="D195" s="687">
        <v>0</v>
      </c>
      <c r="E195" s="687">
        <v>-7247577</v>
      </c>
      <c r="F195" s="685" t="s">
        <v>2226</v>
      </c>
      <c r="G195" s="685" t="s">
        <v>3084</v>
      </c>
      <c r="H195" s="641" t="s">
        <v>3074</v>
      </c>
      <c r="I195" s="640"/>
      <c r="J195" s="640"/>
      <c r="K195" s="640"/>
      <c r="L195" s="149" t="str">
        <f t="shared" si="15"/>
        <v>336</v>
      </c>
      <c r="M195" s="150" t="str">
        <f t="shared" si="16"/>
        <v>AVANCES DE STE-MARIE AUTOMOBILES</v>
      </c>
      <c r="N195" s="151">
        <f>+IF(OR($Q195=Parametres!$G$2,$Q195=Parametres!$G$3),I195,C195)</f>
        <v>-7247577</v>
      </c>
      <c r="O195" s="151">
        <f>+IF(OR($Q195=Parametres!$G$2,$Q195=Parametres!$G$3),J195,D195)</f>
        <v>0</v>
      </c>
      <c r="P195" s="151">
        <f>+IF(OR($Q195=Parametres!$G$2,$Q195=Parametres!$G$3),K195,E195)</f>
        <v>-7247577</v>
      </c>
      <c r="Q195" s="150" t="str">
        <f t="shared" si="17"/>
        <v>3-Passifs</v>
      </c>
      <c r="R195" s="149" t="str">
        <f t="shared" si="18"/>
        <v>336</v>
      </c>
      <c r="S195" s="150" t="str">
        <f t="shared" si="19"/>
        <v>_</v>
      </c>
      <c r="T195" s="152" t="str">
        <f>+VLOOKUP($L195,Data_Validation!$A:$D,1,0)</f>
        <v>336</v>
      </c>
      <c r="U195" s="152" t="str">
        <f>+VLOOKUP($L195,Data_Validation!$A:$D,3,0)</f>
        <v>Bilan</v>
      </c>
      <c r="V195" s="152" t="str">
        <f>+VLOOKUP($L195,Data_Validation!$A:$D,4,0)</f>
        <v>Recevables Intercos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1100</v>
      </c>
      <c r="B196" s="685" t="s">
        <v>1101</v>
      </c>
      <c r="C196" s="687">
        <v>30582</v>
      </c>
      <c r="D196" s="687">
        <v>0</v>
      </c>
      <c r="E196" s="687">
        <v>30582</v>
      </c>
      <c r="F196" s="685" t="s">
        <v>2226</v>
      </c>
      <c r="G196" s="685" t="s">
        <v>1101</v>
      </c>
      <c r="H196" s="641" t="s">
        <v>3074</v>
      </c>
      <c r="I196" s="640"/>
      <c r="J196" s="640"/>
      <c r="K196" s="640"/>
      <c r="L196" s="149" t="str">
        <f t="shared" si="15"/>
        <v>337A</v>
      </c>
      <c r="M196" s="150" t="str">
        <f t="shared" si="16"/>
        <v>IMPOTS FUTURS</v>
      </c>
      <c r="N196" s="151">
        <f>+IF(OR($Q196=Parametres!$G$2,$Q196=Parametres!$G$3),I196,C196)</f>
        <v>30582</v>
      </c>
      <c r="O196" s="151">
        <f>+IF(OR($Q196=Parametres!$G$2,$Q196=Parametres!$G$3),J196,D196)</f>
        <v>0</v>
      </c>
      <c r="P196" s="151">
        <f>+IF(OR($Q196=Parametres!$G$2,$Q196=Parametres!$G$3),K196,E196)</f>
        <v>30582</v>
      </c>
      <c r="Q196" s="150" t="str">
        <f t="shared" si="17"/>
        <v>3-Passifs</v>
      </c>
      <c r="R196" s="149" t="str">
        <f t="shared" si="18"/>
        <v>337A</v>
      </c>
      <c r="S196" s="150" t="str">
        <f t="shared" si="19"/>
        <v>_</v>
      </c>
      <c r="T196" s="152" t="str">
        <f>+VLOOKUP($L196,Data_Validation!$A:$D,1,0)</f>
        <v>337A</v>
      </c>
      <c r="U196" s="152" t="str">
        <f>+VLOOKUP($L196,Data_Validation!$A:$D,3,0)</f>
        <v>Bilan</v>
      </c>
      <c r="V196" s="152" t="str">
        <f>+VLOOKUP($L196,Data_Validation!$A:$D,4,0)</f>
        <v>Impôts Futurs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3085</v>
      </c>
      <c r="B197" s="685" t="s">
        <v>1369</v>
      </c>
      <c r="C197" s="687">
        <v>-454880.86</v>
      </c>
      <c r="D197" s="687">
        <v>0</v>
      </c>
      <c r="E197" s="687">
        <v>-454880.86</v>
      </c>
      <c r="F197" s="685" t="s">
        <v>2226</v>
      </c>
      <c r="G197" s="685" t="s">
        <v>2247</v>
      </c>
      <c r="H197" s="641" t="s">
        <v>3074</v>
      </c>
      <c r="I197" s="640"/>
      <c r="J197" s="640"/>
      <c r="K197" s="640"/>
      <c r="L197" s="149" t="str">
        <f t="shared" si="15"/>
        <v>337B</v>
      </c>
      <c r="M197" s="150" t="str">
        <f t="shared" si="16"/>
        <v>A PAYER GROUPE PARK AVENUE</v>
      </c>
      <c r="N197" s="151">
        <f>+IF(OR($Q197=Parametres!$G$2,$Q197=Parametres!$G$3),I197,C197)</f>
        <v>-454880.86</v>
      </c>
      <c r="O197" s="151">
        <f>+IF(OR($Q197=Parametres!$G$2,$Q197=Parametres!$G$3),J197,D197)</f>
        <v>0</v>
      </c>
      <c r="P197" s="151">
        <f>+IF(OR($Q197=Parametres!$G$2,$Q197=Parametres!$G$3),K197,E197)</f>
        <v>-454880.86</v>
      </c>
      <c r="Q197" s="150" t="str">
        <f t="shared" si="17"/>
        <v>3-Passifs</v>
      </c>
      <c r="R197" s="149" t="str">
        <f t="shared" si="18"/>
        <v>337</v>
      </c>
      <c r="S197" s="150" t="str">
        <f t="shared" si="19"/>
        <v>_</v>
      </c>
      <c r="T197" s="152" t="str">
        <f>+VLOOKUP($L197,Data_Validation!$A:$D,1,0)</f>
        <v>337B</v>
      </c>
      <c r="U197" s="152" t="str">
        <f>+VLOOKUP($L197,Data_Validation!$A:$D,3,0)</f>
        <v>Bilan</v>
      </c>
      <c r="V197" s="152" t="str">
        <f>+VLOOKUP($L197,Data_Validation!$A:$D,4,0)</f>
        <v>Avances Long Terme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3086</v>
      </c>
      <c r="B198" s="685" t="s">
        <v>3087</v>
      </c>
      <c r="C198" s="687">
        <v>-20</v>
      </c>
      <c r="D198" s="687">
        <v>0</v>
      </c>
      <c r="E198" s="687">
        <v>-20</v>
      </c>
      <c r="F198" s="685" t="s">
        <v>2226</v>
      </c>
      <c r="G198" s="685" t="s">
        <v>3088</v>
      </c>
      <c r="H198" s="641" t="s">
        <v>3074</v>
      </c>
      <c r="I198" s="640"/>
      <c r="J198" s="640"/>
      <c r="K198" s="640"/>
      <c r="L198" s="149" t="str">
        <f t="shared" si="15"/>
        <v>350A</v>
      </c>
      <c r="M198" s="150" t="str">
        <f t="shared" si="16"/>
        <v>ACTIONS A5</v>
      </c>
      <c r="N198" s="151">
        <f>+IF(OR($Q198=Parametres!$G$2,$Q198=Parametres!$G$3),I198,C198)</f>
        <v>-20</v>
      </c>
      <c r="O198" s="151">
        <f>+IF(OR($Q198=Parametres!$G$2,$Q198=Parametres!$G$3),J198,D198)</f>
        <v>0</v>
      </c>
      <c r="P198" s="151">
        <f>+IF(OR($Q198=Parametres!$G$2,$Q198=Parametres!$G$3),K198,E198)</f>
        <v>-20</v>
      </c>
      <c r="Q198" s="150" t="str">
        <f t="shared" si="17"/>
        <v>3-Passifs</v>
      </c>
      <c r="R198" s="149" t="str">
        <f t="shared" si="18"/>
        <v>350</v>
      </c>
      <c r="S198" s="150" t="str">
        <f t="shared" si="19"/>
        <v>_</v>
      </c>
      <c r="T198" s="152" t="str">
        <f>+VLOOKUP($L198,Data_Validation!$A:$D,1,0)</f>
        <v>350A</v>
      </c>
      <c r="U198" s="152" t="str">
        <f>+VLOOKUP($L198,Data_Validation!$A:$D,3,0)</f>
        <v>Bilan</v>
      </c>
      <c r="V198" s="152" t="str">
        <f>+VLOOKUP($L198,Data_Validation!$A:$D,4,0)</f>
        <v>Capital Actions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3089</v>
      </c>
      <c r="B199" s="685" t="s">
        <v>3090</v>
      </c>
      <c r="C199" s="687">
        <v>-100</v>
      </c>
      <c r="D199" s="687">
        <v>0</v>
      </c>
      <c r="E199" s="687">
        <v>-100</v>
      </c>
      <c r="F199" s="685" t="s">
        <v>2226</v>
      </c>
      <c r="G199" s="685" t="s">
        <v>3088</v>
      </c>
      <c r="H199" s="634" t="s">
        <v>3074</v>
      </c>
      <c r="I199" s="633"/>
      <c r="J199" s="633"/>
      <c r="K199" s="633"/>
      <c r="L199" s="149" t="str">
        <f t="shared" si="15"/>
        <v>350B</v>
      </c>
      <c r="M199" s="150" t="str">
        <f t="shared" si="16"/>
        <v>ACTIONS B</v>
      </c>
      <c r="N199" s="151">
        <f>+IF(OR($Q199=Parametres!$G$2,$Q199=Parametres!$G$3),I199,C199)</f>
        <v>-100</v>
      </c>
      <c r="O199" s="151">
        <f>+IF(OR($Q199=Parametres!$G$2,$Q199=Parametres!$G$3),J199,D199)</f>
        <v>0</v>
      </c>
      <c r="P199" s="151">
        <f>+IF(OR($Q199=Parametres!$G$2,$Q199=Parametres!$G$3),K199,E199)</f>
        <v>-100</v>
      </c>
      <c r="Q199" s="150" t="str">
        <f t="shared" si="17"/>
        <v>3-Passifs</v>
      </c>
      <c r="R199" s="149" t="str">
        <f t="shared" si="18"/>
        <v>350</v>
      </c>
      <c r="S199" s="150" t="str">
        <f t="shared" si="19"/>
        <v>_</v>
      </c>
      <c r="T199" s="152" t="str">
        <f>+VLOOKUP($L199,Data_Validation!$A:$D,1,0)</f>
        <v>350B</v>
      </c>
      <c r="U199" s="152" t="str">
        <f>+VLOOKUP($L199,Data_Validation!$A:$D,3,0)</f>
        <v>Bilan</v>
      </c>
      <c r="V199" s="152" t="str">
        <f>+VLOOKUP($L199,Data_Validation!$A:$D,4,0)</f>
        <v>Capital Actions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1711</v>
      </c>
      <c r="B200" s="685" t="s">
        <v>378</v>
      </c>
      <c r="C200" s="687">
        <v>-12267.61</v>
      </c>
      <c r="D200" s="687">
        <v>-1875.25</v>
      </c>
      <c r="E200" s="687">
        <v>-14142.86</v>
      </c>
      <c r="F200" s="685" t="s">
        <v>2226</v>
      </c>
      <c r="G200" s="685" t="s">
        <v>378</v>
      </c>
      <c r="H200" s="641" t="s">
        <v>3074</v>
      </c>
      <c r="I200" s="640"/>
      <c r="J200" s="640"/>
      <c r="K200" s="640"/>
      <c r="L200" s="149" t="str">
        <f t="shared" si="15"/>
        <v>352</v>
      </c>
      <c r="M200" s="150" t="str">
        <f t="shared" si="16"/>
        <v>AMORT.CUM. EQUIP. &amp; OUTILLAGES</v>
      </c>
      <c r="N200" s="151">
        <f>+IF(OR($Q200=Parametres!$G$2,$Q200=Parametres!$G$3),I200,C200)</f>
        <v>-12267.61</v>
      </c>
      <c r="O200" s="151">
        <f>+IF(OR($Q200=Parametres!$G$2,$Q200=Parametres!$G$3),J200,D200)</f>
        <v>-1875.25</v>
      </c>
      <c r="P200" s="151">
        <f>+IF(OR($Q200=Parametres!$G$2,$Q200=Parametres!$G$3),K200,E200)</f>
        <v>-14142.86</v>
      </c>
      <c r="Q200" s="150" t="str">
        <f t="shared" si="17"/>
        <v>3-Passifs</v>
      </c>
      <c r="R200" s="149" t="str">
        <f t="shared" si="18"/>
        <v>352</v>
      </c>
      <c r="S200" s="150" t="str">
        <f t="shared" si="19"/>
        <v>_</v>
      </c>
      <c r="T200" s="152" t="str">
        <f>+VLOOKUP($L200,Data_Validation!$A:$D,1,0)</f>
        <v>352</v>
      </c>
      <c r="U200" s="152" t="str">
        <f>+VLOOKUP($L200,Data_Validation!$A:$D,3,0)</f>
        <v>Bilan</v>
      </c>
      <c r="V200" s="152" t="str">
        <f>+VLOOKUP($L200,Data_Validation!$A:$D,4,0)</f>
        <v>Équipements Service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1663</v>
      </c>
      <c r="B201" s="685" t="s">
        <v>379</v>
      </c>
      <c r="C201" s="687">
        <v>-75.2</v>
      </c>
      <c r="D201" s="687">
        <v>-10.75</v>
      </c>
      <c r="E201" s="687">
        <v>-85.95</v>
      </c>
      <c r="F201" s="685" t="s">
        <v>2226</v>
      </c>
      <c r="G201" s="685" t="s">
        <v>379</v>
      </c>
      <c r="H201" s="641" t="s">
        <v>3074</v>
      </c>
      <c r="I201" s="640"/>
      <c r="J201" s="640"/>
      <c r="K201" s="640"/>
      <c r="L201" s="149" t="str">
        <f t="shared" si="15"/>
        <v>353</v>
      </c>
      <c r="M201" s="150" t="str">
        <f t="shared" si="16"/>
        <v>AMORT.CUM. EQUIP. PIECES &amp; ACCESS.</v>
      </c>
      <c r="N201" s="151">
        <f>+IF(OR($Q201=Parametres!$G$2,$Q201=Parametres!$G$3),I201,C201)</f>
        <v>-75.2</v>
      </c>
      <c r="O201" s="151">
        <f>+IF(OR($Q201=Parametres!$G$2,$Q201=Parametres!$G$3),J201,D201)</f>
        <v>-10.75</v>
      </c>
      <c r="P201" s="151">
        <f>+IF(OR($Q201=Parametres!$G$2,$Q201=Parametres!$G$3),K201,E201)</f>
        <v>-85.95</v>
      </c>
      <c r="Q201" s="150" t="str">
        <f t="shared" si="17"/>
        <v>3-Passifs</v>
      </c>
      <c r="R201" s="149" t="str">
        <f t="shared" si="18"/>
        <v>353</v>
      </c>
      <c r="S201" s="150" t="str">
        <f t="shared" si="19"/>
        <v>_</v>
      </c>
      <c r="T201" s="152" t="str">
        <f>+VLOOKUP($L201,Data_Validation!$A:$D,1,0)</f>
        <v>353</v>
      </c>
      <c r="U201" s="152" t="str">
        <f>+VLOOKUP($L201,Data_Validation!$A:$D,3,0)</f>
        <v>Bilan</v>
      </c>
      <c r="V201" s="152" t="str">
        <f>+VLOOKUP($L201,Data_Validation!$A:$D,4,0)</f>
        <v>Équipements Service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1688</v>
      </c>
      <c r="B202" s="685" t="s">
        <v>1689</v>
      </c>
      <c r="C202" s="687">
        <v>-11472.4</v>
      </c>
      <c r="D202" s="687">
        <v>-1639</v>
      </c>
      <c r="E202" s="687">
        <v>-13111.4</v>
      </c>
      <c r="F202" s="685" t="s">
        <v>2226</v>
      </c>
      <c r="G202" s="685" t="s">
        <v>1689</v>
      </c>
      <c r="H202" s="634" t="s">
        <v>3074</v>
      </c>
      <c r="I202" s="633"/>
      <c r="J202" s="633"/>
      <c r="K202" s="633"/>
      <c r="L202" s="149" t="str">
        <f t="shared" si="15"/>
        <v>354A</v>
      </c>
      <c r="M202" s="150" t="str">
        <f t="shared" si="16"/>
        <v>AMORT.CUM. MEUBLES &amp; ACCESSOIRES</v>
      </c>
      <c r="N202" s="151">
        <f>+IF(OR($Q202=Parametres!$G$2,$Q202=Parametres!$G$3),I202,C202)</f>
        <v>-11472.4</v>
      </c>
      <c r="O202" s="151">
        <f>+IF(OR($Q202=Parametres!$G$2,$Q202=Parametres!$G$3),J202,D202)</f>
        <v>-1639</v>
      </c>
      <c r="P202" s="151">
        <f>+IF(OR($Q202=Parametres!$G$2,$Q202=Parametres!$G$3),K202,E202)</f>
        <v>-13111.4</v>
      </c>
      <c r="Q202" s="150" t="str">
        <f t="shared" si="17"/>
        <v>3-Passifs</v>
      </c>
      <c r="R202" s="149" t="str">
        <f t="shared" si="18"/>
        <v>354A</v>
      </c>
      <c r="S202" s="150" t="str">
        <f t="shared" si="19"/>
        <v>_</v>
      </c>
      <c r="T202" s="152" t="str">
        <f>+VLOOKUP($L202,Data_Validation!$A:$D,1,0)</f>
        <v>354A</v>
      </c>
      <c r="U202" s="152" t="str">
        <f>+VLOOKUP($L202,Data_Validation!$A:$D,3,0)</f>
        <v>Bilan</v>
      </c>
      <c r="V202" s="152" t="str">
        <f>+VLOOKUP($L202,Data_Validation!$A:$D,4,0)</f>
        <v>Mobilier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1206</v>
      </c>
      <c r="B203" s="685" t="s">
        <v>1207</v>
      </c>
      <c r="C203" s="687">
        <v>-580.55999999999995</v>
      </c>
      <c r="D203" s="687">
        <v>-83</v>
      </c>
      <c r="E203" s="687">
        <v>-663.56</v>
      </c>
      <c r="F203" s="685" t="s">
        <v>2226</v>
      </c>
      <c r="G203" s="685" t="s">
        <v>1207</v>
      </c>
      <c r="H203" s="634" t="s">
        <v>3074</v>
      </c>
      <c r="I203" s="633"/>
      <c r="J203" s="633"/>
      <c r="K203" s="633"/>
      <c r="L203" s="149" t="str">
        <f t="shared" si="15"/>
        <v>354B</v>
      </c>
      <c r="M203" s="150" t="str">
        <f t="shared" si="16"/>
        <v>AMORT.CUM. ENSEIGNE</v>
      </c>
      <c r="N203" s="151">
        <f>+IF(OR($Q203=Parametres!$G$2,$Q203=Parametres!$G$3),I203,C203)</f>
        <v>-580.55999999999995</v>
      </c>
      <c r="O203" s="151">
        <f>+IF(OR($Q203=Parametres!$G$2,$Q203=Parametres!$G$3),J203,D203)</f>
        <v>-83</v>
      </c>
      <c r="P203" s="151">
        <f>+IF(OR($Q203=Parametres!$G$2,$Q203=Parametres!$G$3),K203,E203)</f>
        <v>-663.56</v>
      </c>
      <c r="Q203" s="150" t="str">
        <f t="shared" si="17"/>
        <v>3-Passifs</v>
      </c>
      <c r="R203" s="149" t="str">
        <f t="shared" si="18"/>
        <v>354B</v>
      </c>
      <c r="S203" s="150" t="str">
        <f t="shared" si="19"/>
        <v>_</v>
      </c>
      <c r="T203" s="152" t="str">
        <f>+VLOOKUP($L203,Data_Validation!$A:$D,1,0)</f>
        <v>354B</v>
      </c>
      <c r="U203" s="152" t="str">
        <f>+VLOOKUP($L203,Data_Validation!$A:$D,3,0)</f>
        <v>Bilan</v>
      </c>
      <c r="V203" s="152" t="str">
        <f>+VLOOKUP($L203,Data_Validation!$A:$D,4,0)</f>
        <v>Enseigne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1789</v>
      </c>
      <c r="B204" s="685" t="s">
        <v>1790</v>
      </c>
      <c r="C204" s="687">
        <v>-3205.98</v>
      </c>
      <c r="D204" s="687">
        <v>-469.75</v>
      </c>
      <c r="E204" s="687">
        <v>-3675.73</v>
      </c>
      <c r="F204" s="685" t="s">
        <v>2226</v>
      </c>
      <c r="G204" s="685" t="s">
        <v>1790</v>
      </c>
      <c r="H204" s="641" t="s">
        <v>3074</v>
      </c>
      <c r="I204" s="640"/>
      <c r="J204" s="640"/>
      <c r="K204" s="640"/>
      <c r="L204" s="149" t="str">
        <f t="shared" si="15"/>
        <v>354C</v>
      </c>
      <c r="M204" s="150" t="str">
        <f t="shared" si="16"/>
        <v>AMORT.CUM. EQUIP. INFORMATIQUE</v>
      </c>
      <c r="N204" s="151">
        <f>+IF(OR($Q204=Parametres!$G$2,$Q204=Parametres!$G$3),I204,C204)</f>
        <v>-3205.98</v>
      </c>
      <c r="O204" s="151">
        <f>+IF(OR($Q204=Parametres!$G$2,$Q204=Parametres!$G$3),J204,D204)</f>
        <v>-469.75</v>
      </c>
      <c r="P204" s="151">
        <f>+IF(OR($Q204=Parametres!$G$2,$Q204=Parametres!$G$3),K204,E204)</f>
        <v>-3675.73</v>
      </c>
      <c r="Q204" s="150" t="str">
        <f t="shared" si="17"/>
        <v>3-Passifs</v>
      </c>
      <c r="R204" s="149" t="str">
        <f t="shared" si="18"/>
        <v>354C</v>
      </c>
      <c r="S204" s="150" t="str">
        <f t="shared" si="19"/>
        <v>_</v>
      </c>
      <c r="T204" s="152" t="str">
        <f>+VLOOKUP($L204,Data_Validation!$A:$D,1,0)</f>
        <v>354C</v>
      </c>
      <c r="U204" s="152" t="str">
        <f>+VLOOKUP($L204,Data_Validation!$A:$D,3,0)</f>
        <v>Bilan</v>
      </c>
      <c r="V204" s="152" t="str">
        <f>+VLOOKUP($L204,Data_Validation!$A:$D,4,0)</f>
        <v>Équipements Informatique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602</v>
      </c>
      <c r="B205" s="685" t="s">
        <v>357</v>
      </c>
      <c r="C205" s="687">
        <v>131805.45000000001</v>
      </c>
      <c r="D205" s="687">
        <v>0</v>
      </c>
      <c r="E205" s="687">
        <v>131805.45000000001</v>
      </c>
      <c r="F205" s="685" t="s">
        <v>2227</v>
      </c>
      <c r="G205" s="685" t="s">
        <v>357</v>
      </c>
      <c r="H205" s="641" t="s">
        <v>3074</v>
      </c>
      <c r="I205" s="640"/>
      <c r="J205" s="640"/>
      <c r="K205" s="640"/>
      <c r="L205" s="149" t="str">
        <f t="shared" si="15"/>
        <v>370</v>
      </c>
      <c r="M205" s="150" t="str">
        <f t="shared" si="16"/>
        <v>BENEFICES NON REPARTIS</v>
      </c>
      <c r="N205" s="151">
        <f>+IF(OR($Q205=Parametres!$G$2,$Q205=Parametres!$G$3),I205,C205)</f>
        <v>131805.45000000001</v>
      </c>
      <c r="O205" s="151">
        <f>+IF(OR($Q205=Parametres!$G$2,$Q205=Parametres!$G$3),J205,D205)</f>
        <v>0</v>
      </c>
      <c r="P205" s="151">
        <f>+IF(OR($Q205=Parametres!$G$2,$Q205=Parametres!$G$3),K205,E205)</f>
        <v>131805.45000000001</v>
      </c>
      <c r="Q205" s="150" t="str">
        <f t="shared" si="17"/>
        <v>4-Valeur nette</v>
      </c>
      <c r="R205" s="149" t="str">
        <f t="shared" si="18"/>
        <v>370</v>
      </c>
      <c r="S205" s="150" t="str">
        <f t="shared" si="19"/>
        <v>_</v>
      </c>
      <c r="T205" s="152" t="str">
        <f>+VLOOKUP($L205,Data_Validation!$A:$D,1,0)</f>
        <v>370</v>
      </c>
      <c r="U205" s="152" t="str">
        <f>+VLOOKUP($L205,Data_Validation!$A:$D,3,0)</f>
        <v>Bilan</v>
      </c>
      <c r="V205" s="152" t="str">
        <f>+VLOOKUP($L205,Data_Validation!$A:$D,4,0)</f>
        <v>Bénéfices non répartis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2920</v>
      </c>
      <c r="B206" s="685" t="s">
        <v>2921</v>
      </c>
      <c r="C206" s="687">
        <v>-95758.49</v>
      </c>
      <c r="D206" s="687">
        <v>-99879.49</v>
      </c>
      <c r="E206" s="687">
        <v>-195637.98</v>
      </c>
      <c r="F206" s="685" t="s">
        <v>2006</v>
      </c>
      <c r="G206" s="685" t="s">
        <v>2921</v>
      </c>
      <c r="H206" s="641" t="s">
        <v>3074</v>
      </c>
      <c r="I206" s="641"/>
      <c r="J206" s="641"/>
      <c r="K206" s="641"/>
      <c r="L206" s="149" t="str">
        <f t="shared" si="15"/>
        <v>401A</v>
      </c>
      <c r="M206" s="150" t="str">
        <f t="shared" si="16"/>
        <v>VTES -VTE - M240I COUPE</v>
      </c>
      <c r="N206" s="151">
        <f>+IF(OR($Q206=Parametres!$G$2,$Q206=Parametres!$G$3),I206,C206)</f>
        <v>-95758.49</v>
      </c>
      <c r="O206" s="151">
        <f>+IF(OR($Q206=Parametres!$G$2,$Q206=Parametres!$G$3),J206,D206)</f>
        <v>-99879.49</v>
      </c>
      <c r="P206" s="151">
        <f>+IF(OR($Q206=Parametres!$G$2,$Q206=Parametres!$G$3),K206,E206)</f>
        <v>-195637.98</v>
      </c>
      <c r="Q206" s="150" t="str">
        <f t="shared" si="17"/>
        <v>5-Ventes</v>
      </c>
      <c r="R206" s="149" t="str">
        <f t="shared" si="18"/>
        <v>401A</v>
      </c>
      <c r="S206" s="150" t="str">
        <f t="shared" si="19"/>
        <v>_</v>
      </c>
      <c r="T206" s="152" t="str">
        <f>+VLOOKUP($L206,Data_Validation!$A:$D,1,0)</f>
        <v>401A</v>
      </c>
      <c r="U206" s="152" t="str">
        <f>+VLOOKUP($L206,Data_Validation!$A:$D,3,0)</f>
        <v>Véhicules neufs</v>
      </c>
      <c r="V206" s="152" t="str">
        <f>+VLOOKUP($L206,Data_Validation!$A:$D,4,0)</f>
        <v>Autos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5" t="s">
        <v>3024</v>
      </c>
      <c r="B207" s="685" t="s">
        <v>3025</v>
      </c>
      <c r="C207" s="687">
        <v>-130748.5</v>
      </c>
      <c r="D207" s="687">
        <v>0</v>
      </c>
      <c r="E207" s="687">
        <v>-130748.5</v>
      </c>
      <c r="F207" s="685" t="s">
        <v>2006</v>
      </c>
      <c r="G207" s="685" t="s">
        <v>3091</v>
      </c>
      <c r="H207" s="641" t="s">
        <v>3074</v>
      </c>
      <c r="I207" s="640"/>
      <c r="J207" s="640"/>
      <c r="K207" s="640"/>
      <c r="L207" s="149" t="str">
        <f t="shared" si="15"/>
        <v>401G</v>
      </c>
      <c r="M207" s="150" t="str">
        <f t="shared" si="16"/>
        <v>M2 CS</v>
      </c>
      <c r="N207" s="151">
        <f>+IF(OR($Q207=Parametres!$G$2,$Q207=Parametres!$G$3),I207,C207)</f>
        <v>-130748.5</v>
      </c>
      <c r="O207" s="151">
        <f>+IF(OR($Q207=Parametres!$G$2,$Q207=Parametres!$G$3),J207,D207)</f>
        <v>0</v>
      </c>
      <c r="P207" s="151">
        <f>+IF(OR($Q207=Parametres!$G$2,$Q207=Parametres!$G$3),K207,E207)</f>
        <v>-130748.5</v>
      </c>
      <c r="Q207" s="150" t="str">
        <f t="shared" si="17"/>
        <v>5-Ventes</v>
      </c>
      <c r="R207" s="149" t="str">
        <f t="shared" si="18"/>
        <v>401</v>
      </c>
      <c r="S207" s="150" t="str">
        <f t="shared" si="19"/>
        <v>_</v>
      </c>
      <c r="T207" s="152" t="str">
        <f>+VLOOKUP($L207,Data_Validation!$A:$D,1,0)</f>
        <v>401G</v>
      </c>
      <c r="U207" s="152" t="str">
        <f>+VLOOKUP($L207,Data_Validation!$A:$D,3,0)</f>
        <v>Véhicules neufs</v>
      </c>
      <c r="V207" s="152" t="str">
        <f>+VLOOKUP($L207,Data_Validation!$A:$D,4,0)</f>
        <v>Autos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5" t="s">
        <v>2976</v>
      </c>
      <c r="B208" s="685" t="s">
        <v>2977</v>
      </c>
      <c r="C208" s="687">
        <v>-237149.65</v>
      </c>
      <c r="D208" s="687">
        <v>0</v>
      </c>
      <c r="E208" s="687">
        <v>-237149.65</v>
      </c>
      <c r="F208" s="685" t="s">
        <v>2006</v>
      </c>
      <c r="G208" s="685" t="s">
        <v>3092</v>
      </c>
      <c r="H208" s="634" t="s">
        <v>3074</v>
      </c>
      <c r="I208" s="633"/>
      <c r="J208" s="633"/>
      <c r="K208" s="633"/>
      <c r="L208" s="149" t="str">
        <f t="shared" si="15"/>
        <v>402E</v>
      </c>
      <c r="M208" s="150" t="str">
        <f t="shared" si="16"/>
        <v>IX XDRIVE60</v>
      </c>
      <c r="N208" s="151">
        <f>+IF(OR($Q208=Parametres!$G$2,$Q208=Parametres!$G$3),I208,C208)</f>
        <v>-237149.65</v>
      </c>
      <c r="O208" s="151">
        <f>+IF(OR($Q208=Parametres!$G$2,$Q208=Parametres!$G$3),J208,D208)</f>
        <v>0</v>
      </c>
      <c r="P208" s="151">
        <f>+IF(OR($Q208=Parametres!$G$2,$Q208=Parametres!$G$3),K208,E208)</f>
        <v>-237149.65</v>
      </c>
      <c r="Q208" s="150" t="str">
        <f t="shared" si="17"/>
        <v>5-Ventes</v>
      </c>
      <c r="R208" s="149" t="str">
        <f t="shared" si="18"/>
        <v>402</v>
      </c>
      <c r="S208" s="150" t="str">
        <f t="shared" si="19"/>
        <v>_</v>
      </c>
      <c r="T208" s="152" t="str">
        <f>+VLOOKUP($L208,Data_Validation!$A:$D,1,0)</f>
        <v>402E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5" t="s">
        <v>2342</v>
      </c>
      <c r="B209" s="685" t="s">
        <v>2343</v>
      </c>
      <c r="C209" s="687">
        <v>-175648.31</v>
      </c>
      <c r="D209" s="687">
        <v>0</v>
      </c>
      <c r="E209" s="687">
        <v>-175648.31</v>
      </c>
      <c r="F209" s="685" t="s">
        <v>2006</v>
      </c>
      <c r="G209" s="685" t="s">
        <v>2343</v>
      </c>
      <c r="H209" s="641" t="s">
        <v>3074</v>
      </c>
      <c r="I209" s="640"/>
      <c r="J209" s="640"/>
      <c r="K209" s="640"/>
      <c r="L209" s="149" t="str">
        <f t="shared" si="15"/>
        <v>403I</v>
      </c>
      <c r="M209" s="150" t="str">
        <f t="shared" si="16"/>
        <v>VTES -i4 M50i XDRIVE GRAN COUPE</v>
      </c>
      <c r="N209" s="151">
        <f>+IF(OR($Q209=Parametres!$G$2,$Q209=Parametres!$G$3),I209,C209)</f>
        <v>-175648.31</v>
      </c>
      <c r="O209" s="151">
        <f>+IF(OR($Q209=Parametres!$G$2,$Q209=Parametres!$G$3),J209,D209)</f>
        <v>0</v>
      </c>
      <c r="P209" s="151">
        <f>+IF(OR($Q209=Parametres!$G$2,$Q209=Parametres!$G$3),K209,E209)</f>
        <v>-175648.31</v>
      </c>
      <c r="Q209" s="150" t="str">
        <f t="shared" si="17"/>
        <v>5-Ventes</v>
      </c>
      <c r="R209" s="149" t="str">
        <f t="shared" si="18"/>
        <v>403I</v>
      </c>
      <c r="S209" s="150" t="str">
        <f t="shared" si="19"/>
        <v>_</v>
      </c>
      <c r="T209" s="152" t="str">
        <f>+VLOOKUP($L209,Data_Validation!$A:$D,1,0)</f>
        <v>403I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5" t="s">
        <v>3064</v>
      </c>
      <c r="B210" s="685" t="s">
        <v>3065</v>
      </c>
      <c r="C210" s="687">
        <v>-67419.490000000005</v>
      </c>
      <c r="D210" s="687">
        <v>0</v>
      </c>
      <c r="E210" s="687">
        <v>-67419.490000000005</v>
      </c>
      <c r="F210" s="685" t="s">
        <v>2006</v>
      </c>
      <c r="G210" s="685" t="s">
        <v>3093</v>
      </c>
      <c r="H210" s="686" t="s">
        <v>3074</v>
      </c>
      <c r="I210" s="686"/>
      <c r="J210" s="686"/>
      <c r="K210" s="686"/>
      <c r="L210" s="149" t="str">
        <f t="shared" si="15"/>
        <v>404K</v>
      </c>
      <c r="M210" s="150" t="str">
        <f t="shared" si="16"/>
        <v>I4 XDRIVE40 GRAN COUPE</v>
      </c>
      <c r="N210" s="151">
        <f>+IF(OR($Q210=Parametres!$G$2,$Q210=Parametres!$G$3),I210,C210)</f>
        <v>-67419.490000000005</v>
      </c>
      <c r="O210" s="151">
        <f>+IF(OR($Q210=Parametres!$G$2,$Q210=Parametres!$G$3),J210,D210)</f>
        <v>0</v>
      </c>
      <c r="P210" s="151">
        <f>+IF(OR($Q210=Parametres!$G$2,$Q210=Parametres!$G$3),K210,E210)</f>
        <v>-67419.490000000005</v>
      </c>
      <c r="Q210" s="150" t="str">
        <f t="shared" si="17"/>
        <v>5-Ventes</v>
      </c>
      <c r="R210" s="149" t="str">
        <f t="shared" si="18"/>
        <v>404</v>
      </c>
      <c r="S210" s="150" t="str">
        <f t="shared" si="19"/>
        <v>_</v>
      </c>
      <c r="T210" s="152" t="str">
        <f>+VLOOKUP($L210,Data_Validation!$A:$D,1,0)</f>
        <v>404K</v>
      </c>
      <c r="U210" s="152" t="str">
        <f>+VLOOKUP($L210,Data_Validation!$A:$D,3,0)</f>
        <v>Véhicules neufs</v>
      </c>
      <c r="V210" s="152" t="str">
        <f>+VLOOKUP($L210,Data_Validation!$A:$D,4,0)</f>
        <v>Autos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5" t="s">
        <v>2360</v>
      </c>
      <c r="B211" s="685" t="s">
        <v>2361</v>
      </c>
      <c r="C211" s="687">
        <v>-256927.99</v>
      </c>
      <c r="D211" s="687">
        <v>-251758.41</v>
      </c>
      <c r="E211" s="687">
        <v>-508686.4</v>
      </c>
      <c r="F211" s="685" t="s">
        <v>2006</v>
      </c>
      <c r="G211" s="685" t="s">
        <v>2361</v>
      </c>
      <c r="H211" s="641" t="s">
        <v>3074</v>
      </c>
      <c r="I211" s="640"/>
      <c r="J211" s="640"/>
      <c r="K211" s="640"/>
      <c r="L211" s="149" t="str">
        <f t="shared" si="15"/>
        <v>405H</v>
      </c>
      <c r="M211" s="150" t="str">
        <f t="shared" si="16"/>
        <v>VTES -M4 COMPETITION CABRIOLET XDRIVE</v>
      </c>
      <c r="N211" s="151">
        <f>+IF(OR($Q211=Parametres!$G$2,$Q211=Parametres!$G$3),I211,C211)</f>
        <v>-256927.99</v>
      </c>
      <c r="O211" s="151">
        <f>+IF(OR($Q211=Parametres!$G$2,$Q211=Parametres!$G$3),J211,D211)</f>
        <v>-251758.41</v>
      </c>
      <c r="P211" s="151">
        <f>+IF(OR($Q211=Parametres!$G$2,$Q211=Parametres!$G$3),K211,E211)</f>
        <v>-508686.4</v>
      </c>
      <c r="Q211" s="150" t="str">
        <f t="shared" si="17"/>
        <v>5-Ventes</v>
      </c>
      <c r="R211" s="149" t="str">
        <f t="shared" si="18"/>
        <v>405H</v>
      </c>
      <c r="S211" s="150" t="str">
        <f t="shared" si="19"/>
        <v>_</v>
      </c>
      <c r="T211" s="152" t="str">
        <f>+VLOOKUP($L211,Data_Validation!$A:$D,1,0)</f>
        <v>405H</v>
      </c>
      <c r="U211" s="152" t="str">
        <f>+VLOOKUP($L211,Data_Validation!$A:$D,3,0)</f>
        <v>Véhicules neufs</v>
      </c>
      <c r="V211" s="152" t="str">
        <f>+VLOOKUP($L211,Data_Validation!$A:$D,4,0)</f>
        <v>Autos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5" t="s">
        <v>2143</v>
      </c>
      <c r="B212" s="685" t="s">
        <v>2144</v>
      </c>
      <c r="C212" s="687">
        <v>-131229.49</v>
      </c>
      <c r="D212" s="687">
        <v>0</v>
      </c>
      <c r="E212" s="687">
        <v>-131229.49</v>
      </c>
      <c r="F212" s="685" t="s">
        <v>2006</v>
      </c>
      <c r="G212" s="685" t="s">
        <v>2144</v>
      </c>
      <c r="H212" s="641" t="s">
        <v>3074</v>
      </c>
      <c r="I212" s="640"/>
      <c r="J212" s="640"/>
      <c r="K212" s="640"/>
      <c r="L212" s="149" t="str">
        <f t="shared" si="15"/>
        <v>405J</v>
      </c>
      <c r="M212" s="150" t="str">
        <f t="shared" si="16"/>
        <v>VTES -M4 COMPETITION</v>
      </c>
      <c r="N212" s="151">
        <f>+IF(OR($Q212=Parametres!$G$2,$Q212=Parametres!$G$3),I212,C212)</f>
        <v>-131229.49</v>
      </c>
      <c r="O212" s="151">
        <f>+IF(OR($Q212=Parametres!$G$2,$Q212=Parametres!$G$3),J212,D212)</f>
        <v>0</v>
      </c>
      <c r="P212" s="151">
        <f>+IF(OR($Q212=Parametres!$G$2,$Q212=Parametres!$G$3),K212,E212)</f>
        <v>-131229.49</v>
      </c>
      <c r="Q212" s="150" t="str">
        <f t="shared" si="17"/>
        <v>5-Ventes</v>
      </c>
      <c r="R212" s="149" t="str">
        <f t="shared" si="18"/>
        <v>405J</v>
      </c>
      <c r="S212" s="150" t="str">
        <f t="shared" si="19"/>
        <v>_</v>
      </c>
      <c r="T212" s="152" t="str">
        <f>+VLOOKUP($L212,Data_Validation!$A:$D,1,0)</f>
        <v>405J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1982</v>
      </c>
      <c r="B213" s="685" t="s">
        <v>1983</v>
      </c>
      <c r="C213" s="687">
        <v>-405443.69</v>
      </c>
      <c r="D213" s="687">
        <v>0</v>
      </c>
      <c r="E213" s="687">
        <v>-405443.69</v>
      </c>
      <c r="F213" s="685" t="s">
        <v>2006</v>
      </c>
      <c r="G213" s="685" t="s">
        <v>1983</v>
      </c>
      <c r="H213" s="641" t="s">
        <v>3074</v>
      </c>
      <c r="I213" s="640"/>
      <c r="J213" s="640"/>
      <c r="K213" s="640"/>
      <c r="L213" s="149" t="str">
        <f t="shared" si="15"/>
        <v>405K</v>
      </c>
      <c r="M213" s="150" t="str">
        <f t="shared" si="16"/>
        <v>VTES -M440I XDR COUPE</v>
      </c>
      <c r="N213" s="151">
        <f>+IF(OR($Q213=Parametres!$G$2,$Q213=Parametres!$G$3),I213,C213)</f>
        <v>-405443.69</v>
      </c>
      <c r="O213" s="151">
        <f>+IF(OR($Q213=Parametres!$G$2,$Q213=Parametres!$G$3),J213,D213)</f>
        <v>0</v>
      </c>
      <c r="P213" s="151">
        <f>+IF(OR($Q213=Parametres!$G$2,$Q213=Parametres!$G$3),K213,E213)</f>
        <v>-405443.69</v>
      </c>
      <c r="Q213" s="150" t="str">
        <f t="shared" si="17"/>
        <v>5-Ventes</v>
      </c>
      <c r="R213" s="149" t="str">
        <f t="shared" si="18"/>
        <v>405K</v>
      </c>
      <c r="S213" s="150" t="str">
        <f t="shared" si="19"/>
        <v>_</v>
      </c>
      <c r="T213" s="152" t="str">
        <f>+VLOOKUP($L213,Data_Validation!$A:$D,1,0)</f>
        <v>405K</v>
      </c>
      <c r="U213" s="152" t="str">
        <f>+VLOOKUP($L213,Data_Validation!$A:$D,3,0)</f>
        <v>Véhicules neufs</v>
      </c>
      <c r="V213" s="152" t="str">
        <f>+VLOOKUP($L213,Data_Validation!$A:$D,4,0)</f>
        <v>Autos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2877</v>
      </c>
      <c r="B214" s="685" t="s">
        <v>2878</v>
      </c>
      <c r="C214" s="687">
        <v>-102248.5</v>
      </c>
      <c r="D214" s="687">
        <v>-106979.49</v>
      </c>
      <c r="E214" s="687">
        <v>-209227.99</v>
      </c>
      <c r="F214" s="685" t="s">
        <v>2006</v>
      </c>
      <c r="G214" s="685" t="s">
        <v>2878</v>
      </c>
      <c r="H214" s="686" t="s">
        <v>3074</v>
      </c>
      <c r="I214" s="686"/>
      <c r="J214" s="686"/>
      <c r="K214" s="686"/>
      <c r="L214" s="149" t="str">
        <f t="shared" si="15"/>
        <v>405L</v>
      </c>
      <c r="M214" s="150" t="str">
        <f t="shared" si="16"/>
        <v>M440I XDRIVE CABRIOLET</v>
      </c>
      <c r="N214" s="151">
        <f>+IF(OR($Q214=Parametres!$G$2,$Q214=Parametres!$G$3),I214,C214)</f>
        <v>-102248.5</v>
      </c>
      <c r="O214" s="151">
        <f>+IF(OR($Q214=Parametres!$G$2,$Q214=Parametres!$G$3),J214,D214)</f>
        <v>-106979.49</v>
      </c>
      <c r="P214" s="151">
        <f>+IF(OR($Q214=Parametres!$G$2,$Q214=Parametres!$G$3),K214,E214)</f>
        <v>-209227.99</v>
      </c>
      <c r="Q214" s="150" t="str">
        <f t="shared" si="17"/>
        <v>5-Ventes</v>
      </c>
      <c r="R214" s="149" t="str">
        <f t="shared" si="18"/>
        <v>405L</v>
      </c>
      <c r="S214" s="150" t="str">
        <f t="shared" si="19"/>
        <v>_</v>
      </c>
      <c r="T214" s="152" t="str">
        <f>+VLOOKUP($L214,Data_Validation!$A:$D,1,0)</f>
        <v>405L</v>
      </c>
      <c r="U214" s="152" t="str">
        <f>+VLOOKUP($L214,Data_Validation!$A:$D,3,0)</f>
        <v>Véhicules neufs</v>
      </c>
      <c r="V214" s="152" t="str">
        <f>+VLOOKUP($L214,Data_Validation!$A:$D,4,0)</f>
        <v>Autos détail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1372</v>
      </c>
      <c r="B215" s="685" t="s">
        <v>608</v>
      </c>
      <c r="C215" s="687">
        <v>-67979.490000000005</v>
      </c>
      <c r="D215" s="687">
        <v>0</v>
      </c>
      <c r="E215" s="687">
        <v>-67979.490000000005</v>
      </c>
      <c r="F215" s="685" t="s">
        <v>2006</v>
      </c>
      <c r="G215" s="685" t="s">
        <v>608</v>
      </c>
      <c r="H215" s="641" t="s">
        <v>3074</v>
      </c>
      <c r="I215" s="640"/>
      <c r="J215" s="640"/>
      <c r="K215" s="640"/>
      <c r="L215" s="149" t="str">
        <f t="shared" si="15"/>
        <v>406D</v>
      </c>
      <c r="M215" s="150" t="str">
        <f t="shared" si="16"/>
        <v>VTES -VTE - 230I XDR COUPE</v>
      </c>
      <c r="N215" s="151">
        <f>+IF(OR($Q215=Parametres!$G$2,$Q215=Parametres!$G$3),I215,C215)</f>
        <v>-67979.490000000005</v>
      </c>
      <c r="O215" s="151">
        <f>+IF(OR($Q215=Parametres!$G$2,$Q215=Parametres!$G$3),J215,D215)</f>
        <v>0</v>
      </c>
      <c r="P215" s="151">
        <f>+IF(OR($Q215=Parametres!$G$2,$Q215=Parametres!$G$3),K215,E215)</f>
        <v>-67979.490000000005</v>
      </c>
      <c r="Q215" s="150" t="str">
        <f t="shared" si="17"/>
        <v>5-Ventes</v>
      </c>
      <c r="R215" s="149" t="str">
        <f t="shared" si="18"/>
        <v>406D</v>
      </c>
      <c r="S215" s="150" t="str">
        <f t="shared" si="19"/>
        <v>_</v>
      </c>
      <c r="T215" s="152" t="str">
        <f>+VLOOKUP($L215,Data_Validation!$A:$D,1,0)</f>
        <v>406D</v>
      </c>
      <c r="U215" s="152" t="str">
        <f>+VLOOKUP($L215,Data_Validation!$A:$D,3,0)</f>
        <v>Véhicules neufs</v>
      </c>
      <c r="V215" s="152" t="str">
        <f>+VLOOKUP($L215,Data_Validation!$A:$D,4,0)</f>
        <v>Autos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2029</v>
      </c>
      <c r="B216" s="685" t="s">
        <v>2030</v>
      </c>
      <c r="C216" s="687">
        <v>-364872.08</v>
      </c>
      <c r="D216" s="687">
        <v>0</v>
      </c>
      <c r="E216" s="687">
        <v>-364872.08</v>
      </c>
      <c r="F216" s="685" t="s">
        <v>2006</v>
      </c>
      <c r="G216" s="685" t="s">
        <v>2030</v>
      </c>
      <c r="H216" s="593" t="s">
        <v>3074</v>
      </c>
      <c r="I216" s="153"/>
      <c r="J216" s="153"/>
      <c r="K216" s="153"/>
      <c r="L216" s="149" t="str">
        <f t="shared" si="15"/>
        <v>407C</v>
      </c>
      <c r="M216" s="150" t="str">
        <f t="shared" si="16"/>
        <v>VTES -M3 COMPETITION</v>
      </c>
      <c r="N216" s="151">
        <f>+IF(OR($Q216=Parametres!$G$2,$Q216=Parametres!$G$3),I216,C216)</f>
        <v>-364872.08</v>
      </c>
      <c r="O216" s="151">
        <f>+IF(OR($Q216=Parametres!$G$2,$Q216=Parametres!$G$3),J216,D216)</f>
        <v>0</v>
      </c>
      <c r="P216" s="151">
        <f>+IF(OR($Q216=Parametres!$G$2,$Q216=Parametres!$G$3),K216,E216)</f>
        <v>-364872.08</v>
      </c>
      <c r="Q216" s="150" t="str">
        <f t="shared" si="17"/>
        <v>5-Ventes</v>
      </c>
      <c r="R216" s="149" t="str">
        <f t="shared" si="18"/>
        <v>407C</v>
      </c>
      <c r="S216" s="150" t="str">
        <f t="shared" si="19"/>
        <v>_</v>
      </c>
      <c r="T216" s="152" t="str">
        <f>+VLOOKUP($L216,Data_Validation!$A:$D,1,0)</f>
        <v>407C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2872</v>
      </c>
      <c r="B217" s="685" t="s">
        <v>2873</v>
      </c>
      <c r="C217" s="687">
        <v>-273315.99</v>
      </c>
      <c r="D217" s="687">
        <v>0</v>
      </c>
      <c r="E217" s="687">
        <v>-273315.99</v>
      </c>
      <c r="F217" s="685" t="s">
        <v>2006</v>
      </c>
      <c r="G217" s="685" t="s">
        <v>2873</v>
      </c>
      <c r="H217" s="641" t="s">
        <v>3074</v>
      </c>
      <c r="I217" s="640"/>
      <c r="J217" s="640"/>
      <c r="K217" s="640"/>
      <c r="L217" s="149" t="str">
        <f t="shared" si="15"/>
        <v>409</v>
      </c>
      <c r="M217" s="150" t="str">
        <f t="shared" si="16"/>
        <v>X2 XDRIVE28I</v>
      </c>
      <c r="N217" s="151">
        <f>+IF(OR($Q217=Parametres!$G$2,$Q217=Parametres!$G$3),I217,C217)</f>
        <v>-273315.99</v>
      </c>
      <c r="O217" s="151">
        <f>+IF(OR($Q217=Parametres!$G$2,$Q217=Parametres!$G$3),J217,D217)</f>
        <v>0</v>
      </c>
      <c r="P217" s="151">
        <f>+IF(OR($Q217=Parametres!$G$2,$Q217=Parametres!$G$3),K217,E217)</f>
        <v>-273315.99</v>
      </c>
      <c r="Q217" s="150" t="str">
        <f t="shared" si="17"/>
        <v>5-Ventes</v>
      </c>
      <c r="R217" s="149" t="str">
        <f t="shared" si="18"/>
        <v>409</v>
      </c>
      <c r="S217" s="150" t="str">
        <f t="shared" si="19"/>
        <v>_</v>
      </c>
      <c r="T217" s="152" t="str">
        <f>+VLOOKUP($L217,Data_Validation!$A:$D,1,0)</f>
        <v>409</v>
      </c>
      <c r="U217" s="152" t="str">
        <f>+VLOOKUP($L217,Data_Validation!$A:$D,3,0)</f>
        <v>Véhicules neufs</v>
      </c>
      <c r="V217" s="152" t="str">
        <f>+VLOOKUP($L217,Data_Validation!$A:$D,4,0)</f>
        <v>Camions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2862</v>
      </c>
      <c r="B218" s="685" t="s">
        <v>2863</v>
      </c>
      <c r="C218" s="687">
        <v>-223975.93</v>
      </c>
      <c r="D218" s="687">
        <v>0</v>
      </c>
      <c r="E218" s="687">
        <v>-223975.93</v>
      </c>
      <c r="F218" s="685" t="s">
        <v>2006</v>
      </c>
      <c r="G218" s="685" t="s">
        <v>2863</v>
      </c>
      <c r="H218" s="686" t="s">
        <v>3074</v>
      </c>
      <c r="I218" s="686"/>
      <c r="J218" s="686"/>
      <c r="K218" s="686"/>
      <c r="L218" s="149" t="str">
        <f t="shared" si="15"/>
        <v>409A</v>
      </c>
      <c r="M218" s="150" t="str">
        <f t="shared" si="16"/>
        <v>X2 M35I XDRIVE</v>
      </c>
      <c r="N218" s="151">
        <f>+IF(OR($Q218=Parametres!$G$2,$Q218=Parametres!$G$3),I218,C218)</f>
        <v>-223975.93</v>
      </c>
      <c r="O218" s="151">
        <f>+IF(OR($Q218=Parametres!$G$2,$Q218=Parametres!$G$3),J218,D218)</f>
        <v>0</v>
      </c>
      <c r="P218" s="151">
        <f>+IF(OR($Q218=Parametres!$G$2,$Q218=Parametres!$G$3),K218,E218)</f>
        <v>-223975.93</v>
      </c>
      <c r="Q218" s="150" t="str">
        <f t="shared" si="17"/>
        <v>5-Ventes</v>
      </c>
      <c r="R218" s="149" t="str">
        <f t="shared" si="18"/>
        <v>409A</v>
      </c>
      <c r="S218" s="150" t="str">
        <f t="shared" si="19"/>
        <v>_</v>
      </c>
      <c r="T218" s="152" t="str">
        <f>+VLOOKUP($L218,Data_Validation!$A:$D,1,0)</f>
        <v>409A</v>
      </c>
      <c r="U218" s="152" t="str">
        <f>+VLOOKUP($L218,Data_Validation!$A:$D,3,0)</f>
        <v>Véhicules neufs</v>
      </c>
      <c r="V218" s="152" t="str">
        <f>+VLOOKUP($L218,Data_Validation!$A:$D,4,0)</f>
        <v>Camions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2955</v>
      </c>
      <c r="B219" s="685" t="s">
        <v>2956</v>
      </c>
      <c r="C219" s="687">
        <v>-1352471.04</v>
      </c>
      <c r="D219" s="687">
        <v>0</v>
      </c>
      <c r="E219" s="687">
        <v>-1352471.04</v>
      </c>
      <c r="F219" s="685" t="s">
        <v>2006</v>
      </c>
      <c r="G219" s="685" t="s">
        <v>2956</v>
      </c>
      <c r="H219" s="641" t="s">
        <v>3074</v>
      </c>
      <c r="I219" s="640"/>
      <c r="J219" s="640"/>
      <c r="K219" s="640"/>
      <c r="L219" s="149" t="str">
        <f t="shared" si="15"/>
        <v>409C</v>
      </c>
      <c r="M219" s="150" t="str">
        <f t="shared" si="16"/>
        <v>X3 M50 XDRIVE</v>
      </c>
      <c r="N219" s="151">
        <f>+IF(OR($Q219=Parametres!$G$2,$Q219=Parametres!$G$3),I219,C219)</f>
        <v>-1352471.04</v>
      </c>
      <c r="O219" s="151">
        <f>+IF(OR($Q219=Parametres!$G$2,$Q219=Parametres!$G$3),J219,D219)</f>
        <v>0</v>
      </c>
      <c r="P219" s="151">
        <f>+IF(OR($Q219=Parametres!$G$2,$Q219=Parametres!$G$3),K219,E219)</f>
        <v>-1352471.04</v>
      </c>
      <c r="Q219" s="150" t="str">
        <f t="shared" si="17"/>
        <v>5-Ventes</v>
      </c>
      <c r="R219" s="149" t="str">
        <f t="shared" si="18"/>
        <v>409C</v>
      </c>
      <c r="S219" s="150" t="str">
        <f t="shared" si="19"/>
        <v>_</v>
      </c>
      <c r="T219" s="152" t="str">
        <f>+VLOOKUP($L219,Data_Validation!$A:$D,1,0)</f>
        <v>409C</v>
      </c>
      <c r="U219" s="152" t="str">
        <f>+VLOOKUP($L219,Data_Validation!$A:$D,3,0)</f>
        <v>Véhicules neufs</v>
      </c>
      <c r="V219" s="152" t="str">
        <f>+VLOOKUP($L219,Data_Validation!$A:$D,4,0)</f>
        <v>Camions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1089</v>
      </c>
      <c r="B220" s="685" t="s">
        <v>612</v>
      </c>
      <c r="C220" s="687">
        <v>-283917.96000000002</v>
      </c>
      <c r="D220" s="687">
        <v>0</v>
      </c>
      <c r="E220" s="687">
        <v>-283917.96000000002</v>
      </c>
      <c r="F220" s="685" t="s">
        <v>2006</v>
      </c>
      <c r="G220" s="685" t="s">
        <v>612</v>
      </c>
      <c r="H220" s="641" t="s">
        <v>3074</v>
      </c>
      <c r="I220" s="640"/>
      <c r="J220" s="640"/>
      <c r="K220" s="640"/>
      <c r="L220" s="149" t="str">
        <f t="shared" si="15"/>
        <v>411C</v>
      </c>
      <c r="M220" s="150" t="str">
        <f t="shared" si="16"/>
        <v>VTES -VTE - 330I XDRIVE SEDAN</v>
      </c>
      <c r="N220" s="151">
        <f>+IF(OR($Q220=Parametres!$G$2,$Q220=Parametres!$G$3),I220,C220)</f>
        <v>-283917.96000000002</v>
      </c>
      <c r="O220" s="151">
        <f>+IF(OR($Q220=Parametres!$G$2,$Q220=Parametres!$G$3),J220,D220)</f>
        <v>0</v>
      </c>
      <c r="P220" s="151">
        <f>+IF(OR($Q220=Parametres!$G$2,$Q220=Parametres!$G$3),K220,E220)</f>
        <v>-283917.96000000002</v>
      </c>
      <c r="Q220" s="150" t="str">
        <f t="shared" si="17"/>
        <v>5-Ventes</v>
      </c>
      <c r="R220" s="149" t="str">
        <f t="shared" si="18"/>
        <v>411C</v>
      </c>
      <c r="S220" s="150" t="str">
        <f t="shared" si="19"/>
        <v>_</v>
      </c>
      <c r="T220" s="152" t="str">
        <f>+VLOOKUP($L220,Data_Validation!$A:$D,1,0)</f>
        <v>411C</v>
      </c>
      <c r="U220" s="152" t="str">
        <f>+VLOOKUP($L220,Data_Validation!$A:$D,3,0)</f>
        <v>Véhicules neufs</v>
      </c>
      <c r="V220" s="152" t="str">
        <f>+VLOOKUP($L220,Data_Validation!$A:$D,4,0)</f>
        <v>Autos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1978</v>
      </c>
      <c r="B221" s="685" t="s">
        <v>1979</v>
      </c>
      <c r="C221" s="687">
        <v>-172119.99</v>
      </c>
      <c r="D221" s="687">
        <v>-187477.99</v>
      </c>
      <c r="E221" s="687">
        <v>-359597.98</v>
      </c>
      <c r="F221" s="685" t="s">
        <v>2006</v>
      </c>
      <c r="G221" s="685" t="s">
        <v>1979</v>
      </c>
      <c r="H221" s="634" t="s">
        <v>3074</v>
      </c>
      <c r="I221" s="633"/>
      <c r="J221" s="633"/>
      <c r="K221" s="633"/>
      <c r="L221" s="149" t="str">
        <f t="shared" si="15"/>
        <v>412C</v>
      </c>
      <c r="M221" s="150" t="str">
        <f t="shared" si="16"/>
        <v>M340I XDRIVE</v>
      </c>
      <c r="N221" s="151">
        <f>+IF(OR($Q221=Parametres!$G$2,$Q221=Parametres!$G$3),I221,C221)</f>
        <v>-172119.99</v>
      </c>
      <c r="O221" s="151">
        <f>+IF(OR($Q221=Parametres!$G$2,$Q221=Parametres!$G$3),J221,D221)</f>
        <v>-187477.99</v>
      </c>
      <c r="P221" s="151">
        <f>+IF(OR($Q221=Parametres!$G$2,$Q221=Parametres!$G$3),K221,E221)</f>
        <v>-359597.98</v>
      </c>
      <c r="Q221" s="150" t="str">
        <f t="shared" si="17"/>
        <v>5-Ventes</v>
      </c>
      <c r="R221" s="149" t="str">
        <f t="shared" si="18"/>
        <v>412C</v>
      </c>
      <c r="S221" s="150" t="str">
        <f t="shared" si="19"/>
        <v>_</v>
      </c>
      <c r="T221" s="152" t="str">
        <f>+VLOOKUP($L221,Data_Validation!$A:$D,1,0)</f>
        <v>412C</v>
      </c>
      <c r="U221" s="152" t="str">
        <f>+VLOOKUP($L221,Data_Validation!$A:$D,3,0)</f>
        <v>Véhicules neufs</v>
      </c>
      <c r="V221" s="152" t="str">
        <f>+VLOOKUP($L221,Data_Validation!$A:$D,4,0)</f>
        <v>Autos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3026</v>
      </c>
      <c r="B222" s="685" t="s">
        <v>3027</v>
      </c>
      <c r="C222" s="687">
        <v>-190208.98</v>
      </c>
      <c r="D222" s="687">
        <v>0</v>
      </c>
      <c r="E222" s="687">
        <v>-190208.98</v>
      </c>
      <c r="F222" s="685" t="s">
        <v>2006</v>
      </c>
      <c r="G222" s="685" t="s">
        <v>3027</v>
      </c>
      <c r="H222" s="641" t="s">
        <v>3074</v>
      </c>
      <c r="I222" s="641"/>
      <c r="J222" s="641"/>
      <c r="K222" s="641"/>
      <c r="L222" s="149" t="str">
        <f t="shared" si="15"/>
        <v>414C</v>
      </c>
      <c r="M222" s="150" t="str">
        <f t="shared" si="16"/>
        <v>I4 M60 XDRIVE GRAN COUPE</v>
      </c>
      <c r="N222" s="151">
        <f>+IF(OR($Q222=Parametres!$G$2,$Q222=Parametres!$G$3),I222,C222)</f>
        <v>-190208.98</v>
      </c>
      <c r="O222" s="151">
        <f>+IF(OR($Q222=Parametres!$G$2,$Q222=Parametres!$G$3),J222,D222)</f>
        <v>0</v>
      </c>
      <c r="P222" s="151">
        <f>+IF(OR($Q222=Parametres!$G$2,$Q222=Parametres!$G$3),K222,E222)</f>
        <v>-190208.98</v>
      </c>
      <c r="Q222" s="150" t="str">
        <f t="shared" si="17"/>
        <v>5-Ventes</v>
      </c>
      <c r="R222" s="149" t="str">
        <f t="shared" si="18"/>
        <v>414C</v>
      </c>
      <c r="S222" s="150" t="str">
        <f t="shared" si="19"/>
        <v>_</v>
      </c>
      <c r="T222" s="152" t="str">
        <f>+VLOOKUP($L222,Data_Validation!$A:$D,1,0)</f>
        <v>414C</v>
      </c>
      <c r="U222" s="152" t="str">
        <f>+VLOOKUP($L222,Data_Validation!$A:$D,3,0)</f>
        <v>Véhicules neufs</v>
      </c>
      <c r="V222" s="152" t="str">
        <f>+VLOOKUP($L222,Data_Validation!$A:$D,4,0)</f>
        <v>Autos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2879</v>
      </c>
      <c r="B223" s="685" t="s">
        <v>2880</v>
      </c>
      <c r="C223" s="687">
        <v>-158768.28</v>
      </c>
      <c r="D223" s="687">
        <v>0</v>
      </c>
      <c r="E223" s="687">
        <v>-158768.28</v>
      </c>
      <c r="F223" s="685" t="s">
        <v>2006</v>
      </c>
      <c r="G223" s="685" t="s">
        <v>2880</v>
      </c>
      <c r="H223" s="641" t="s">
        <v>3074</v>
      </c>
      <c r="I223" s="640"/>
      <c r="J223" s="640"/>
      <c r="K223" s="640"/>
      <c r="L223" s="149" t="str">
        <f t="shared" si="15"/>
        <v>415A</v>
      </c>
      <c r="M223" s="150" t="str">
        <f t="shared" si="16"/>
        <v>VTES -VTE - 750e xDRIVE</v>
      </c>
      <c r="N223" s="151">
        <f>+IF(OR($Q223=Parametres!$G$2,$Q223=Parametres!$G$3),I223,C223)</f>
        <v>-158768.28</v>
      </c>
      <c r="O223" s="496">
        <f>+IF(OR($Q223=Parametres!$G$2,$Q223=Parametres!$G$3),J223,D223)</f>
        <v>0</v>
      </c>
      <c r="P223" s="151">
        <f>+IF(OR($Q223=Parametres!$G$2,$Q223=Parametres!$G$3),K223,E223)</f>
        <v>-158768.28</v>
      </c>
      <c r="Q223" s="150" t="str">
        <f t="shared" si="17"/>
        <v>5-Ventes</v>
      </c>
      <c r="R223" s="149" t="str">
        <f t="shared" si="18"/>
        <v>415A</v>
      </c>
      <c r="S223" s="150" t="str">
        <f t="shared" si="19"/>
        <v>_</v>
      </c>
      <c r="T223" s="152" t="str">
        <f>+VLOOKUP($L223,Data_Validation!$A:$D,1,0)</f>
        <v>415A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1081</v>
      </c>
      <c r="B224" s="685" t="s">
        <v>410</v>
      </c>
      <c r="C224" s="687">
        <v>-1097714.68</v>
      </c>
      <c r="D224" s="687">
        <v>-315501.69</v>
      </c>
      <c r="E224" s="687">
        <v>-1413216.37</v>
      </c>
      <c r="F224" s="685" t="s">
        <v>2006</v>
      </c>
      <c r="G224" s="685" t="s">
        <v>410</v>
      </c>
      <c r="H224" s="641" t="s">
        <v>3074</v>
      </c>
      <c r="I224" s="640"/>
      <c r="J224" s="640"/>
      <c r="K224" s="640"/>
      <c r="L224" s="149" t="str">
        <f t="shared" si="15"/>
        <v>416</v>
      </c>
      <c r="M224" s="150" t="str">
        <f t="shared" si="16"/>
        <v>VTE - X1 XDRIVE 28I</v>
      </c>
      <c r="N224" s="151">
        <f>+IF(OR($Q224=Parametres!$G$2,$Q224=Parametres!$G$3),I224,C224)</f>
        <v>-1097714.68</v>
      </c>
      <c r="O224" s="496">
        <f>+IF(OR($Q224=Parametres!$G$2,$Q224=Parametres!$G$3),J224,D224)</f>
        <v>-315501.69</v>
      </c>
      <c r="P224" s="151">
        <f>+IF(OR($Q224=Parametres!$G$2,$Q224=Parametres!$G$3),K224,E224)</f>
        <v>-1413216.37</v>
      </c>
      <c r="Q224" s="150" t="str">
        <f t="shared" si="17"/>
        <v>5-Ventes</v>
      </c>
      <c r="R224" s="149" t="str">
        <f t="shared" si="18"/>
        <v>416</v>
      </c>
      <c r="S224" s="150" t="str">
        <f t="shared" si="19"/>
        <v>_</v>
      </c>
      <c r="T224" s="152" t="str">
        <f>+VLOOKUP($L224,Data_Validation!$A:$D,1,0)</f>
        <v>416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2525</v>
      </c>
      <c r="B225" s="685" t="s">
        <v>2526</v>
      </c>
      <c r="C225" s="1038">
        <v>-218738.29</v>
      </c>
      <c r="D225" s="1038">
        <v>-141154.73000000001</v>
      </c>
      <c r="E225" s="1038">
        <v>-359893.02</v>
      </c>
      <c r="F225" s="685" t="s">
        <v>2006</v>
      </c>
      <c r="G225" s="685" t="s">
        <v>2526</v>
      </c>
      <c r="H225" s="686" t="s">
        <v>3074</v>
      </c>
      <c r="I225" s="687"/>
      <c r="J225" s="687"/>
      <c r="K225" s="687"/>
      <c r="L225" s="149" t="str">
        <f t="shared" si="15"/>
        <v>416A</v>
      </c>
      <c r="M225" s="150" t="str">
        <f t="shared" si="16"/>
        <v>VTES -VTE - X1 M35i xDRIVE</v>
      </c>
      <c r="N225" s="151">
        <f>+IF(OR($Q225=Parametres!$G$2,$Q225=Parametres!$G$3),I225,C225)</f>
        <v>-218738.29</v>
      </c>
      <c r="O225" s="151">
        <f>+IF(OR($Q225=Parametres!$G$2,$Q225=Parametres!$G$3),J225,D225)</f>
        <v>-141154.73000000001</v>
      </c>
      <c r="P225" s="151">
        <f>+IF(OR($Q225=Parametres!$G$2,$Q225=Parametres!$G$3),K225,E225)</f>
        <v>-359893.02</v>
      </c>
      <c r="Q225" s="150" t="str">
        <f t="shared" si="17"/>
        <v>5-Ventes</v>
      </c>
      <c r="R225" s="149" t="str">
        <f t="shared" si="18"/>
        <v>416A</v>
      </c>
      <c r="S225" s="150" t="str">
        <f t="shared" si="19"/>
        <v>_</v>
      </c>
      <c r="T225" s="152" t="str">
        <f>+VLOOKUP($L225,Data_Validation!$A:$D,1,0)</f>
        <v>416A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1094</v>
      </c>
      <c r="B226" s="685" t="s">
        <v>616</v>
      </c>
      <c r="C226" s="1038">
        <v>-1859948.95</v>
      </c>
      <c r="D226" s="1038">
        <v>-143666.49</v>
      </c>
      <c r="E226" s="1038">
        <v>-2003615.44</v>
      </c>
      <c r="F226" s="685" t="s">
        <v>2006</v>
      </c>
      <c r="G226" s="685" t="s">
        <v>616</v>
      </c>
      <c r="H226" s="686" t="s">
        <v>3074</v>
      </c>
      <c r="I226" s="687"/>
      <c r="J226" s="687"/>
      <c r="K226" s="687"/>
      <c r="L226" s="149" t="str">
        <f t="shared" si="15"/>
        <v>418</v>
      </c>
      <c r="M226" s="150" t="str">
        <f t="shared" si="16"/>
        <v>VTE - AUTRES MODELES BMW</v>
      </c>
      <c r="N226" s="151">
        <f>+IF(OR($Q226=Parametres!$G$2,$Q226=Parametres!$G$3),I226,C226)</f>
        <v>-1859948.95</v>
      </c>
      <c r="O226" s="493">
        <f>+IF(OR($Q226=Parametres!$G$2,$Q226=Parametres!$G$3),J226,D226)</f>
        <v>-143666.49</v>
      </c>
      <c r="P226" s="151">
        <f>+IF(OR($Q226=Parametres!$G$2,$Q226=Parametres!$G$3),K226,E226)</f>
        <v>-2003615.44</v>
      </c>
      <c r="Q226" s="150" t="str">
        <f t="shared" si="17"/>
        <v>5-Ventes</v>
      </c>
      <c r="R226" s="149" t="str">
        <f t="shared" si="18"/>
        <v>418</v>
      </c>
      <c r="S226" s="150" t="str">
        <f t="shared" si="19"/>
        <v>_</v>
      </c>
      <c r="T226" s="152" t="str">
        <f>+VLOOKUP($L226,Data_Validation!$A:$D,1,0)</f>
        <v>418</v>
      </c>
      <c r="U226" s="152" t="str">
        <f>+VLOOKUP($L226,Data_Validation!$A:$D,3,0)</f>
        <v>Véhicules neufs</v>
      </c>
      <c r="V226" s="152" t="str">
        <f>+VLOOKUP($L226,Data_Validation!$A:$D,4,0)</f>
        <v>Ex-Démos et courtoisies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1382</v>
      </c>
      <c r="B227" s="685" t="s">
        <v>409</v>
      </c>
      <c r="C227" s="1038">
        <v>-304574.36</v>
      </c>
      <c r="D227" s="1038">
        <v>0</v>
      </c>
      <c r="E227" s="1038">
        <v>-304574.36</v>
      </c>
      <c r="F227" s="685" t="s">
        <v>2006</v>
      </c>
      <c r="G227" s="685" t="s">
        <v>616</v>
      </c>
      <c r="H227" s="686" t="s">
        <v>3074</v>
      </c>
      <c r="I227" s="687"/>
      <c r="J227" s="687"/>
      <c r="K227" s="687"/>
      <c r="L227" s="149" t="str">
        <f t="shared" si="15"/>
        <v>418A</v>
      </c>
      <c r="M227" s="150" t="str">
        <f t="shared" si="16"/>
        <v>VTE - AUTRES MODELES BMW CAMION</v>
      </c>
      <c r="N227" s="151">
        <f>+IF(OR($Q227=Parametres!$G$2,$Q227=Parametres!$G$3),I227,C227)</f>
        <v>-304574.36</v>
      </c>
      <c r="O227" s="151">
        <f>+IF(OR($Q227=Parametres!$G$2,$Q227=Parametres!$G$3),J227,D227)</f>
        <v>0</v>
      </c>
      <c r="P227" s="151">
        <f>+IF(OR($Q227=Parametres!$G$2,$Q227=Parametres!$G$3),K227,E227)</f>
        <v>-304574.36</v>
      </c>
      <c r="Q227" s="150" t="str">
        <f t="shared" si="17"/>
        <v>5-Ventes</v>
      </c>
      <c r="R227" s="149" t="str">
        <f t="shared" si="18"/>
        <v>418</v>
      </c>
      <c r="S227" s="150" t="str">
        <f t="shared" si="19"/>
        <v>_</v>
      </c>
      <c r="T227" s="152" t="str">
        <f>+VLOOKUP($L227,Data_Validation!$A:$D,1,0)</f>
        <v>418A</v>
      </c>
      <c r="U227" s="152" t="str">
        <f>+VLOOKUP($L227,Data_Validation!$A:$D,3,0)</f>
        <v>Véhicules neufs</v>
      </c>
      <c r="V227" s="152" t="str">
        <f>+VLOOKUP($L227,Data_Validation!$A:$D,4,0)</f>
        <v>Ex-Démos et courtoisies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1383</v>
      </c>
      <c r="B228" s="685" t="s">
        <v>423</v>
      </c>
      <c r="C228" s="1038">
        <v>-1103548.81</v>
      </c>
      <c r="D228" s="1038">
        <v>-109932</v>
      </c>
      <c r="E228" s="1038">
        <v>-1213480.81</v>
      </c>
      <c r="F228" s="685" t="s">
        <v>2006</v>
      </c>
      <c r="G228" s="685" t="s">
        <v>423</v>
      </c>
      <c r="H228" s="686" t="s">
        <v>3074</v>
      </c>
      <c r="I228" s="687"/>
      <c r="J228" s="687"/>
      <c r="K228" s="687"/>
      <c r="L228" s="149" t="str">
        <f t="shared" si="15"/>
        <v>419</v>
      </c>
      <c r="M228" s="150" t="str">
        <f t="shared" si="16"/>
        <v>VTE - FLEET VOITURE BMW</v>
      </c>
      <c r="N228" s="151">
        <f>+IF(OR($Q228=Parametres!$G$2,$Q228=Parametres!$G$3),I228,C228)</f>
        <v>-1103548.81</v>
      </c>
      <c r="O228" s="151">
        <f>+IF(OR($Q228=Parametres!$G$2,$Q228=Parametres!$G$3),J228,D228)</f>
        <v>-109932</v>
      </c>
      <c r="P228" s="151">
        <f>+IF(OR($Q228=Parametres!$G$2,$Q228=Parametres!$G$3),K228,E228)</f>
        <v>-1213480.81</v>
      </c>
      <c r="Q228" s="150" t="str">
        <f t="shared" si="17"/>
        <v>5-Ventes</v>
      </c>
      <c r="R228" s="149" t="str">
        <f t="shared" si="18"/>
        <v>419</v>
      </c>
      <c r="S228" s="150" t="str">
        <f t="shared" si="19"/>
        <v>_</v>
      </c>
      <c r="T228" s="152" t="str">
        <f>+VLOOKUP($L228,Data_Validation!$A:$D,1,0)</f>
        <v>419</v>
      </c>
      <c r="U228" s="152" t="str">
        <f>+VLOOKUP($L228,Data_Validation!$A:$D,3,0)</f>
        <v>Véhicules neufs</v>
      </c>
      <c r="V228" s="152" t="str">
        <f>+VLOOKUP($L228,Data_Validation!$A:$D,4,0)</f>
        <v>Flottes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1384</v>
      </c>
      <c r="B229" s="685" t="s">
        <v>412</v>
      </c>
      <c r="C229" s="687">
        <v>-396570.35</v>
      </c>
      <c r="D229" s="687">
        <v>-74532.399999999994</v>
      </c>
      <c r="E229" s="687">
        <v>-471102.75</v>
      </c>
      <c r="F229" s="685" t="s">
        <v>2006</v>
      </c>
      <c r="G229" s="685" t="s">
        <v>412</v>
      </c>
      <c r="H229" s="641" t="s">
        <v>3074</v>
      </c>
      <c r="I229" s="641"/>
      <c r="J229" s="641"/>
      <c r="K229" s="641"/>
      <c r="L229" s="149" t="str">
        <f t="shared" si="15"/>
        <v>419A</v>
      </c>
      <c r="M229" s="150" t="str">
        <f t="shared" si="16"/>
        <v>VTE - FLEET CAMION BMW</v>
      </c>
      <c r="N229" s="151">
        <f>+IF(OR($Q229=Parametres!$G$2,$Q229=Parametres!$G$3),I229,C229)</f>
        <v>-396570.35</v>
      </c>
      <c r="O229" s="151">
        <f>+IF(OR($Q229=Parametres!$G$2,$Q229=Parametres!$G$3),J229,D229)</f>
        <v>-74532.399999999994</v>
      </c>
      <c r="P229" s="151">
        <f>+IF(OR($Q229=Parametres!$G$2,$Q229=Parametres!$G$3),K229,E229)</f>
        <v>-471102.75</v>
      </c>
      <c r="Q229" s="150" t="str">
        <f t="shared" si="17"/>
        <v>5-Ventes</v>
      </c>
      <c r="R229" s="149" t="str">
        <f t="shared" si="18"/>
        <v>419A</v>
      </c>
      <c r="S229" s="150" t="str">
        <f t="shared" si="19"/>
        <v>_</v>
      </c>
      <c r="T229" s="152" t="str">
        <f>+VLOOKUP($L229,Data_Validation!$A:$D,1,0)</f>
        <v>419A</v>
      </c>
      <c r="U229" s="152" t="str">
        <f>+VLOOKUP($L229,Data_Validation!$A:$D,3,0)</f>
        <v>Véhicules neufs</v>
      </c>
      <c r="V229" s="152" t="str">
        <f>+VLOOKUP($L229,Data_Validation!$A:$D,4,0)</f>
        <v>Flottes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1385</v>
      </c>
      <c r="B230" s="685" t="s">
        <v>419</v>
      </c>
      <c r="C230" s="687">
        <v>-324980.99</v>
      </c>
      <c r="D230" s="687">
        <v>0</v>
      </c>
      <c r="E230" s="687">
        <v>-324980.99</v>
      </c>
      <c r="F230" s="685" t="s">
        <v>2006</v>
      </c>
      <c r="G230" s="685" t="s">
        <v>419</v>
      </c>
      <c r="H230" s="641" t="s">
        <v>3074</v>
      </c>
      <c r="I230" s="640"/>
      <c r="J230" s="640"/>
      <c r="K230" s="640"/>
      <c r="L230" s="149" t="str">
        <f t="shared" si="15"/>
        <v>422A</v>
      </c>
      <c r="M230" s="150" t="str">
        <f t="shared" si="16"/>
        <v>VTE - X6 XDRIVE 35I</v>
      </c>
      <c r="N230" s="151">
        <f>+IF(OR($Q230=Parametres!$G$2,$Q230=Parametres!$G$3),I230,C230)</f>
        <v>-324980.99</v>
      </c>
      <c r="O230" s="151">
        <f>+IF(OR($Q230=Parametres!$G$2,$Q230=Parametres!$G$3),J230,D230)</f>
        <v>0</v>
      </c>
      <c r="P230" s="151">
        <f>+IF(OR($Q230=Parametres!$G$2,$Q230=Parametres!$G$3),K230,E230)</f>
        <v>-324980.99</v>
      </c>
      <c r="Q230" s="150" t="str">
        <f t="shared" si="17"/>
        <v>5-Ventes</v>
      </c>
      <c r="R230" s="149" t="str">
        <f t="shared" si="18"/>
        <v>422A</v>
      </c>
      <c r="S230" s="150" t="str">
        <f t="shared" si="19"/>
        <v>_</v>
      </c>
      <c r="T230" s="152" t="str">
        <f>+VLOOKUP($L230,Data_Validation!$A:$D,1,0)</f>
        <v>422A</v>
      </c>
      <c r="U230" s="152" t="str">
        <f>+VLOOKUP($L230,Data_Validation!$A:$D,3,0)</f>
        <v>Véhicules neufs</v>
      </c>
      <c r="V230" s="152" t="str">
        <f>+VLOOKUP($L230,Data_Validation!$A:$D,4,0)</f>
        <v>Camions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2548</v>
      </c>
      <c r="B231" s="685" t="s">
        <v>2549</v>
      </c>
      <c r="C231" s="1038">
        <v>-242224.71</v>
      </c>
      <c r="D231" s="1038">
        <v>-137779.49</v>
      </c>
      <c r="E231" s="1038">
        <v>-380004.2</v>
      </c>
      <c r="F231" s="685" t="s">
        <v>2006</v>
      </c>
      <c r="G231" s="685" t="s">
        <v>2549</v>
      </c>
      <c r="H231" s="686" t="s">
        <v>3074</v>
      </c>
      <c r="I231" s="687"/>
      <c r="J231" s="687"/>
      <c r="K231" s="687"/>
      <c r="L231" s="149" t="str">
        <f t="shared" si="15"/>
        <v>422C</v>
      </c>
      <c r="M231" s="150" t="str">
        <f t="shared" si="16"/>
        <v>VTES -VTE - X6 M60i</v>
      </c>
      <c r="N231" s="151">
        <f>+IF(OR($Q231=Parametres!$G$2,$Q231=Parametres!$G$3),I231,C231)</f>
        <v>-242224.71</v>
      </c>
      <c r="O231" s="151">
        <f>+IF(OR($Q231=Parametres!$G$2,$Q231=Parametres!$G$3),J231,D231)</f>
        <v>-137779.49</v>
      </c>
      <c r="P231" s="151">
        <f>+IF(OR($Q231=Parametres!$G$2,$Q231=Parametres!$G$3),K231,E231)</f>
        <v>-380004.2</v>
      </c>
      <c r="Q231" s="150" t="str">
        <f t="shared" si="17"/>
        <v>5-Ventes</v>
      </c>
      <c r="R231" s="149" t="str">
        <f t="shared" si="18"/>
        <v>422C</v>
      </c>
      <c r="S231" s="150" t="str">
        <f t="shared" si="19"/>
        <v>_</v>
      </c>
      <c r="T231" s="152" t="str">
        <f>+VLOOKUP($L231,Data_Validation!$A:$D,1,0)</f>
        <v>422C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1386</v>
      </c>
      <c r="B232" s="685" t="s">
        <v>617</v>
      </c>
      <c r="C232" s="687">
        <v>-897605.6</v>
      </c>
      <c r="D232" s="687">
        <v>0</v>
      </c>
      <c r="E232" s="687">
        <v>-897605.6</v>
      </c>
      <c r="F232" s="685" t="s">
        <v>2006</v>
      </c>
      <c r="G232" s="685" t="s">
        <v>617</v>
      </c>
      <c r="H232" s="641" t="s">
        <v>3074</v>
      </c>
      <c r="I232" s="640"/>
      <c r="J232" s="640"/>
      <c r="K232" s="640"/>
      <c r="L232" s="149" t="str">
        <f t="shared" si="15"/>
        <v>423C</v>
      </c>
      <c r="M232" s="150" t="str">
        <f t="shared" si="16"/>
        <v>VTES -X3 XDRIVE 30E</v>
      </c>
      <c r="N232" s="151">
        <f>+IF(OR($Q232=Parametres!$G$2,$Q232=Parametres!$G$3),I232,C232)</f>
        <v>-897605.6</v>
      </c>
      <c r="O232" s="151">
        <f>+IF(OR($Q232=Parametres!$G$2,$Q232=Parametres!$G$3),J232,D232)</f>
        <v>0</v>
      </c>
      <c r="P232" s="151">
        <f>+IF(OR($Q232=Parametres!$G$2,$Q232=Parametres!$G$3),K232,E232)</f>
        <v>-897605.6</v>
      </c>
      <c r="Q232" s="150" t="str">
        <f t="shared" si="17"/>
        <v>5-Ventes</v>
      </c>
      <c r="R232" s="149" t="str">
        <f t="shared" si="18"/>
        <v>423C</v>
      </c>
      <c r="S232" s="150" t="str">
        <f t="shared" si="19"/>
        <v>_</v>
      </c>
      <c r="T232" s="152" t="str">
        <f>+VLOOKUP($L232,Data_Validation!$A:$D,1,0)</f>
        <v>423C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1077</v>
      </c>
      <c r="B233" s="685" t="s">
        <v>618</v>
      </c>
      <c r="C233" s="687">
        <v>-334152.95</v>
      </c>
      <c r="D233" s="687">
        <v>-297967.40000000002</v>
      </c>
      <c r="E233" s="687">
        <v>-632120.35</v>
      </c>
      <c r="F233" s="685" t="s">
        <v>2006</v>
      </c>
      <c r="G233" s="685" t="s">
        <v>618</v>
      </c>
      <c r="H233" s="641" t="s">
        <v>3074</v>
      </c>
      <c r="I233" s="640"/>
      <c r="J233" s="640"/>
      <c r="K233" s="640"/>
      <c r="L233" s="149" t="str">
        <f t="shared" si="15"/>
        <v>423D</v>
      </c>
      <c r="M233" s="150" t="str">
        <f t="shared" si="16"/>
        <v>VTES -VTE - X5 XDRIVE 35I/ X5 XDRIVE 40I</v>
      </c>
      <c r="N233" s="151">
        <f>+IF(OR($Q233=Parametres!$G$2,$Q233=Parametres!$G$3),I233,C233)</f>
        <v>-334152.95</v>
      </c>
      <c r="O233" s="151">
        <f>+IF(OR($Q233=Parametres!$G$2,$Q233=Parametres!$G$3),J233,D233)</f>
        <v>-297967.40000000002</v>
      </c>
      <c r="P233" s="151">
        <f>+IF(OR($Q233=Parametres!$G$2,$Q233=Parametres!$G$3),K233,E233)</f>
        <v>-632120.35</v>
      </c>
      <c r="Q233" s="150" t="str">
        <f t="shared" si="17"/>
        <v>5-Ventes</v>
      </c>
      <c r="R233" s="149" t="str">
        <f t="shared" si="18"/>
        <v>423D</v>
      </c>
      <c r="S233" s="150" t="str">
        <f t="shared" si="19"/>
        <v>_</v>
      </c>
      <c r="T233" s="152" t="str">
        <f>+VLOOKUP($L233,Data_Validation!$A:$D,1,0)</f>
        <v>423D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2484</v>
      </c>
      <c r="B234" s="685" t="s">
        <v>2485</v>
      </c>
      <c r="C234" s="1038">
        <v>-681301.97</v>
      </c>
      <c r="D234" s="1038">
        <v>0</v>
      </c>
      <c r="E234" s="1038">
        <v>-681301.97</v>
      </c>
      <c r="F234" s="685" t="s">
        <v>2006</v>
      </c>
      <c r="G234" s="685" t="s">
        <v>2485</v>
      </c>
      <c r="H234" s="686" t="s">
        <v>3074</v>
      </c>
      <c r="I234" s="687"/>
      <c r="J234" s="687"/>
      <c r="K234" s="687"/>
      <c r="L234" s="149" t="str">
        <f t="shared" si="15"/>
        <v>423F</v>
      </c>
      <c r="M234" s="150" t="str">
        <f t="shared" si="16"/>
        <v>VTES -VTE - X5 xDRIVE50e</v>
      </c>
      <c r="N234" s="151">
        <f>+IF(OR($Q234=Parametres!$G$2,$Q234=Parametres!$G$3),I234,C234)</f>
        <v>-681301.97</v>
      </c>
      <c r="O234" s="151">
        <f>+IF(OR($Q234=Parametres!$G$2,$Q234=Parametres!$G$3),J234,D234)</f>
        <v>0</v>
      </c>
      <c r="P234" s="151">
        <f>+IF(OR($Q234=Parametres!$G$2,$Q234=Parametres!$G$3),K234,E234)</f>
        <v>-681301.97</v>
      </c>
      <c r="Q234" s="150" t="str">
        <f t="shared" si="17"/>
        <v>5-Ventes</v>
      </c>
      <c r="R234" s="149" t="str">
        <f t="shared" si="18"/>
        <v>423F</v>
      </c>
      <c r="S234" s="150" t="str">
        <f t="shared" si="19"/>
        <v>_</v>
      </c>
      <c r="T234" s="152" t="str">
        <f>+VLOOKUP($L234,Data_Validation!$A:$D,1,0)</f>
        <v>423F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3028</v>
      </c>
      <c r="B235" s="685" t="s">
        <v>3029</v>
      </c>
      <c r="C235" s="687">
        <v>-115339.98</v>
      </c>
      <c r="D235" s="687">
        <v>-69779.490000000005</v>
      </c>
      <c r="E235" s="687">
        <v>-185119.47</v>
      </c>
      <c r="F235" s="685" t="s">
        <v>2006</v>
      </c>
      <c r="G235" s="685" t="s">
        <v>3094</v>
      </c>
      <c r="H235" s="641" t="s">
        <v>3074</v>
      </c>
      <c r="I235" s="640"/>
      <c r="J235" s="640"/>
      <c r="K235" s="640"/>
      <c r="L235" s="149" t="str">
        <f t="shared" si="15"/>
        <v>424A</v>
      </c>
      <c r="M235" s="150" t="str">
        <f t="shared" si="16"/>
        <v>X3 30 XDRIVE</v>
      </c>
      <c r="N235" s="151">
        <f>+IF(OR($Q235=Parametres!$G$2,$Q235=Parametres!$G$3),I235,C235)</f>
        <v>-115339.98</v>
      </c>
      <c r="O235" s="151">
        <f>+IF(OR($Q235=Parametres!$G$2,$Q235=Parametres!$G$3),J235,D235)</f>
        <v>-69779.490000000005</v>
      </c>
      <c r="P235" s="151">
        <f>+IF(OR($Q235=Parametres!$G$2,$Q235=Parametres!$G$3),K235,E235)</f>
        <v>-185119.47</v>
      </c>
      <c r="Q235" s="150" t="str">
        <f t="shared" si="17"/>
        <v>5-Ventes</v>
      </c>
      <c r="R235" s="149" t="str">
        <f t="shared" si="18"/>
        <v>424</v>
      </c>
      <c r="S235" s="150" t="str">
        <f t="shared" si="19"/>
        <v>_</v>
      </c>
      <c r="T235" s="152" t="str">
        <f>+VLOOKUP($L235,Data_Validation!$A:$D,1,0)</f>
        <v>424A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2527</v>
      </c>
      <c r="B236" s="685" t="s">
        <v>2528</v>
      </c>
      <c r="C236" s="687">
        <v>-119087.79</v>
      </c>
      <c r="D236" s="687">
        <v>0</v>
      </c>
      <c r="E236" s="687">
        <v>-119087.79</v>
      </c>
      <c r="F236" s="685" t="s">
        <v>2006</v>
      </c>
      <c r="G236" s="685" t="s">
        <v>2528</v>
      </c>
      <c r="H236" s="641" t="s">
        <v>3074</v>
      </c>
      <c r="I236" s="640"/>
      <c r="J236" s="640"/>
      <c r="K236" s="640"/>
      <c r="L236" s="149" t="str">
        <f t="shared" si="15"/>
        <v>424E</v>
      </c>
      <c r="M236" s="150" t="str">
        <f t="shared" si="16"/>
        <v>VTES -VTE - i5 M60 xDRIVE</v>
      </c>
      <c r="N236" s="151">
        <f>+IF(OR($Q236=Parametres!$G$2,$Q236=Parametres!$G$3),I236,C236)</f>
        <v>-119087.79</v>
      </c>
      <c r="O236" s="151">
        <f>+IF(OR($Q236=Parametres!$G$2,$Q236=Parametres!$G$3),J236,D236)</f>
        <v>0</v>
      </c>
      <c r="P236" s="151">
        <f>+IF(OR($Q236=Parametres!$G$2,$Q236=Parametres!$G$3),K236,E236)</f>
        <v>-119087.79</v>
      </c>
      <c r="Q236" s="150" t="str">
        <f t="shared" si="17"/>
        <v>5-Ventes</v>
      </c>
      <c r="R236" s="149" t="str">
        <f t="shared" si="18"/>
        <v>424E</v>
      </c>
      <c r="S236" s="150" t="str">
        <f t="shared" si="19"/>
        <v>_</v>
      </c>
      <c r="T236" s="152" t="str">
        <f>+VLOOKUP($L236,Data_Validation!$A:$D,1,0)</f>
        <v>424E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2007</v>
      </c>
      <c r="B237" s="685" t="s">
        <v>2008</v>
      </c>
      <c r="C237" s="687">
        <v>-106169.5</v>
      </c>
      <c r="D237" s="687">
        <v>0</v>
      </c>
      <c r="E237" s="687">
        <v>-106169.5</v>
      </c>
      <c r="F237" s="685" t="s">
        <v>2006</v>
      </c>
      <c r="G237" s="685" t="s">
        <v>2008</v>
      </c>
      <c r="H237" s="634" t="s">
        <v>3074</v>
      </c>
      <c r="I237" s="633"/>
      <c r="J237" s="633"/>
      <c r="K237" s="633"/>
      <c r="L237" s="149" t="str">
        <f t="shared" si="15"/>
        <v>426A</v>
      </c>
      <c r="M237" s="150" t="str">
        <f t="shared" si="16"/>
        <v>VTES -VTE - 530I XDRIVE</v>
      </c>
      <c r="N237" s="151">
        <f>+IF(OR($Q237=Parametres!$G$2,$Q237=Parametres!$G$3),I237,C237)</f>
        <v>-106169.5</v>
      </c>
      <c r="O237" s="151">
        <f>+IF(OR($Q237=Parametres!$G$2,$Q237=Parametres!$G$3),J237,D237)</f>
        <v>0</v>
      </c>
      <c r="P237" s="151">
        <f>+IF(OR($Q237=Parametres!$G$2,$Q237=Parametres!$G$3),K237,E237)</f>
        <v>-106169.5</v>
      </c>
      <c r="Q237" s="150" t="str">
        <f t="shared" si="17"/>
        <v>5-Ventes</v>
      </c>
      <c r="R237" s="149" t="str">
        <f t="shared" si="18"/>
        <v>426A</v>
      </c>
      <c r="S237" s="150" t="str">
        <f t="shared" si="19"/>
        <v>_</v>
      </c>
      <c r="T237" s="152" t="str">
        <f>+VLOOKUP($L237,Data_Validation!$A:$D,1,0)</f>
        <v>426A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1864</v>
      </c>
      <c r="B238" s="685" t="s">
        <v>625</v>
      </c>
      <c r="C238" s="687">
        <v>-471604.98</v>
      </c>
      <c r="D238" s="687">
        <v>0</v>
      </c>
      <c r="E238" s="687">
        <v>-471604.98</v>
      </c>
      <c r="F238" s="685" t="s">
        <v>2006</v>
      </c>
      <c r="G238" s="685" t="s">
        <v>625</v>
      </c>
      <c r="H238" s="641" t="s">
        <v>3074</v>
      </c>
      <c r="I238" s="640"/>
      <c r="J238" s="640"/>
      <c r="K238" s="640"/>
      <c r="L238" s="149" t="str">
        <f t="shared" si="15"/>
        <v>430</v>
      </c>
      <c r="M238" s="150" t="str">
        <f t="shared" si="16"/>
        <v>VTE - M5 SEDAN</v>
      </c>
      <c r="N238" s="151">
        <f>+IF(OR($Q238=Parametres!$G$2,$Q238=Parametres!$G$3),I238,C238)</f>
        <v>-471604.98</v>
      </c>
      <c r="O238" s="151">
        <f>+IF(OR($Q238=Parametres!$G$2,$Q238=Parametres!$G$3),J238,D238)</f>
        <v>0</v>
      </c>
      <c r="P238" s="151">
        <f>+IF(OR($Q238=Parametres!$G$2,$Q238=Parametres!$G$3),K238,E238)</f>
        <v>-471604.98</v>
      </c>
      <c r="Q238" s="150" t="str">
        <f t="shared" si="17"/>
        <v>5-Ventes</v>
      </c>
      <c r="R238" s="149" t="str">
        <f t="shared" si="18"/>
        <v>430</v>
      </c>
      <c r="S238" s="150" t="str">
        <f t="shared" si="19"/>
        <v>_</v>
      </c>
      <c r="T238" s="152" t="str">
        <f>+VLOOKUP($L238,Data_Validation!$A:$D,1,0)</f>
        <v>430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1136</v>
      </c>
      <c r="B239" s="685" t="s">
        <v>1014</v>
      </c>
      <c r="C239" s="687">
        <v>-58683.95</v>
      </c>
      <c r="D239" s="687">
        <v>-9159.99</v>
      </c>
      <c r="E239" s="687">
        <v>-67843.94</v>
      </c>
      <c r="F239" s="685" t="s">
        <v>2006</v>
      </c>
      <c r="G239" s="685" t="s">
        <v>625</v>
      </c>
      <c r="H239" s="641" t="s">
        <v>3074</v>
      </c>
      <c r="I239" s="640"/>
      <c r="J239" s="640"/>
      <c r="K239" s="640"/>
      <c r="L239" s="149" t="str">
        <f t="shared" si="15"/>
        <v>430A</v>
      </c>
      <c r="M239" s="150" t="str">
        <f t="shared" si="16"/>
        <v>VTES -VTE - MARQUAGE NEUF BMW AUTO</v>
      </c>
      <c r="N239" s="151">
        <f>+IF(OR($Q239=Parametres!$G$2,$Q239=Parametres!$G$3),I239,C239)</f>
        <v>-58683.95</v>
      </c>
      <c r="O239" s="151">
        <f>+IF(OR($Q239=Parametres!$G$2,$Q239=Parametres!$G$3),J239,D239)</f>
        <v>-9159.99</v>
      </c>
      <c r="P239" s="151">
        <f>+IF(OR($Q239=Parametres!$G$2,$Q239=Parametres!$G$3),K239,E239)</f>
        <v>-67843.94</v>
      </c>
      <c r="Q239" s="150" t="str">
        <f t="shared" si="17"/>
        <v>5-Ventes</v>
      </c>
      <c r="R239" s="149" t="str">
        <f t="shared" si="18"/>
        <v>430</v>
      </c>
      <c r="S239" s="150" t="str">
        <f t="shared" si="19"/>
        <v>_</v>
      </c>
      <c r="T239" s="152" t="str">
        <f>+VLOOKUP($L239,Data_Validation!$A:$D,1,0)</f>
        <v>430A</v>
      </c>
      <c r="U239" s="152" t="str">
        <f>+VLOOKUP($L239,Data_Validation!$A:$D,3,0)</f>
        <v>Véhicules neufs</v>
      </c>
      <c r="V239" s="152" t="str">
        <f>+VLOOKUP($L239,Data_Validation!$A:$D,4,0)</f>
        <v>Rev. Autres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1390</v>
      </c>
      <c r="B240" s="685" t="s">
        <v>1016</v>
      </c>
      <c r="C240" s="1038">
        <v>-55469.02</v>
      </c>
      <c r="D240" s="1038">
        <v>-3999</v>
      </c>
      <c r="E240" s="1038">
        <v>-59468.02</v>
      </c>
      <c r="F240" s="685" t="s">
        <v>2006</v>
      </c>
      <c r="G240" s="685" t="s">
        <v>625</v>
      </c>
      <c r="H240" s="686" t="s">
        <v>3074</v>
      </c>
      <c r="I240" s="687"/>
      <c r="J240" s="687"/>
      <c r="K240" s="687"/>
      <c r="L240" s="149" t="str">
        <f t="shared" si="15"/>
        <v>430C</v>
      </c>
      <c r="M240" s="150" t="str">
        <f t="shared" si="16"/>
        <v>VTE - ACCESSOIRES NEUFS BMW AUTO</v>
      </c>
      <c r="N240" s="151">
        <f>+IF(OR($Q240=Parametres!$G$2,$Q240=Parametres!$G$3),I240,C240)</f>
        <v>-55469.02</v>
      </c>
      <c r="O240" s="151">
        <f>+IF(OR($Q240=Parametres!$G$2,$Q240=Parametres!$G$3),J240,D240)</f>
        <v>-3999</v>
      </c>
      <c r="P240" s="151">
        <f>+IF(OR($Q240=Parametres!$G$2,$Q240=Parametres!$G$3),K240,E240)</f>
        <v>-59468.02</v>
      </c>
      <c r="Q240" s="150" t="str">
        <f t="shared" si="17"/>
        <v>5-Ventes</v>
      </c>
      <c r="R240" s="149" t="str">
        <f t="shared" si="18"/>
        <v>430</v>
      </c>
      <c r="S240" s="150" t="str">
        <f t="shared" si="19"/>
        <v>_</v>
      </c>
      <c r="T240" s="152" t="str">
        <f>+VLOOKUP($L240,Data_Validation!$A:$D,1,0)</f>
        <v>430C</v>
      </c>
      <c r="U240" s="152" t="str">
        <f>+VLOOKUP($L240,Data_Validation!$A:$D,3,0)</f>
        <v>Véhicules neufs</v>
      </c>
      <c r="V240" s="152" t="str">
        <f>+VLOOKUP($L240,Data_Validation!$A:$D,4,0)</f>
        <v>Rev. Autres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1164</v>
      </c>
      <c r="B241" s="685" t="s">
        <v>1165</v>
      </c>
      <c r="C241" s="1038">
        <v>-100660</v>
      </c>
      <c r="D241" s="1038">
        <v>-10705</v>
      </c>
      <c r="E241" s="1038">
        <v>-111365</v>
      </c>
      <c r="F241" s="685" t="s">
        <v>2006</v>
      </c>
      <c r="G241" s="685" t="s">
        <v>625</v>
      </c>
      <c r="H241" s="686" t="s">
        <v>3074</v>
      </c>
      <c r="I241" s="687"/>
      <c r="J241" s="687"/>
      <c r="K241" s="687"/>
      <c r="L241" s="149" t="str">
        <f t="shared" si="15"/>
        <v>430E</v>
      </c>
      <c r="M241" s="150" t="str">
        <f t="shared" si="16"/>
        <v>VTE - PROTEC ESTHETIQUE NEUF BMW AUTO</v>
      </c>
      <c r="N241" s="151">
        <f>+IF(OR($Q241=Parametres!$G$2,$Q241=Parametres!$G$3),I241,C241)</f>
        <v>-100660</v>
      </c>
      <c r="O241" s="151">
        <f>+IF(OR($Q241=Parametres!$G$2,$Q241=Parametres!$G$3),J241,D241)</f>
        <v>-10705</v>
      </c>
      <c r="P241" s="151">
        <f>+IF(OR($Q241=Parametres!$G$2,$Q241=Parametres!$G$3),K241,E241)</f>
        <v>-111365</v>
      </c>
      <c r="Q241" s="150" t="str">
        <f t="shared" si="17"/>
        <v>5-Ventes</v>
      </c>
      <c r="R241" s="149" t="str">
        <f t="shared" si="18"/>
        <v>430</v>
      </c>
      <c r="S241" s="150" t="str">
        <f t="shared" si="19"/>
        <v>_</v>
      </c>
      <c r="T241" s="152" t="str">
        <f>+VLOOKUP($L241,Data_Validation!$A:$D,1,0)</f>
        <v>430E</v>
      </c>
      <c r="U241" s="152" t="str">
        <f>+VLOOKUP($L241,Data_Validation!$A:$D,3,0)</f>
        <v>Véhicules neufs</v>
      </c>
      <c r="V241" s="152" t="str">
        <f>+VLOOKUP($L241,Data_Validation!$A:$D,4,0)</f>
        <v>Rev. Protections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1391</v>
      </c>
      <c r="B242" s="639" t="s">
        <v>1392</v>
      </c>
      <c r="C242" s="640">
        <v>-4185.67</v>
      </c>
      <c r="D242" s="640">
        <v>0</v>
      </c>
      <c r="E242" s="640">
        <v>-4185.67</v>
      </c>
      <c r="F242" s="639" t="s">
        <v>2006</v>
      </c>
      <c r="G242" s="639" t="s">
        <v>625</v>
      </c>
      <c r="H242" s="634" t="s">
        <v>3074</v>
      </c>
      <c r="I242" s="633"/>
      <c r="J242" s="633"/>
      <c r="K242" s="633"/>
      <c r="L242" s="149" t="str">
        <f t="shared" si="15"/>
        <v>430F</v>
      </c>
      <c r="M242" s="150" t="str">
        <f t="shared" si="16"/>
        <v>VTE - RIST FINANCE NEUF BMW AUTO</v>
      </c>
      <c r="N242" s="151">
        <f>+IF(OR($Q242=Parametres!$G$2,$Q242=Parametres!$G$3),I242,C242)</f>
        <v>-4185.67</v>
      </c>
      <c r="O242" s="151">
        <f>+IF(OR($Q242=Parametres!$G$2,$Q242=Parametres!$G$3),J242,D242)</f>
        <v>0</v>
      </c>
      <c r="P242" s="151">
        <f>+IF(OR($Q242=Parametres!$G$2,$Q242=Parametres!$G$3),K242,E242)</f>
        <v>-4185.67</v>
      </c>
      <c r="Q242" s="150" t="str">
        <f t="shared" si="17"/>
        <v>5-Ventes</v>
      </c>
      <c r="R242" s="149" t="str">
        <f t="shared" si="18"/>
        <v>430</v>
      </c>
      <c r="S242" s="150" t="str">
        <f t="shared" si="19"/>
        <v>_</v>
      </c>
      <c r="T242" s="152" t="str">
        <f>+VLOOKUP($L242,Data_Validation!$A:$D,1,0)</f>
        <v>430F</v>
      </c>
      <c r="U242" s="152" t="str">
        <f>+VLOOKUP($L242,Data_Validation!$A:$D,3,0)</f>
        <v>Véhicules neufs</v>
      </c>
      <c r="V242" s="152" t="str">
        <f>+VLOOKUP($L242,Data_Validation!$A:$D,4,0)</f>
        <v>Rev. Finances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3095</v>
      </c>
      <c r="B243" s="639" t="s">
        <v>1199</v>
      </c>
      <c r="C243" s="640">
        <v>-3392</v>
      </c>
      <c r="D243" s="640">
        <v>0</v>
      </c>
      <c r="E243" s="640">
        <v>-3392</v>
      </c>
      <c r="F243" s="639" t="s">
        <v>2006</v>
      </c>
      <c r="G243" s="639" t="s">
        <v>625</v>
      </c>
      <c r="H243" s="634" t="s">
        <v>3074</v>
      </c>
      <c r="I243" s="633"/>
      <c r="J243" s="633"/>
      <c r="K243" s="633"/>
      <c r="L243" s="149" t="str">
        <f t="shared" si="15"/>
        <v>430T</v>
      </c>
      <c r="M243" s="150" t="str">
        <f t="shared" si="16"/>
        <v>VTES -VTE - TRAITEMENT PROTECTION NEUF BMW AU</v>
      </c>
      <c r="N243" s="151">
        <f>+IF(OR($Q243=Parametres!$G$2,$Q243=Parametres!$G$3),I243,C243)</f>
        <v>-3392</v>
      </c>
      <c r="O243" s="151">
        <f>+IF(OR($Q243=Parametres!$G$2,$Q243=Parametres!$G$3),J243,D243)</f>
        <v>0</v>
      </c>
      <c r="P243" s="151">
        <f>+IF(OR($Q243=Parametres!$G$2,$Q243=Parametres!$G$3),K243,E243)</f>
        <v>-3392</v>
      </c>
      <c r="Q243" s="150" t="str">
        <f t="shared" si="17"/>
        <v>5-Ventes</v>
      </c>
      <c r="R243" s="149" t="str">
        <f t="shared" si="18"/>
        <v>430</v>
      </c>
      <c r="S243" s="150" t="str">
        <f t="shared" si="19"/>
        <v>_</v>
      </c>
      <c r="T243" s="152" t="str">
        <f>+VLOOKUP($L243,Data_Validation!$A:$D,1,0)</f>
        <v>430T</v>
      </c>
      <c r="U243" s="152" t="str">
        <f>+VLOOKUP($L243,Data_Validation!$A:$D,3,0)</f>
        <v>Véhicules neufs</v>
      </c>
      <c r="V243" s="152" t="str">
        <f>+VLOOKUP($L243,Data_Validation!$A:$D,4,0)</f>
        <v>Rev. Autres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1121</v>
      </c>
      <c r="B244" s="639" t="s">
        <v>1122</v>
      </c>
      <c r="C244" s="640">
        <v>-58721</v>
      </c>
      <c r="D244" s="640">
        <v>-4138</v>
      </c>
      <c r="E244" s="640">
        <v>-62859</v>
      </c>
      <c r="F244" s="639" t="s">
        <v>2006</v>
      </c>
      <c r="G244" s="639" t="s">
        <v>625</v>
      </c>
      <c r="H244" s="634" t="s">
        <v>3074</v>
      </c>
      <c r="I244" s="633"/>
      <c r="J244" s="633"/>
      <c r="K244" s="633"/>
      <c r="L244" s="149" t="str">
        <f t="shared" si="15"/>
        <v>430U</v>
      </c>
      <c r="M244" s="150" t="str">
        <f t="shared" si="16"/>
        <v>VTE - ASSIST USURE NEUF BMW AUTO</v>
      </c>
      <c r="N244" s="151">
        <f>+IF(OR($Q244=Parametres!$G$2,$Q244=Parametres!$G$3),I244,C244)</f>
        <v>-58721</v>
      </c>
      <c r="O244" s="151">
        <f>+IF(OR($Q244=Parametres!$G$2,$Q244=Parametres!$G$3),J244,D244)</f>
        <v>-4138</v>
      </c>
      <c r="P244" s="151">
        <f>+IF(OR($Q244=Parametres!$G$2,$Q244=Parametres!$G$3),K244,E244)</f>
        <v>-62859</v>
      </c>
      <c r="Q244" s="150" t="str">
        <f t="shared" si="17"/>
        <v>5-Ventes</v>
      </c>
      <c r="R244" s="149" t="str">
        <f t="shared" si="18"/>
        <v>430</v>
      </c>
      <c r="S244" s="150" t="str">
        <f t="shared" si="19"/>
        <v>_</v>
      </c>
      <c r="T244" s="152" t="str">
        <f>+VLOOKUP($L244,Data_Validation!$A:$D,1,0)</f>
        <v>430U</v>
      </c>
      <c r="U244" s="152" t="str">
        <f>+VLOOKUP($L244,Data_Validation!$A:$D,3,0)</f>
        <v>Véhicules neufs</v>
      </c>
      <c r="V244" s="152" t="str">
        <f>+VLOOKUP($L244,Data_Validation!$A:$D,4,0)</f>
        <v>Rev. Protections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2053</v>
      </c>
      <c r="B245" s="639" t="s">
        <v>2011</v>
      </c>
      <c r="C245" s="640">
        <v>-316430.95</v>
      </c>
      <c r="D245" s="640">
        <v>-104929.49</v>
      </c>
      <c r="E245" s="640">
        <v>-421360.44</v>
      </c>
      <c r="F245" s="639" t="s">
        <v>2006</v>
      </c>
      <c r="G245" s="639" t="s">
        <v>2011</v>
      </c>
      <c r="H245" s="634" t="s">
        <v>3074</v>
      </c>
      <c r="I245" s="633"/>
      <c r="J245" s="633"/>
      <c r="K245" s="633"/>
      <c r="L245" s="149" t="str">
        <f t="shared" si="15"/>
        <v>432</v>
      </c>
      <c r="M245" s="150" t="str">
        <f t="shared" si="16"/>
        <v>VTES -VTE - 530E XDRIVE</v>
      </c>
      <c r="N245" s="151">
        <f>+IF(OR($Q245=Parametres!$G$2,$Q245=Parametres!$G$3),I245,C245)</f>
        <v>-316430.95</v>
      </c>
      <c r="O245" s="151">
        <f>+IF(OR($Q245=Parametres!$G$2,$Q245=Parametres!$G$3),J245,D245)</f>
        <v>-104929.49</v>
      </c>
      <c r="P245" s="151">
        <f>+IF(OR($Q245=Parametres!$G$2,$Q245=Parametres!$G$3),K245,E245)</f>
        <v>-421360.44</v>
      </c>
      <c r="Q245" s="150" t="str">
        <f t="shared" si="17"/>
        <v>5-Ventes</v>
      </c>
      <c r="R245" s="149" t="str">
        <f t="shared" si="18"/>
        <v>432</v>
      </c>
      <c r="S245" s="150" t="str">
        <f t="shared" si="19"/>
        <v>_</v>
      </c>
      <c r="T245" s="152" t="str">
        <f>+VLOOKUP($L245,Data_Validation!$A:$D,1,0)</f>
        <v>432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1126</v>
      </c>
      <c r="B246" s="639" t="s">
        <v>627</v>
      </c>
      <c r="C246" s="640">
        <v>-54985</v>
      </c>
      <c r="D246" s="640">
        <v>0</v>
      </c>
      <c r="E246" s="640">
        <v>-54985</v>
      </c>
      <c r="F246" s="639" t="s">
        <v>2006</v>
      </c>
      <c r="G246" s="639" t="s">
        <v>2011</v>
      </c>
      <c r="H246" s="634" t="s">
        <v>3074</v>
      </c>
      <c r="I246" s="633"/>
      <c r="J246" s="633"/>
      <c r="K246" s="633"/>
      <c r="L246" s="149" t="str">
        <f t="shared" si="15"/>
        <v>432A</v>
      </c>
      <c r="M246" s="150" t="str">
        <f t="shared" si="16"/>
        <v>VTE - GAR PROL NEUF BMW AUTO</v>
      </c>
      <c r="N246" s="151">
        <f>+IF(OR($Q246=Parametres!$G$2,$Q246=Parametres!$G$3),I246,C246)</f>
        <v>-54985</v>
      </c>
      <c r="O246" s="151">
        <f>+IF(OR($Q246=Parametres!$G$2,$Q246=Parametres!$G$3),J246,D246)</f>
        <v>0</v>
      </c>
      <c r="P246" s="151">
        <f>+IF(OR($Q246=Parametres!$G$2,$Q246=Parametres!$G$3),K246,E246)</f>
        <v>-54985</v>
      </c>
      <c r="Q246" s="150" t="str">
        <f t="shared" si="17"/>
        <v>5-Ventes</v>
      </c>
      <c r="R246" s="149" t="str">
        <f t="shared" si="18"/>
        <v>432</v>
      </c>
      <c r="S246" s="150" t="str">
        <f t="shared" si="19"/>
        <v>_</v>
      </c>
      <c r="T246" s="152" t="str">
        <f>+VLOOKUP($L246,Data_Validation!$A:$D,1,0)</f>
        <v>432A</v>
      </c>
      <c r="U246" s="152" t="str">
        <f>+VLOOKUP($L246,Data_Validation!$A:$D,3,0)</f>
        <v>Véhicules neufs</v>
      </c>
      <c r="V246" s="152" t="str">
        <f>+VLOOKUP($L246,Data_Validation!$A:$D,4,0)</f>
        <v>Rev. Protections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2094</v>
      </c>
      <c r="B247" s="639" t="s">
        <v>2093</v>
      </c>
      <c r="C247" s="640">
        <v>-33580.300000000003</v>
      </c>
      <c r="D247" s="640">
        <v>-770</v>
      </c>
      <c r="E247" s="640">
        <v>-34350.300000000003</v>
      </c>
      <c r="F247" s="639" t="s">
        <v>2006</v>
      </c>
      <c r="G247" s="639" t="s">
        <v>2358</v>
      </c>
      <c r="H247" s="634" t="s">
        <v>3074</v>
      </c>
      <c r="I247" s="633"/>
      <c r="J247" s="633"/>
      <c r="K247" s="633"/>
      <c r="L247" s="149" t="str">
        <f t="shared" si="15"/>
        <v>434A</v>
      </c>
      <c r="M247" s="150" t="str">
        <f t="shared" si="16"/>
        <v>VTE - CONT ENTRT NEUF BMW AUTO</v>
      </c>
      <c r="N247" s="151">
        <f>+IF(OR($Q247=Parametres!$G$2,$Q247=Parametres!$G$3),I247,C247)</f>
        <v>-33580.300000000003</v>
      </c>
      <c r="O247" s="151">
        <f>+IF(OR($Q247=Parametres!$G$2,$Q247=Parametres!$G$3),J247,D247)</f>
        <v>-770</v>
      </c>
      <c r="P247" s="151">
        <f>+IF(OR($Q247=Parametres!$G$2,$Q247=Parametres!$G$3),K247,E247)</f>
        <v>-34350.300000000003</v>
      </c>
      <c r="Q247" s="150" t="str">
        <f t="shared" si="17"/>
        <v>5-Ventes</v>
      </c>
      <c r="R247" s="149" t="str">
        <f t="shared" si="18"/>
        <v>434</v>
      </c>
      <c r="S247" s="150" t="str">
        <f t="shared" si="19"/>
        <v>_</v>
      </c>
      <c r="T247" s="152" t="str">
        <f>+VLOOKUP($L247,Data_Validation!$A:$D,1,0)</f>
        <v>434A</v>
      </c>
      <c r="U247" s="152" t="str">
        <f>+VLOOKUP($L247,Data_Validation!$A:$D,3,0)</f>
        <v>Véhicules neufs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1091</v>
      </c>
      <c r="B248" s="685" t="s">
        <v>420</v>
      </c>
      <c r="C248" s="687">
        <v>-1229897.56</v>
      </c>
      <c r="D248" s="687">
        <v>-193205</v>
      </c>
      <c r="E248" s="687">
        <v>-1423102.56</v>
      </c>
      <c r="F248" s="685" t="s">
        <v>2006</v>
      </c>
      <c r="G248" s="685" t="s">
        <v>420</v>
      </c>
      <c r="H248" s="641" t="s">
        <v>3074</v>
      </c>
      <c r="I248" s="640"/>
      <c r="J248" s="640"/>
      <c r="K248" s="640"/>
      <c r="L248" s="149" t="str">
        <f t="shared" si="15"/>
        <v>440A</v>
      </c>
      <c r="M248" s="150" t="str">
        <f t="shared" si="16"/>
        <v>VTE - USAGE BMW AUTO CERT</v>
      </c>
      <c r="N248" s="151">
        <f>+IF(OR($Q248=Parametres!$G$2,$Q248=Parametres!$G$3),I248,C248)</f>
        <v>-1229897.56</v>
      </c>
      <c r="O248" s="496">
        <f>+IF(OR($Q248=Parametres!$G$2,$Q248=Parametres!$G$3),J248,D248)</f>
        <v>-193205</v>
      </c>
      <c r="P248" s="151">
        <f>+IF(OR($Q248=Parametres!$G$2,$Q248=Parametres!$G$3),K248,E248)</f>
        <v>-1423102.56</v>
      </c>
      <c r="Q248" s="150" t="str">
        <f t="shared" si="17"/>
        <v>5-Ventes</v>
      </c>
      <c r="R248" s="149" t="str">
        <f t="shared" si="18"/>
        <v>440A</v>
      </c>
      <c r="S248" s="150" t="str">
        <f t="shared" si="19"/>
        <v>_</v>
      </c>
      <c r="T248" s="152" t="str">
        <f>+VLOOKUP($L248,Data_Validation!$A:$D,1,0)</f>
        <v>440A</v>
      </c>
      <c r="U248" s="152" t="str">
        <f>+VLOOKUP($L248,Data_Validation!$A:$D,3,0)</f>
        <v>Véhicules usagés</v>
      </c>
      <c r="V248" s="152" t="str">
        <f>+VLOOKUP($L248,Data_Validation!$A:$D,4,0)</f>
        <v>Certifié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1395</v>
      </c>
      <c r="B249" s="685" t="s">
        <v>416</v>
      </c>
      <c r="C249" s="687">
        <v>-252677.36</v>
      </c>
      <c r="D249" s="687">
        <v>-211583</v>
      </c>
      <c r="E249" s="687">
        <v>-464260.36</v>
      </c>
      <c r="F249" s="685" t="s">
        <v>2006</v>
      </c>
      <c r="G249" s="685" t="s">
        <v>416</v>
      </c>
      <c r="H249" s="641" t="s">
        <v>3074</v>
      </c>
      <c r="I249" s="640"/>
      <c r="J249" s="640"/>
      <c r="K249" s="640"/>
      <c r="L249" s="149" t="str">
        <f t="shared" si="15"/>
        <v>440B</v>
      </c>
      <c r="M249" s="150" t="str">
        <f t="shared" si="16"/>
        <v>VTE - USAGE BMW AUTO NON-CERT</v>
      </c>
      <c r="N249" s="151">
        <f>+IF(OR($Q249=Parametres!$G$2,$Q249=Parametres!$G$3),I249,C249)</f>
        <v>-252677.36</v>
      </c>
      <c r="O249" s="151">
        <f>+IF(OR($Q249=Parametres!$G$2,$Q249=Parametres!$G$3),J249,D249)</f>
        <v>-211583</v>
      </c>
      <c r="P249" s="151">
        <f>+IF(OR($Q249=Parametres!$G$2,$Q249=Parametres!$G$3),K249,E249)</f>
        <v>-464260.36</v>
      </c>
      <c r="Q249" s="150" t="str">
        <f t="shared" si="17"/>
        <v>5-Ventes</v>
      </c>
      <c r="R249" s="149" t="str">
        <f t="shared" si="18"/>
        <v>440B</v>
      </c>
      <c r="S249" s="150" t="str">
        <f t="shared" si="19"/>
        <v>_</v>
      </c>
      <c r="T249" s="152" t="str">
        <f>+VLOOKUP($L249,Data_Validation!$A:$D,1,0)</f>
        <v>440B</v>
      </c>
      <c r="U249" s="152" t="str">
        <f>+VLOOKUP($L249,Data_Validation!$A:$D,3,0)</f>
        <v>Véhicules usagés</v>
      </c>
      <c r="V249" s="152" t="str">
        <f>+VLOOKUP($L249,Data_Validation!$A:$D,4,0)</f>
        <v>Non Certifié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1082</v>
      </c>
      <c r="B250" s="639" t="s">
        <v>384</v>
      </c>
      <c r="C250" s="640">
        <v>-955291.8</v>
      </c>
      <c r="D250" s="640">
        <v>-204500</v>
      </c>
      <c r="E250" s="640">
        <v>-1159791.8</v>
      </c>
      <c r="F250" s="639" t="s">
        <v>2006</v>
      </c>
      <c r="G250" s="639" t="s">
        <v>384</v>
      </c>
      <c r="H250" s="634" t="s">
        <v>3074</v>
      </c>
      <c r="I250" s="633"/>
      <c r="J250" s="633"/>
      <c r="K250" s="633"/>
      <c r="L250" s="149" t="str">
        <f t="shared" si="15"/>
        <v>442</v>
      </c>
      <c r="M250" s="150" t="str">
        <f t="shared" si="16"/>
        <v>VTE - USAGE AUTRES</v>
      </c>
      <c r="N250" s="151">
        <f>+IF(OR($Q250=Parametres!$G$2,$Q250=Parametres!$G$3),I250,C250)</f>
        <v>-955291.8</v>
      </c>
      <c r="O250" s="151">
        <f>+IF(OR($Q250=Parametres!$G$2,$Q250=Parametres!$G$3),J250,D250)</f>
        <v>-204500</v>
      </c>
      <c r="P250" s="151">
        <f>+IF(OR($Q250=Parametres!$G$2,$Q250=Parametres!$G$3),K250,E250)</f>
        <v>-1159791.8</v>
      </c>
      <c r="Q250" s="150" t="str">
        <f t="shared" si="17"/>
        <v>5-Ventes</v>
      </c>
      <c r="R250" s="149" t="str">
        <f t="shared" si="18"/>
        <v>442</v>
      </c>
      <c r="S250" s="150" t="str">
        <f t="shared" si="19"/>
        <v>_</v>
      </c>
      <c r="T250" s="152" t="str">
        <f>+VLOOKUP($L250,Data_Validation!$A:$D,1,0)</f>
        <v>442</v>
      </c>
      <c r="U250" s="152" t="str">
        <f>+VLOOKUP($L250,Data_Validation!$A:$D,3,0)</f>
        <v>Véhicules usagés</v>
      </c>
      <c r="V250" s="152" t="str">
        <f>+VLOOKUP($L250,Data_Validation!$A:$D,4,0)</f>
        <v>Autres marques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3096</v>
      </c>
      <c r="B251" s="685" t="s">
        <v>3097</v>
      </c>
      <c r="C251" s="1038">
        <v>0</v>
      </c>
      <c r="D251" s="1038">
        <v>-87317.49</v>
      </c>
      <c r="E251" s="1038">
        <v>-87317.49</v>
      </c>
      <c r="F251" s="685" t="s">
        <v>2006</v>
      </c>
      <c r="G251" s="685" t="s">
        <v>3098</v>
      </c>
      <c r="H251" s="686" t="s">
        <v>3074</v>
      </c>
      <c r="I251" s="687"/>
      <c r="J251" s="687"/>
      <c r="K251" s="687"/>
      <c r="L251" s="149" t="str">
        <f t="shared" si="15"/>
        <v>443B</v>
      </c>
      <c r="M251" s="150" t="str">
        <f t="shared" si="16"/>
        <v>M440I XDRIVE GRAN COUPE</v>
      </c>
      <c r="N251" s="151">
        <f>+IF(OR($Q251=Parametres!$G$2,$Q251=Parametres!$G$3),I251,C251)</f>
        <v>0</v>
      </c>
      <c r="O251" s="151">
        <f>+IF(OR($Q251=Parametres!$G$2,$Q251=Parametres!$G$3),J251,D251)</f>
        <v>-87317.49</v>
      </c>
      <c r="P251" s="151">
        <f>+IF(OR($Q251=Parametres!$G$2,$Q251=Parametres!$G$3),K251,E251)</f>
        <v>-87317.49</v>
      </c>
      <c r="Q251" s="150" t="str">
        <f t="shared" si="17"/>
        <v>5-Ventes</v>
      </c>
      <c r="R251" s="149" t="str">
        <f t="shared" si="18"/>
        <v>443</v>
      </c>
      <c r="S251" s="150" t="str">
        <f t="shared" si="19"/>
        <v>_</v>
      </c>
      <c r="T251" s="152" t="str">
        <f>+VLOOKUP($L251,Data_Validation!$A:$D,1,0)</f>
        <v>443B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1071</v>
      </c>
      <c r="B252" s="685" t="s">
        <v>1072</v>
      </c>
      <c r="C252" s="687">
        <v>-692164</v>
      </c>
      <c r="D252" s="687">
        <v>0</v>
      </c>
      <c r="E252" s="687">
        <v>-692164</v>
      </c>
      <c r="F252" s="685" t="s">
        <v>2006</v>
      </c>
      <c r="G252" s="685" t="s">
        <v>1072</v>
      </c>
      <c r="H252" s="634" t="s">
        <v>3074</v>
      </c>
      <c r="I252" s="633"/>
      <c r="J252" s="633"/>
      <c r="K252" s="633"/>
      <c r="L252" s="149" t="str">
        <f t="shared" si="15"/>
        <v>444A</v>
      </c>
      <c r="M252" s="150" t="str">
        <f t="shared" si="16"/>
        <v>VTE - GROS BMW AUTO</v>
      </c>
      <c r="N252" s="151">
        <f>+IF(OR($Q252=Parametres!$G$2,$Q252=Parametres!$G$3),I252,C252)</f>
        <v>-692164</v>
      </c>
      <c r="O252" s="151">
        <f>+IF(OR($Q252=Parametres!$G$2,$Q252=Parametres!$G$3),J252,D252)</f>
        <v>0</v>
      </c>
      <c r="P252" s="151">
        <f>+IF(OR($Q252=Parametres!$G$2,$Q252=Parametres!$G$3),K252,E252)</f>
        <v>-692164</v>
      </c>
      <c r="Q252" s="150" t="str">
        <f t="shared" si="17"/>
        <v>5-Ventes</v>
      </c>
      <c r="R252" s="149" t="str">
        <f t="shared" si="18"/>
        <v>444A</v>
      </c>
      <c r="S252" s="150" t="str">
        <f t="shared" si="19"/>
        <v>_</v>
      </c>
      <c r="T252" s="152" t="str">
        <f>+VLOOKUP($L252,Data_Validation!$A:$D,1,0)</f>
        <v>444A</v>
      </c>
      <c r="U252" s="152" t="str">
        <f>+VLOOKUP($L252,Data_Validation!$A:$D,3,0)</f>
        <v>Véhicules usagés</v>
      </c>
      <c r="V252" s="152" t="str">
        <f>+VLOOKUP($L252,Data_Validation!$A:$D,4,0)</f>
        <v>Ventes au Gros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1070</v>
      </c>
      <c r="B253" s="685" t="s">
        <v>398</v>
      </c>
      <c r="C253" s="687">
        <v>-3059566.79</v>
      </c>
      <c r="D253" s="687">
        <v>-171000</v>
      </c>
      <c r="E253" s="687">
        <v>-3230566.79</v>
      </c>
      <c r="F253" s="685" t="s">
        <v>2006</v>
      </c>
      <c r="G253" s="685" t="s">
        <v>398</v>
      </c>
      <c r="H253" s="641" t="s">
        <v>3074</v>
      </c>
      <c r="I253" s="640"/>
      <c r="J253" s="640"/>
      <c r="K253" s="640"/>
      <c r="L253" s="149" t="str">
        <f t="shared" si="15"/>
        <v>444B</v>
      </c>
      <c r="M253" s="150" t="str">
        <f t="shared" si="16"/>
        <v>VTE - GROS BMW CAMION</v>
      </c>
      <c r="N253" s="151">
        <f>+IF(OR($Q253=Parametres!$G$2,$Q253=Parametres!$G$3),I253,C253)</f>
        <v>-3059566.79</v>
      </c>
      <c r="O253" s="151">
        <f>+IF(OR($Q253=Parametres!$G$2,$Q253=Parametres!$G$3),J253,D253)</f>
        <v>-171000</v>
      </c>
      <c r="P253" s="151">
        <f>+IF(OR($Q253=Parametres!$G$2,$Q253=Parametres!$G$3),K253,E253)</f>
        <v>-3230566.79</v>
      </c>
      <c r="Q253" s="150" t="str">
        <f t="shared" si="17"/>
        <v>5-Ventes</v>
      </c>
      <c r="R253" s="149" t="str">
        <f t="shared" si="18"/>
        <v>444B</v>
      </c>
      <c r="S253" s="150" t="str">
        <f t="shared" si="19"/>
        <v>_</v>
      </c>
      <c r="T253" s="152" t="str">
        <f>+VLOOKUP($L253,Data_Validation!$A:$D,1,0)</f>
        <v>444B</v>
      </c>
      <c r="U253" s="152" t="str">
        <f>+VLOOKUP($L253,Data_Validation!$A:$D,3,0)</f>
        <v>Véhicules usagés</v>
      </c>
      <c r="V253" s="152" t="str">
        <f>+VLOOKUP($L253,Data_Validation!$A:$D,4,0)</f>
        <v>Ventes au Gros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1076</v>
      </c>
      <c r="B254" s="685" t="s">
        <v>401</v>
      </c>
      <c r="C254" s="687">
        <v>-2305363.9900000002</v>
      </c>
      <c r="D254" s="687">
        <v>-472895</v>
      </c>
      <c r="E254" s="687">
        <v>-2778258.99</v>
      </c>
      <c r="F254" s="685" t="s">
        <v>2006</v>
      </c>
      <c r="G254" s="685" t="s">
        <v>401</v>
      </c>
      <c r="H254" s="641" t="s">
        <v>3074</v>
      </c>
      <c r="I254" s="640"/>
      <c r="J254" s="640"/>
      <c r="K254" s="640"/>
      <c r="L254" s="149" t="str">
        <f t="shared" si="15"/>
        <v>444C</v>
      </c>
      <c r="M254" s="150" t="str">
        <f t="shared" si="16"/>
        <v>VTE - GROS AUTRES</v>
      </c>
      <c r="N254" s="151">
        <f>+IF(OR($Q254=Parametres!$G$2,$Q254=Parametres!$G$3),I254,C254)</f>
        <v>-2305363.9900000002</v>
      </c>
      <c r="O254" s="496">
        <f>+IF(OR($Q254=Parametres!$G$2,$Q254=Parametres!$G$3),J254,D254)</f>
        <v>-472895</v>
      </c>
      <c r="P254" s="151">
        <f>+IF(OR($Q254=Parametres!$G$2,$Q254=Parametres!$G$3),K254,E254)</f>
        <v>-2778258.99</v>
      </c>
      <c r="Q254" s="150" t="str">
        <f t="shared" si="17"/>
        <v>5-Ventes</v>
      </c>
      <c r="R254" s="149" t="str">
        <f t="shared" si="18"/>
        <v>444C</v>
      </c>
      <c r="S254" s="150" t="str">
        <f t="shared" si="19"/>
        <v>_</v>
      </c>
      <c r="T254" s="152" t="str">
        <f>+VLOOKUP($L254,Data_Validation!$A:$D,1,0)</f>
        <v>444C</v>
      </c>
      <c r="U254" s="152" t="str">
        <f>+VLOOKUP($L254,Data_Validation!$A:$D,3,0)</f>
        <v>Véhicules usagés</v>
      </c>
      <c r="V254" s="152" t="str">
        <f>+VLOOKUP($L254,Data_Validation!$A:$D,4,0)</f>
        <v>Ventes au Gros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1086</v>
      </c>
      <c r="B255" s="685" t="s">
        <v>418</v>
      </c>
      <c r="C255" s="687">
        <v>-2247939.59</v>
      </c>
      <c r="D255" s="687">
        <v>-523530</v>
      </c>
      <c r="E255" s="687">
        <v>-2771469.59</v>
      </c>
      <c r="F255" s="685" t="s">
        <v>2006</v>
      </c>
      <c r="G255" s="685" t="s">
        <v>418</v>
      </c>
      <c r="H255" s="641" t="s">
        <v>3074</v>
      </c>
      <c r="I255" s="640"/>
      <c r="J255" s="640"/>
      <c r="K255" s="640"/>
      <c r="L255" s="149" t="str">
        <f t="shared" si="15"/>
        <v>446A</v>
      </c>
      <c r="M255" s="150" t="str">
        <f t="shared" si="16"/>
        <v>VTE - USAGE BMW CAMION CERT</v>
      </c>
      <c r="N255" s="151">
        <f>+IF(OR($Q255=Parametres!$G$2,$Q255=Parametres!$G$3),I255,C255)</f>
        <v>-2247939.59</v>
      </c>
      <c r="O255" s="151">
        <f>+IF(OR($Q255=Parametres!$G$2,$Q255=Parametres!$G$3),J255,D255)</f>
        <v>-523530</v>
      </c>
      <c r="P255" s="151">
        <f>+IF(OR($Q255=Parametres!$G$2,$Q255=Parametres!$G$3),K255,E255)</f>
        <v>-2771469.59</v>
      </c>
      <c r="Q255" s="150" t="str">
        <f t="shared" si="17"/>
        <v>5-Ventes</v>
      </c>
      <c r="R255" s="149" t="str">
        <f t="shared" si="18"/>
        <v>446A</v>
      </c>
      <c r="S255" s="150" t="str">
        <f t="shared" si="19"/>
        <v>_</v>
      </c>
      <c r="T255" s="152" t="str">
        <f>+VLOOKUP($L255,Data_Validation!$A:$D,1,0)</f>
        <v>446A</v>
      </c>
      <c r="U255" s="152" t="str">
        <f>+VLOOKUP($L255,Data_Validation!$A:$D,3,0)</f>
        <v>Véhicules usagés</v>
      </c>
      <c r="V255" s="152" t="str">
        <f>+VLOOKUP($L255,Data_Validation!$A:$D,4,0)</f>
        <v>Certifié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1088</v>
      </c>
      <c r="B256" s="685" t="s">
        <v>404</v>
      </c>
      <c r="C256" s="687">
        <v>-294681.45</v>
      </c>
      <c r="D256" s="687">
        <v>-268455</v>
      </c>
      <c r="E256" s="687">
        <v>-563136.44999999995</v>
      </c>
      <c r="F256" s="685" t="s">
        <v>2006</v>
      </c>
      <c r="G256" s="685" t="s">
        <v>404</v>
      </c>
      <c r="H256" s="634" t="s">
        <v>3074</v>
      </c>
      <c r="I256" s="633"/>
      <c r="J256" s="633"/>
      <c r="K256" s="633"/>
      <c r="L256" s="149" t="str">
        <f t="shared" si="15"/>
        <v>446B</v>
      </c>
      <c r="M256" s="150" t="str">
        <f t="shared" si="16"/>
        <v>VTE - USAGE BMW CAMION NON-CERT</v>
      </c>
      <c r="N256" s="151">
        <f>+IF(OR($Q256=Parametres!$G$2,$Q256=Parametres!$G$3),I256,C256)</f>
        <v>-294681.45</v>
      </c>
      <c r="O256" s="151">
        <f>+IF(OR($Q256=Parametres!$G$2,$Q256=Parametres!$G$3),J256,D256)</f>
        <v>-268455</v>
      </c>
      <c r="P256" s="151">
        <f>+IF(OR($Q256=Parametres!$G$2,$Q256=Parametres!$G$3),K256,E256)</f>
        <v>-563136.44999999995</v>
      </c>
      <c r="Q256" s="150" t="str">
        <f t="shared" si="17"/>
        <v>5-Ventes</v>
      </c>
      <c r="R256" s="149" t="str">
        <f t="shared" si="18"/>
        <v>446B</v>
      </c>
      <c r="S256" s="150" t="str">
        <f t="shared" si="19"/>
        <v>_</v>
      </c>
      <c r="T256" s="152" t="str">
        <f>+VLOOKUP($L256,Data_Validation!$A:$D,1,0)</f>
        <v>446B</v>
      </c>
      <c r="U256" s="152" t="str">
        <f>+VLOOKUP($L256,Data_Validation!$A:$D,3,0)</f>
        <v>Véhicules usagés</v>
      </c>
      <c r="V256" s="152" t="str">
        <f>+VLOOKUP($L256,Data_Validation!$A:$D,4,0)</f>
        <v>Non Certifié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628</v>
      </c>
      <c r="B257" s="685" t="s">
        <v>629</v>
      </c>
      <c r="C257" s="1038">
        <v>-163531.74</v>
      </c>
      <c r="D257" s="1038">
        <v>-342983.83</v>
      </c>
      <c r="E257" s="1038">
        <v>-506515.57</v>
      </c>
      <c r="F257" s="685" t="s">
        <v>2006</v>
      </c>
      <c r="G257" s="685" t="s">
        <v>629</v>
      </c>
      <c r="H257" s="686" t="s">
        <v>3074</v>
      </c>
      <c r="I257" s="687"/>
      <c r="J257" s="687"/>
      <c r="K257" s="687"/>
      <c r="L257" s="149" t="str">
        <f t="shared" si="15"/>
        <v>447</v>
      </c>
      <c r="M257" s="150" t="str">
        <f t="shared" si="16"/>
        <v>VTE - X5 M</v>
      </c>
      <c r="N257" s="151">
        <f>+IF(OR($Q257=Parametres!$G$2,$Q257=Parametres!$G$3),I257,C257)</f>
        <v>-163531.74</v>
      </c>
      <c r="O257" s="151">
        <f>+IF(OR($Q257=Parametres!$G$2,$Q257=Parametres!$G$3),J257,D257)</f>
        <v>-342983.83</v>
      </c>
      <c r="P257" s="151">
        <f>+IF(OR($Q257=Parametres!$G$2,$Q257=Parametres!$G$3),K257,E257)</f>
        <v>-506515.57</v>
      </c>
      <c r="Q257" s="150" t="str">
        <f t="shared" si="17"/>
        <v>5-Ventes</v>
      </c>
      <c r="R257" s="149" t="str">
        <f t="shared" si="18"/>
        <v>447</v>
      </c>
      <c r="S257" s="150" t="str">
        <f t="shared" si="19"/>
        <v>_</v>
      </c>
      <c r="T257" s="152" t="str">
        <f>+VLOOKUP($L257,Data_Validation!$A:$D,1,0)</f>
        <v>447</v>
      </c>
      <c r="U257" s="152" t="str">
        <f>+VLOOKUP($L257,Data_Validation!$A:$D,3,0)</f>
        <v>Véhicules neufs</v>
      </c>
      <c r="V257" s="152" t="str">
        <f>+VLOOKUP($L257,Data_Validation!$A:$D,4,0)</f>
        <v>Camions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1396</v>
      </c>
      <c r="B258" s="685" t="s">
        <v>400</v>
      </c>
      <c r="C258" s="687">
        <v>-667920.48</v>
      </c>
      <c r="D258" s="687">
        <v>-32740.22</v>
      </c>
      <c r="E258" s="687">
        <v>-700660.7</v>
      </c>
      <c r="F258" s="685" t="s">
        <v>2006</v>
      </c>
      <c r="G258" s="685" t="s">
        <v>400</v>
      </c>
      <c r="H258" s="641" t="s">
        <v>3074</v>
      </c>
      <c r="I258" s="640"/>
      <c r="J258" s="640"/>
      <c r="K258" s="640"/>
      <c r="L258" s="149" t="str">
        <f t="shared" ref="L258:L321" si="20">+B258</f>
        <v>448</v>
      </c>
      <c r="M258" s="150" t="str">
        <f t="shared" ref="M258:M321" si="21">+A258</f>
        <v>VTE - RACHAT LOCATION BMW</v>
      </c>
      <c r="N258" s="151">
        <f>+IF(OR($Q258=Parametres!$G$2,$Q258=Parametres!$G$3),I258,C258)</f>
        <v>-667920.48</v>
      </c>
      <c r="O258" s="151">
        <f>+IF(OR($Q258=Parametres!$G$2,$Q258=Parametres!$G$3),J258,D258)</f>
        <v>-32740.22</v>
      </c>
      <c r="P258" s="151">
        <f>+IF(OR($Q258=Parametres!$G$2,$Q258=Parametres!$G$3),K258,E258)</f>
        <v>-700660.7</v>
      </c>
      <c r="Q258" s="150" t="str">
        <f t="shared" ref="Q258:Q321" si="22">+F258</f>
        <v>5-Ventes</v>
      </c>
      <c r="R258" s="149" t="str">
        <f t="shared" ref="R258:R321" si="23">+G258</f>
        <v>448</v>
      </c>
      <c r="S258" s="150" t="str">
        <f t="shared" ref="S258:S321" si="24">+H258</f>
        <v>_</v>
      </c>
      <c r="T258" s="152" t="str">
        <f>+VLOOKUP($L258,Data_Validation!$A:$D,1,0)</f>
        <v>448</v>
      </c>
      <c r="U258" s="152" t="str">
        <f>+VLOOKUP($L258,Data_Validation!$A:$D,3,0)</f>
        <v>Véhicules neufs</v>
      </c>
      <c r="V258" s="152" t="str">
        <f>+VLOOKUP($L258,Data_Validation!$A:$D,4,0)</f>
        <v>Rachat bail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1186</v>
      </c>
      <c r="B259" s="685" t="s">
        <v>1012</v>
      </c>
      <c r="C259" s="687">
        <v>-8878</v>
      </c>
      <c r="D259" s="687">
        <v>0</v>
      </c>
      <c r="E259" s="687">
        <v>-8878</v>
      </c>
      <c r="F259" s="685" t="s">
        <v>2006</v>
      </c>
      <c r="G259" s="685" t="s">
        <v>1012</v>
      </c>
      <c r="H259" s="641" t="s">
        <v>3074</v>
      </c>
      <c r="I259" s="640"/>
      <c r="J259" s="640"/>
      <c r="K259" s="640"/>
      <c r="L259" s="149" t="str">
        <f t="shared" si="20"/>
        <v>450</v>
      </c>
      <c r="M259" s="150" t="str">
        <f t="shared" si="21"/>
        <v>VTES -MARQUAGE USAGE BMW CERT</v>
      </c>
      <c r="N259" s="151">
        <f>+IF(OR($Q259=Parametres!$G$2,$Q259=Parametres!$G$3),I259,C259)</f>
        <v>-8878</v>
      </c>
      <c r="O259" s="151">
        <f>+IF(OR($Q259=Parametres!$G$2,$Q259=Parametres!$G$3),J259,D259)</f>
        <v>0</v>
      </c>
      <c r="P259" s="151">
        <f>+IF(OR($Q259=Parametres!$G$2,$Q259=Parametres!$G$3),K259,E259)</f>
        <v>-8878</v>
      </c>
      <c r="Q259" s="150" t="str">
        <f t="shared" si="22"/>
        <v>5-Ventes</v>
      </c>
      <c r="R259" s="149" t="str">
        <f t="shared" si="23"/>
        <v>450</v>
      </c>
      <c r="S259" s="150" t="str">
        <f t="shared" si="24"/>
        <v>_</v>
      </c>
      <c r="T259" s="152" t="str">
        <f>+VLOOKUP($L259,Data_Validation!$A:$D,1,0)</f>
        <v>450</v>
      </c>
      <c r="U259" s="152" t="str">
        <f>+VLOOKUP($L259,Data_Validation!$A:$D,3,0)</f>
        <v>Véhicules usagés</v>
      </c>
      <c r="V259" s="152" t="str">
        <f>+VLOOKUP($L259,Data_Validation!$A:$D,4,0)</f>
        <v>Rev. Autres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1398</v>
      </c>
      <c r="B260" s="685" t="s">
        <v>630</v>
      </c>
      <c r="C260" s="687">
        <v>-12326</v>
      </c>
      <c r="D260" s="687">
        <v>0</v>
      </c>
      <c r="E260" s="687">
        <v>-12326</v>
      </c>
      <c r="F260" s="685" t="s">
        <v>2006</v>
      </c>
      <c r="G260" s="685" t="s">
        <v>1012</v>
      </c>
      <c r="H260" s="634" t="s">
        <v>3074</v>
      </c>
      <c r="I260" s="633"/>
      <c r="J260" s="633"/>
      <c r="K260" s="633"/>
      <c r="L260" s="149" t="str">
        <f t="shared" si="20"/>
        <v>450C</v>
      </c>
      <c r="M260" s="150" t="str">
        <f t="shared" si="21"/>
        <v>VTES -ACCESSOIRES USAGE BMW CERT</v>
      </c>
      <c r="N260" s="151">
        <f>+IF(OR($Q260=Parametres!$G$2,$Q260=Parametres!$G$3),I260,C260)</f>
        <v>-12326</v>
      </c>
      <c r="O260" s="151">
        <f>+IF(OR($Q260=Parametres!$G$2,$Q260=Parametres!$G$3),J260,D260)</f>
        <v>0</v>
      </c>
      <c r="P260" s="151">
        <f>+IF(OR($Q260=Parametres!$G$2,$Q260=Parametres!$G$3),K260,E260)</f>
        <v>-12326</v>
      </c>
      <c r="Q260" s="150" t="str">
        <f t="shared" si="22"/>
        <v>5-Ventes</v>
      </c>
      <c r="R260" s="149" t="str">
        <f t="shared" si="23"/>
        <v>450</v>
      </c>
      <c r="S260" s="150" t="str">
        <f t="shared" si="24"/>
        <v>_</v>
      </c>
      <c r="T260" s="152" t="str">
        <f>+VLOOKUP($L260,Data_Validation!$A:$D,1,0)</f>
        <v>450C</v>
      </c>
      <c r="U260" s="152" t="str">
        <f>+VLOOKUP($L260,Data_Validation!$A:$D,3,0)</f>
        <v>Véhicules usagés</v>
      </c>
      <c r="V260" s="152" t="str">
        <f>+VLOOKUP($L260,Data_Validation!$A:$D,4,0)</f>
        <v>Rev. Autres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1190</v>
      </c>
      <c r="B261" s="685" t="s">
        <v>1191</v>
      </c>
      <c r="C261" s="687">
        <v>-6850</v>
      </c>
      <c r="D261" s="687">
        <v>0</v>
      </c>
      <c r="E261" s="687">
        <v>-6850</v>
      </c>
      <c r="F261" s="685" t="s">
        <v>2006</v>
      </c>
      <c r="G261" s="685" t="s">
        <v>1012</v>
      </c>
      <c r="H261" s="641" t="s">
        <v>3074</v>
      </c>
      <c r="I261" s="640"/>
      <c r="J261" s="640"/>
      <c r="K261" s="640"/>
      <c r="L261" s="149" t="str">
        <f t="shared" si="20"/>
        <v>450E</v>
      </c>
      <c r="M261" s="150" t="str">
        <f t="shared" si="21"/>
        <v>VTE - PROTEC ESTHETIQUE USAGE BMW AUTO</v>
      </c>
      <c r="N261" s="151">
        <f>+IF(OR($Q261=Parametres!$G$2,$Q261=Parametres!$G$3),I261,C261)</f>
        <v>-6850</v>
      </c>
      <c r="O261" s="151">
        <f>+IF(OR($Q261=Parametres!$G$2,$Q261=Parametres!$G$3),J261,D261)</f>
        <v>0</v>
      </c>
      <c r="P261" s="151">
        <f>+IF(OR($Q261=Parametres!$G$2,$Q261=Parametres!$G$3),K261,E261)</f>
        <v>-6850</v>
      </c>
      <c r="Q261" s="150" t="str">
        <f t="shared" si="22"/>
        <v>5-Ventes</v>
      </c>
      <c r="R261" s="149" t="str">
        <f t="shared" si="23"/>
        <v>450</v>
      </c>
      <c r="S261" s="150" t="str">
        <f t="shared" si="24"/>
        <v>_</v>
      </c>
      <c r="T261" s="152" t="str">
        <f>+VLOOKUP($L261,Data_Validation!$A:$D,1,0)</f>
        <v>450E</v>
      </c>
      <c r="U261" s="152" t="str">
        <f>+VLOOKUP($L261,Data_Validation!$A:$D,3,0)</f>
        <v>Véhicules usagés</v>
      </c>
      <c r="V261" s="152" t="str">
        <f>+VLOOKUP($L261,Data_Validation!$A:$D,4,0)</f>
        <v>Rev. Protections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1650</v>
      </c>
      <c r="B262" s="639" t="s">
        <v>437</v>
      </c>
      <c r="C262" s="640">
        <v>-19415.54</v>
      </c>
      <c r="D262" s="640">
        <v>-5024.12</v>
      </c>
      <c r="E262" s="640">
        <v>-24439.66</v>
      </c>
      <c r="F262" s="639" t="s">
        <v>2006</v>
      </c>
      <c r="G262" s="639" t="s">
        <v>1012</v>
      </c>
      <c r="H262" s="634" t="s">
        <v>3074</v>
      </c>
      <c r="I262" s="633"/>
      <c r="J262" s="633"/>
      <c r="K262" s="633"/>
      <c r="L262" s="149" t="str">
        <f t="shared" si="20"/>
        <v>450F</v>
      </c>
      <c r="M262" s="150" t="str">
        <f t="shared" si="21"/>
        <v>VTE - RIST FINANCE USAGE BMW AUTO</v>
      </c>
      <c r="N262" s="151">
        <f>+IF(OR($Q262=Parametres!$G$2,$Q262=Parametres!$G$3),I262,C262)</f>
        <v>-19415.54</v>
      </c>
      <c r="O262" s="151">
        <f>+IF(OR($Q262=Parametres!$G$2,$Q262=Parametres!$G$3),J262,D262)</f>
        <v>-5024.12</v>
      </c>
      <c r="P262" s="151">
        <f>+IF(OR($Q262=Parametres!$G$2,$Q262=Parametres!$G$3),K262,E262)</f>
        <v>-24439.66</v>
      </c>
      <c r="Q262" s="150" t="str">
        <f t="shared" si="22"/>
        <v>5-Ventes</v>
      </c>
      <c r="R262" s="149" t="str">
        <f t="shared" si="23"/>
        <v>450</v>
      </c>
      <c r="S262" s="150" t="str">
        <f t="shared" si="24"/>
        <v>_</v>
      </c>
      <c r="T262" s="152" t="str">
        <f>+VLOOKUP($L262,Data_Validation!$A:$D,1,0)</f>
        <v>450F</v>
      </c>
      <c r="U262" s="152" t="str">
        <f>+VLOOKUP($L262,Data_Validation!$A:$D,3,0)</f>
        <v>Véhicules usagés</v>
      </c>
      <c r="V262" s="152" t="str">
        <f>+VLOOKUP($L262,Data_Validation!$A:$D,4,0)</f>
        <v>Rev. Finances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2012</v>
      </c>
      <c r="B263" s="685" t="s">
        <v>2013</v>
      </c>
      <c r="C263" s="687">
        <v>-2154</v>
      </c>
      <c r="D263" s="687">
        <v>0</v>
      </c>
      <c r="E263" s="687">
        <v>-2154</v>
      </c>
      <c r="F263" s="685" t="s">
        <v>2006</v>
      </c>
      <c r="G263" s="685" t="s">
        <v>1012</v>
      </c>
      <c r="H263" s="641" t="s">
        <v>3074</v>
      </c>
      <c r="I263" s="640"/>
      <c r="J263" s="640"/>
      <c r="K263" s="640"/>
      <c r="L263" s="149" t="str">
        <f t="shared" si="20"/>
        <v>450R</v>
      </c>
      <c r="M263" s="150" t="str">
        <f t="shared" si="21"/>
        <v>VTES -ASS. REMP. USAGE BMW CERT</v>
      </c>
      <c r="N263" s="151">
        <f>+IF(OR($Q263=Parametres!$G$2,$Q263=Parametres!$G$3),I263,C263)</f>
        <v>-2154</v>
      </c>
      <c r="O263" s="151">
        <f>+IF(OR($Q263=Parametres!$G$2,$Q263=Parametres!$G$3),J263,D263)</f>
        <v>0</v>
      </c>
      <c r="P263" s="151">
        <f>+IF(OR($Q263=Parametres!$G$2,$Q263=Parametres!$G$3),K263,E263)</f>
        <v>-2154</v>
      </c>
      <c r="Q263" s="150" t="str">
        <f t="shared" si="22"/>
        <v>5-Ventes</v>
      </c>
      <c r="R263" s="149" t="str">
        <f t="shared" si="23"/>
        <v>450</v>
      </c>
      <c r="S263" s="150" t="str">
        <f t="shared" si="24"/>
        <v>_</v>
      </c>
      <c r="T263" s="152" t="str">
        <f>+VLOOKUP($L263,Data_Validation!$A:$D,1,0)</f>
        <v>450R</v>
      </c>
      <c r="U263" s="152" t="str">
        <f>+VLOOKUP($L263,Data_Validation!$A:$D,3,0)</f>
        <v>Véhicules usagés</v>
      </c>
      <c r="V263" s="152" t="str">
        <f>+VLOOKUP($L263,Data_Validation!$A:$D,4,0)</f>
        <v>Rev. Protections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3099</v>
      </c>
      <c r="B264" s="685" t="s">
        <v>1402</v>
      </c>
      <c r="C264" s="1038">
        <v>-758.99</v>
      </c>
      <c r="D264" s="1038">
        <v>0</v>
      </c>
      <c r="E264" s="1038">
        <v>-758.99</v>
      </c>
      <c r="F264" s="685" t="s">
        <v>2006</v>
      </c>
      <c r="G264" s="685" t="s">
        <v>1012</v>
      </c>
      <c r="H264" s="686" t="s">
        <v>3074</v>
      </c>
      <c r="I264" s="687"/>
      <c r="J264" s="687"/>
      <c r="K264" s="687"/>
      <c r="L264" s="149" t="str">
        <f t="shared" si="20"/>
        <v>450T</v>
      </c>
      <c r="M264" s="150" t="str">
        <f t="shared" si="21"/>
        <v>VTES -VTES -TRAITEMENT PROTECTION USAGE BMW C</v>
      </c>
      <c r="N264" s="151">
        <f>+IF(OR($Q264=Parametres!$G$2,$Q264=Parametres!$G$3),I264,C264)</f>
        <v>-758.99</v>
      </c>
      <c r="O264" s="151">
        <f>+IF(OR($Q264=Parametres!$G$2,$Q264=Parametres!$G$3),J264,D264)</f>
        <v>0</v>
      </c>
      <c r="P264" s="151">
        <f>+IF(OR($Q264=Parametres!$G$2,$Q264=Parametres!$G$3),K264,E264)</f>
        <v>-758.99</v>
      </c>
      <c r="Q264" s="150" t="str">
        <f t="shared" si="22"/>
        <v>5-Ventes</v>
      </c>
      <c r="R264" s="149" t="str">
        <f t="shared" si="23"/>
        <v>450</v>
      </c>
      <c r="S264" s="150" t="str">
        <f t="shared" si="24"/>
        <v>_</v>
      </c>
      <c r="T264" s="152" t="str">
        <f>+VLOOKUP($L264,Data_Validation!$A:$D,1,0)</f>
        <v>450T</v>
      </c>
      <c r="U264" s="152" t="str">
        <f>+VLOOKUP($L264,Data_Validation!$A:$D,3,0)</f>
        <v>Véhicules usagés</v>
      </c>
      <c r="V264" s="152" t="str">
        <f>+VLOOKUP($L264,Data_Validation!$A:$D,4,0)</f>
        <v>Rev. Autres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1407</v>
      </c>
      <c r="B265" s="685" t="s">
        <v>374</v>
      </c>
      <c r="C265" s="687">
        <v>-1197</v>
      </c>
      <c r="D265" s="687">
        <v>0</v>
      </c>
      <c r="E265" s="687">
        <v>-1197</v>
      </c>
      <c r="F265" s="685" t="s">
        <v>2006</v>
      </c>
      <c r="G265" s="685" t="s">
        <v>374</v>
      </c>
      <c r="H265" s="634" t="s">
        <v>3074</v>
      </c>
      <c r="I265" s="633"/>
      <c r="J265" s="633"/>
      <c r="K265" s="633"/>
      <c r="L265" s="149" t="str">
        <f t="shared" si="20"/>
        <v>451</v>
      </c>
      <c r="M265" s="150" t="str">
        <f t="shared" si="21"/>
        <v>VTES -VTE - MARQUAGE USAGE AUTRE</v>
      </c>
      <c r="N265" s="151">
        <f>+IF(OR($Q265=Parametres!$G$2,$Q265=Parametres!$G$3),I265,C265)</f>
        <v>-1197</v>
      </c>
      <c r="O265" s="151">
        <f>+IF(OR($Q265=Parametres!$G$2,$Q265=Parametres!$G$3),J265,D265)</f>
        <v>0</v>
      </c>
      <c r="P265" s="151">
        <f>+IF(OR($Q265=Parametres!$G$2,$Q265=Parametres!$G$3),K265,E265)</f>
        <v>-1197</v>
      </c>
      <c r="Q265" s="150" t="str">
        <f t="shared" si="22"/>
        <v>5-Ventes</v>
      </c>
      <c r="R265" s="149" t="str">
        <f t="shared" si="23"/>
        <v>451</v>
      </c>
      <c r="S265" s="150" t="str">
        <f t="shared" si="24"/>
        <v>_</v>
      </c>
      <c r="T265" s="152" t="str">
        <f>+VLOOKUP($L265,Data_Validation!$A:$D,1,0)</f>
        <v>451</v>
      </c>
      <c r="U265" s="152" t="str">
        <f>+VLOOKUP($L265,Data_Validation!$A:$D,3,0)</f>
        <v>Véhicules usagés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2096</v>
      </c>
      <c r="B266" s="685" t="s">
        <v>2095</v>
      </c>
      <c r="C266" s="687">
        <v>-3700</v>
      </c>
      <c r="D266" s="687">
        <v>0</v>
      </c>
      <c r="E266" s="687">
        <v>-3700</v>
      </c>
      <c r="F266" s="685" t="s">
        <v>2006</v>
      </c>
      <c r="G266" s="685" t="s">
        <v>374</v>
      </c>
      <c r="H266" s="641" t="s">
        <v>3074</v>
      </c>
      <c r="I266" s="641"/>
      <c r="J266" s="641"/>
      <c r="K266" s="641"/>
      <c r="L266" s="149" t="str">
        <f t="shared" si="20"/>
        <v>451C</v>
      </c>
      <c r="M266" s="150" t="str">
        <f t="shared" si="21"/>
        <v>VTE - ACCESSOIRES USAGE AUTRE</v>
      </c>
      <c r="N266" s="151">
        <f>+IF(OR($Q266=Parametres!$G$2,$Q266=Parametres!$G$3),I266,C266)</f>
        <v>-3700</v>
      </c>
      <c r="O266" s="496">
        <f>+IF(OR($Q266=Parametres!$G$2,$Q266=Parametres!$G$3),J266,D266)</f>
        <v>0</v>
      </c>
      <c r="P266" s="151">
        <f>+IF(OR($Q266=Parametres!$G$2,$Q266=Parametres!$G$3),K266,E266)</f>
        <v>-3700</v>
      </c>
      <c r="Q266" s="150" t="str">
        <f t="shared" si="22"/>
        <v>5-Ventes</v>
      </c>
      <c r="R266" s="149" t="str">
        <f t="shared" si="23"/>
        <v>451</v>
      </c>
      <c r="S266" s="150" t="str">
        <f t="shared" si="24"/>
        <v>_</v>
      </c>
      <c r="T266" s="152" t="str">
        <f>+VLOOKUP($L266,Data_Validation!$A:$D,1,0)</f>
        <v>451C</v>
      </c>
      <c r="U266" s="152" t="str">
        <f>+VLOOKUP($L266,Data_Validation!$A:$D,3,0)</f>
        <v>Véhicules usagés</v>
      </c>
      <c r="V266" s="152" t="str">
        <f>+VLOOKUP($L266,Data_Validation!$A:$D,4,0)</f>
        <v>Rev. Autres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3100</v>
      </c>
      <c r="B267" s="685" t="s">
        <v>2097</v>
      </c>
      <c r="C267" s="687">
        <v>-2872</v>
      </c>
      <c r="D267" s="687">
        <v>0</v>
      </c>
      <c r="E267" s="687">
        <v>-2872</v>
      </c>
      <c r="F267" s="685" t="s">
        <v>2006</v>
      </c>
      <c r="G267" s="685" t="s">
        <v>374</v>
      </c>
      <c r="H267" s="641" t="s">
        <v>3074</v>
      </c>
      <c r="I267" s="640"/>
      <c r="J267" s="640"/>
      <c r="K267" s="640"/>
      <c r="L267" s="149" t="str">
        <f t="shared" si="20"/>
        <v>451T</v>
      </c>
      <c r="M267" s="150" t="str">
        <f t="shared" si="21"/>
        <v>VTES -VTE - TRAITEMENT PROTECTION USAGE AUTRE</v>
      </c>
      <c r="N267" s="151">
        <f>+IF(OR($Q267=Parametres!$G$2,$Q267=Parametres!$G$3),I267,C267)</f>
        <v>-2872</v>
      </c>
      <c r="O267" s="151">
        <f>+IF(OR($Q267=Parametres!$G$2,$Q267=Parametres!$G$3),J267,D267)</f>
        <v>0</v>
      </c>
      <c r="P267" s="151">
        <f>+IF(OR($Q267=Parametres!$G$2,$Q267=Parametres!$G$3),K267,E267)</f>
        <v>-2872</v>
      </c>
      <c r="Q267" s="150" t="str">
        <f t="shared" si="22"/>
        <v>5-Ventes</v>
      </c>
      <c r="R267" s="149" t="str">
        <f t="shared" si="23"/>
        <v>451</v>
      </c>
      <c r="S267" s="150" t="str">
        <f t="shared" si="24"/>
        <v>_</v>
      </c>
      <c r="T267" s="152" t="str">
        <f>+VLOOKUP($L267,Data_Validation!$A:$D,1,0)</f>
        <v>451T</v>
      </c>
      <c r="U267" s="152" t="str">
        <f>+VLOOKUP($L267,Data_Validation!$A:$D,3,0)</f>
        <v>Véhicules usagés</v>
      </c>
      <c r="V267" s="152" t="str">
        <f>+VLOOKUP($L267,Data_Validation!$A:$D,4,0)</f>
        <v>Rev. Autres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1105</v>
      </c>
      <c r="B268" s="685" t="s">
        <v>368</v>
      </c>
      <c r="C268" s="687">
        <v>-77956.100000000006</v>
      </c>
      <c r="D268" s="687">
        <v>-5605</v>
      </c>
      <c r="E268" s="687">
        <v>-83561.100000000006</v>
      </c>
      <c r="F268" s="685" t="s">
        <v>2006</v>
      </c>
      <c r="G268" s="685" t="s">
        <v>368</v>
      </c>
      <c r="H268" s="641" t="s">
        <v>3074</v>
      </c>
      <c r="I268" s="641"/>
      <c r="J268" s="641"/>
      <c r="K268" s="641"/>
      <c r="L268" s="149" t="str">
        <f t="shared" si="20"/>
        <v>452</v>
      </c>
      <c r="M268" s="150" t="str">
        <f t="shared" si="21"/>
        <v>VTES -GAR PROL USAGE BMW CERT</v>
      </c>
      <c r="N268" s="151">
        <f>+IF(OR($Q268=Parametres!$G$2,$Q268=Parametres!$G$3),I268,C268)</f>
        <v>-77956.100000000006</v>
      </c>
      <c r="O268" s="151">
        <f>+IF(OR($Q268=Parametres!$G$2,$Q268=Parametres!$G$3),J268,D268)</f>
        <v>-5605</v>
      </c>
      <c r="P268" s="151">
        <f>+IF(OR($Q268=Parametres!$G$2,$Q268=Parametres!$G$3),K268,E268)</f>
        <v>-83561.100000000006</v>
      </c>
      <c r="Q268" s="150" t="str">
        <f t="shared" si="22"/>
        <v>5-Ventes</v>
      </c>
      <c r="R268" s="149" t="str">
        <f t="shared" si="23"/>
        <v>452</v>
      </c>
      <c r="S268" s="150" t="str">
        <f t="shared" si="24"/>
        <v>_</v>
      </c>
      <c r="T268" s="152" t="str">
        <f>+VLOOKUP($L268,Data_Validation!$A:$D,1,0)</f>
        <v>452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1410</v>
      </c>
      <c r="B269" s="685" t="s">
        <v>631</v>
      </c>
      <c r="C269" s="687">
        <v>-84858.49</v>
      </c>
      <c r="D269" s="687">
        <v>0</v>
      </c>
      <c r="E269" s="687">
        <v>-84858.49</v>
      </c>
      <c r="F269" s="685" t="s">
        <v>2006</v>
      </c>
      <c r="G269" s="685" t="s">
        <v>631</v>
      </c>
      <c r="H269" s="641" t="s">
        <v>3074</v>
      </c>
      <c r="I269" s="640"/>
      <c r="J269" s="640"/>
      <c r="K269" s="640"/>
      <c r="L269" s="149" t="str">
        <f t="shared" si="20"/>
        <v>452A</v>
      </c>
      <c r="M269" s="150" t="str">
        <f t="shared" si="21"/>
        <v>VTES -VTES - Z4 30I XDR</v>
      </c>
      <c r="N269" s="151">
        <f>+IF(OR($Q269=Parametres!$G$2,$Q269=Parametres!$G$3),I269,C269)</f>
        <v>-84858.49</v>
      </c>
      <c r="O269" s="151">
        <f>+IF(OR($Q269=Parametres!$G$2,$Q269=Parametres!$G$3),J269,D269)</f>
        <v>0</v>
      </c>
      <c r="P269" s="151">
        <f>+IF(OR($Q269=Parametres!$G$2,$Q269=Parametres!$G$3),K269,E269)</f>
        <v>-84858.49</v>
      </c>
      <c r="Q269" s="150" t="str">
        <f t="shared" si="22"/>
        <v>5-Ventes</v>
      </c>
      <c r="R269" s="149" t="str">
        <f t="shared" si="23"/>
        <v>452A</v>
      </c>
      <c r="S269" s="150" t="str">
        <f t="shared" si="24"/>
        <v>_</v>
      </c>
      <c r="T269" s="152" t="str">
        <f>+VLOOKUP($L269,Data_Validation!$A:$D,1,0)</f>
        <v>452A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632</v>
      </c>
      <c r="B270" s="685" t="s">
        <v>633</v>
      </c>
      <c r="C270" s="1038">
        <v>-686479.4</v>
      </c>
      <c r="D270" s="1038">
        <v>0</v>
      </c>
      <c r="E270" s="1038">
        <v>-686479.4</v>
      </c>
      <c r="F270" s="685" t="s">
        <v>2006</v>
      </c>
      <c r="G270" s="685" t="s">
        <v>633</v>
      </c>
      <c r="H270" s="686" t="s">
        <v>3074</v>
      </c>
      <c r="I270" s="687"/>
      <c r="J270" s="687"/>
      <c r="K270" s="687"/>
      <c r="L270" s="149" t="str">
        <f t="shared" si="20"/>
        <v>452B</v>
      </c>
      <c r="M270" s="150" t="str">
        <f t="shared" si="21"/>
        <v>VTES -VTES - Z4 M40I</v>
      </c>
      <c r="N270" s="151">
        <f>+IF(OR($Q270=Parametres!$G$2,$Q270=Parametres!$G$3),I270,C270)</f>
        <v>-686479.4</v>
      </c>
      <c r="O270" s="151">
        <f>+IF(OR($Q270=Parametres!$G$2,$Q270=Parametres!$G$3),J270,D270)</f>
        <v>0</v>
      </c>
      <c r="P270" s="151">
        <f>+IF(OR($Q270=Parametres!$G$2,$Q270=Parametres!$G$3),K270,E270)</f>
        <v>-686479.4</v>
      </c>
      <c r="Q270" s="150" t="str">
        <f t="shared" si="22"/>
        <v>5-Ventes</v>
      </c>
      <c r="R270" s="149" t="str">
        <f t="shared" si="23"/>
        <v>452B</v>
      </c>
      <c r="S270" s="150" t="str">
        <f t="shared" si="24"/>
        <v>_</v>
      </c>
      <c r="T270" s="152" t="str">
        <f>+VLOOKUP($L270,Data_Validation!$A:$D,1,0)</f>
        <v>452B</v>
      </c>
      <c r="U270" s="152" t="str">
        <f>+VLOOKUP($L270,Data_Validation!$A:$D,3,0)</f>
        <v>Véhicules neufs</v>
      </c>
      <c r="V270" s="152" t="str">
        <f>+VLOOKUP($L270,Data_Validation!$A:$D,4,0)</f>
        <v>Autos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1984</v>
      </c>
      <c r="B271" s="685" t="s">
        <v>1985</v>
      </c>
      <c r="C271" s="1038">
        <v>-25104</v>
      </c>
      <c r="D271" s="1038">
        <v>-21907</v>
      </c>
      <c r="E271" s="1038">
        <v>-47011</v>
      </c>
      <c r="F271" s="685" t="s">
        <v>2006</v>
      </c>
      <c r="G271" s="685" t="s">
        <v>368</v>
      </c>
      <c r="H271" s="686" t="s">
        <v>3074</v>
      </c>
      <c r="I271" s="687"/>
      <c r="J271" s="687"/>
      <c r="K271" s="687"/>
      <c r="L271" s="149" t="str">
        <f t="shared" si="20"/>
        <v>452C</v>
      </c>
      <c r="M271" s="150" t="str">
        <f t="shared" si="21"/>
        <v>VTES -GAR PROL USAGE BMW NON-CERT</v>
      </c>
      <c r="N271" s="151">
        <f>+IF(OR($Q271=Parametres!$G$2,$Q271=Parametres!$G$3),I271,C271)</f>
        <v>-25104</v>
      </c>
      <c r="O271" s="151">
        <f>+IF(OR($Q271=Parametres!$G$2,$Q271=Parametres!$G$3),J271,D271)</f>
        <v>-21907</v>
      </c>
      <c r="P271" s="151">
        <f>+IF(OR($Q271=Parametres!$G$2,$Q271=Parametres!$G$3),K271,E271)</f>
        <v>-47011</v>
      </c>
      <c r="Q271" s="150" t="str">
        <f t="shared" si="22"/>
        <v>5-Ventes</v>
      </c>
      <c r="R271" s="149" t="str">
        <f t="shared" si="23"/>
        <v>452</v>
      </c>
      <c r="S271" s="150" t="str">
        <f t="shared" si="24"/>
        <v>_</v>
      </c>
      <c r="T271" s="152" t="str">
        <f>+VLOOKUP($L271,Data_Validation!$A:$D,1,0)</f>
        <v>452C</v>
      </c>
      <c r="U271" s="152" t="str">
        <f>+VLOOKUP($L271,Data_Validation!$A:$D,3,0)</f>
        <v>Véhicules usagés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1224</v>
      </c>
      <c r="B272" s="685" t="s">
        <v>369</v>
      </c>
      <c r="C272" s="687">
        <v>-18851.189999999999</v>
      </c>
      <c r="D272" s="687">
        <v>0</v>
      </c>
      <c r="E272" s="687">
        <v>-18851.189999999999</v>
      </c>
      <c r="F272" s="685" t="s">
        <v>2006</v>
      </c>
      <c r="G272" s="685" t="s">
        <v>369</v>
      </c>
      <c r="H272" s="641" t="s">
        <v>3074</v>
      </c>
      <c r="I272" s="640"/>
      <c r="J272" s="640"/>
      <c r="K272" s="640"/>
      <c r="L272" s="149" t="str">
        <f t="shared" si="20"/>
        <v>453</v>
      </c>
      <c r="M272" s="150" t="str">
        <f t="shared" si="21"/>
        <v>VTE - RIST FINANCE USAGE AUTRE</v>
      </c>
      <c r="N272" s="151">
        <f>+IF(OR($Q272=Parametres!$G$2,$Q272=Parametres!$G$3),I272,C272)</f>
        <v>-18851.189999999999</v>
      </c>
      <c r="O272" s="151">
        <f>+IF(OR($Q272=Parametres!$G$2,$Q272=Parametres!$G$3),J272,D272)</f>
        <v>0</v>
      </c>
      <c r="P272" s="151">
        <f>+IF(OR($Q272=Parametres!$G$2,$Q272=Parametres!$G$3),K272,E272)</f>
        <v>-18851.189999999999</v>
      </c>
      <c r="Q272" s="150" t="str">
        <f t="shared" si="22"/>
        <v>5-Ventes</v>
      </c>
      <c r="R272" s="149" t="str">
        <f t="shared" si="23"/>
        <v>453</v>
      </c>
      <c r="S272" s="150" t="str">
        <f t="shared" si="24"/>
        <v>_</v>
      </c>
      <c r="T272" s="152" t="str">
        <f>+VLOOKUP($L272,Data_Validation!$A:$D,1,0)</f>
        <v>453</v>
      </c>
      <c r="U272" s="152" t="str">
        <f>+VLOOKUP($L272,Data_Validation!$A:$D,3,0)</f>
        <v>Véhicules usagés</v>
      </c>
      <c r="V272" s="152" t="str">
        <f>+VLOOKUP($L272,Data_Validation!$A:$D,4,0)</f>
        <v>Rev. Finances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2364</v>
      </c>
      <c r="B273" s="685" t="s">
        <v>2359</v>
      </c>
      <c r="C273" s="1038">
        <v>-14520</v>
      </c>
      <c r="D273" s="1038">
        <v>0</v>
      </c>
      <c r="E273" s="1038">
        <v>-14520</v>
      </c>
      <c r="F273" s="685" t="s">
        <v>2006</v>
      </c>
      <c r="G273" s="685" t="s">
        <v>2359</v>
      </c>
      <c r="H273" s="686" t="s">
        <v>3074</v>
      </c>
      <c r="I273" s="687"/>
      <c r="J273" s="687"/>
      <c r="K273" s="687"/>
      <c r="L273" s="149" t="str">
        <f t="shared" si="20"/>
        <v>454</v>
      </c>
      <c r="M273" s="150" t="str">
        <f t="shared" si="21"/>
        <v>VTE - CONT ENTRET USAGE BMW AUTO</v>
      </c>
      <c r="N273" s="151">
        <f>+IF(OR($Q273=Parametres!$G$2,$Q273=Parametres!$G$3),I273,C273)</f>
        <v>-14520</v>
      </c>
      <c r="O273" s="151">
        <f>+IF(OR($Q273=Parametres!$G$2,$Q273=Parametres!$G$3),J273,D273)</f>
        <v>0</v>
      </c>
      <c r="P273" s="151">
        <f>+IF(OR($Q273=Parametres!$G$2,$Q273=Parametres!$G$3),K273,E273)</f>
        <v>-14520</v>
      </c>
      <c r="Q273" s="150" t="str">
        <f t="shared" si="22"/>
        <v>5-Ventes</v>
      </c>
      <c r="R273" s="149" t="str">
        <f t="shared" si="23"/>
        <v>454</v>
      </c>
      <c r="S273" s="150" t="str">
        <f t="shared" si="24"/>
        <v>_</v>
      </c>
      <c r="T273" s="152" t="str">
        <f>+VLOOKUP($L273,Data_Validation!$A:$D,1,0)</f>
        <v>454</v>
      </c>
      <c r="U273" s="152" t="str">
        <f>+VLOOKUP($L273,Data_Validation!$A:$D,3,0)</f>
        <v>Véhicules usagés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2145</v>
      </c>
      <c r="B274" s="685" t="s">
        <v>2146</v>
      </c>
      <c r="C274" s="687">
        <v>-49384.76</v>
      </c>
      <c r="D274" s="687">
        <v>-3329</v>
      </c>
      <c r="E274" s="687">
        <v>-52713.760000000002</v>
      </c>
      <c r="F274" s="685" t="s">
        <v>2006</v>
      </c>
      <c r="G274" s="685" t="s">
        <v>2359</v>
      </c>
      <c r="H274" s="641" t="s">
        <v>3074</v>
      </c>
      <c r="I274" s="640"/>
      <c r="J274" s="640"/>
      <c r="K274" s="640"/>
      <c r="L274" s="149" t="str">
        <f t="shared" si="20"/>
        <v>454A</v>
      </c>
      <c r="M274" s="150" t="str">
        <f t="shared" si="21"/>
        <v>VTES -CONT ENTRET USAGE BMW NON-CERT</v>
      </c>
      <c r="N274" s="151">
        <f>+IF(OR($Q274=Parametres!$G$2,$Q274=Parametres!$G$3),I274,C274)</f>
        <v>-49384.76</v>
      </c>
      <c r="O274" s="151">
        <f>+IF(OR($Q274=Parametres!$G$2,$Q274=Parametres!$G$3),J274,D274)</f>
        <v>-3329</v>
      </c>
      <c r="P274" s="151">
        <f>+IF(OR($Q274=Parametres!$G$2,$Q274=Parametres!$G$3),K274,E274)</f>
        <v>-52713.760000000002</v>
      </c>
      <c r="Q274" s="150" t="str">
        <f t="shared" si="22"/>
        <v>5-Ventes</v>
      </c>
      <c r="R274" s="149" t="str">
        <f t="shared" si="23"/>
        <v>454</v>
      </c>
      <c r="S274" s="150" t="str">
        <f t="shared" si="24"/>
        <v>_</v>
      </c>
      <c r="T274" s="152" t="str">
        <f>+VLOOKUP($L274,Data_Validation!$A:$D,1,0)</f>
        <v>454A</v>
      </c>
      <c r="U274" s="152" t="str">
        <f>+VLOOKUP($L274,Data_Validation!$A:$D,3,0)</f>
        <v>Véhicules usagés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2128</v>
      </c>
      <c r="B275" s="639" t="s">
        <v>2129</v>
      </c>
      <c r="C275" s="640">
        <v>-2500</v>
      </c>
      <c r="D275" s="640">
        <v>0</v>
      </c>
      <c r="E275" s="640">
        <v>-2500</v>
      </c>
      <c r="F275" s="639" t="s">
        <v>2006</v>
      </c>
      <c r="G275" s="639" t="s">
        <v>1012</v>
      </c>
      <c r="H275" s="634" t="s">
        <v>3074</v>
      </c>
      <c r="I275" s="633"/>
      <c r="J275" s="633"/>
      <c r="K275" s="633"/>
      <c r="L275" s="149" t="str">
        <f t="shared" si="20"/>
        <v>454C</v>
      </c>
      <c r="M275" s="150" t="str">
        <f t="shared" si="21"/>
        <v>VTES -ACCESSOIRES USAGE BMW NON-CERT</v>
      </c>
      <c r="N275" s="151">
        <f>+IF(OR($Q275=Parametres!$G$2,$Q275=Parametres!$G$3),I275,C275)</f>
        <v>-2500</v>
      </c>
      <c r="O275" s="151">
        <f>+IF(OR($Q275=Parametres!$G$2,$Q275=Parametres!$G$3),J275,D275)</f>
        <v>0</v>
      </c>
      <c r="P275" s="151">
        <f>+IF(OR($Q275=Parametres!$G$2,$Q275=Parametres!$G$3),K275,E275)</f>
        <v>-2500</v>
      </c>
      <c r="Q275" s="150" t="str">
        <f t="shared" si="22"/>
        <v>5-Ventes</v>
      </c>
      <c r="R275" s="149" t="str">
        <f t="shared" si="23"/>
        <v>450</v>
      </c>
      <c r="S275" s="150" t="str">
        <f t="shared" si="24"/>
        <v>_</v>
      </c>
      <c r="T275" s="152" t="str">
        <f>+VLOOKUP($L275,Data_Validation!$A:$D,1,0)</f>
        <v>454C</v>
      </c>
      <c r="U275" s="152" t="str">
        <f>+VLOOKUP($L275,Data_Validation!$A:$D,3,0)</f>
        <v>Véhicules usagés</v>
      </c>
      <c r="V275" s="152" t="str">
        <f>+VLOOKUP($L275,Data_Validation!$A:$D,4,0)</f>
        <v>Rev. Autres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1951</v>
      </c>
      <c r="B276" s="685" t="s">
        <v>1952</v>
      </c>
      <c r="C276" s="687">
        <v>-2818.49</v>
      </c>
      <c r="D276" s="687">
        <v>-4243</v>
      </c>
      <c r="E276" s="687">
        <v>-7061.49</v>
      </c>
      <c r="F276" s="685" t="s">
        <v>2006</v>
      </c>
      <c r="G276" s="685" t="s">
        <v>1012</v>
      </c>
      <c r="H276" s="641" t="s">
        <v>3074</v>
      </c>
      <c r="I276" s="640"/>
      <c r="J276" s="640"/>
      <c r="K276" s="640"/>
      <c r="L276" s="149" t="str">
        <f t="shared" si="20"/>
        <v>454F</v>
      </c>
      <c r="M276" s="150" t="str">
        <f t="shared" si="21"/>
        <v>VTES -RIST FINANCE USAGE BMW NON-CERT</v>
      </c>
      <c r="N276" s="151">
        <f>+IF(OR($Q276=Parametres!$G$2,$Q276=Parametres!$G$3),I276,C276)</f>
        <v>-2818.49</v>
      </c>
      <c r="O276" s="151">
        <f>+IF(OR($Q276=Parametres!$G$2,$Q276=Parametres!$G$3),J276,D276)</f>
        <v>-4243</v>
      </c>
      <c r="P276" s="151">
        <f>+IF(OR($Q276=Parametres!$G$2,$Q276=Parametres!$G$3),K276,E276)</f>
        <v>-7061.49</v>
      </c>
      <c r="Q276" s="150" t="str">
        <f t="shared" si="22"/>
        <v>5-Ventes</v>
      </c>
      <c r="R276" s="149" t="str">
        <f t="shared" si="23"/>
        <v>450</v>
      </c>
      <c r="S276" s="150" t="str">
        <f t="shared" si="24"/>
        <v>_</v>
      </c>
      <c r="T276" s="152" t="str">
        <f>+VLOOKUP($L276,Data_Validation!$A:$D,1,0)</f>
        <v>454F</v>
      </c>
      <c r="U276" s="152" t="str">
        <f>+VLOOKUP($L276,Data_Validation!$A:$D,3,0)</f>
        <v>Véhicules usagés</v>
      </c>
      <c r="V276" s="152" t="str">
        <f>+VLOOKUP($L276,Data_Validation!$A:$D,4,0)</f>
        <v>Rev. Finances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1953</v>
      </c>
      <c r="B277" s="639" t="s">
        <v>1954</v>
      </c>
      <c r="C277" s="640">
        <v>-798</v>
      </c>
      <c r="D277" s="640">
        <v>0</v>
      </c>
      <c r="E277" s="640">
        <v>-798</v>
      </c>
      <c r="F277" s="639" t="s">
        <v>2006</v>
      </c>
      <c r="G277" s="639" t="s">
        <v>1012</v>
      </c>
      <c r="H277" s="634" t="s">
        <v>3074</v>
      </c>
      <c r="I277" s="633"/>
      <c r="J277" s="633"/>
      <c r="K277" s="633"/>
      <c r="L277" s="149" t="str">
        <f t="shared" si="20"/>
        <v>454M</v>
      </c>
      <c r="M277" s="150" t="str">
        <f t="shared" si="21"/>
        <v>VTES -MARQUAGE USAGE BMW NON-CERT</v>
      </c>
      <c r="N277" s="151">
        <f>+IF(OR($Q277=Parametres!$G$2,$Q277=Parametres!$G$3),I277,C277)</f>
        <v>-798</v>
      </c>
      <c r="O277" s="151">
        <f>+IF(OR($Q277=Parametres!$G$2,$Q277=Parametres!$G$3),J277,D277)</f>
        <v>0</v>
      </c>
      <c r="P277" s="151">
        <f>+IF(OR($Q277=Parametres!$G$2,$Q277=Parametres!$G$3),K277,E277)</f>
        <v>-798</v>
      </c>
      <c r="Q277" s="150" t="str">
        <f t="shared" si="22"/>
        <v>5-Ventes</v>
      </c>
      <c r="R277" s="149" t="str">
        <f t="shared" si="23"/>
        <v>450</v>
      </c>
      <c r="S277" s="150" t="str">
        <f t="shared" si="24"/>
        <v>_</v>
      </c>
      <c r="T277" s="152" t="str">
        <f>+VLOOKUP($L277,Data_Validation!$A:$D,1,0)</f>
        <v>454M</v>
      </c>
      <c r="U277" s="152" t="str">
        <f>+VLOOKUP($L277,Data_Validation!$A:$D,3,0)</f>
        <v>Véhicules usagés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3101</v>
      </c>
      <c r="B278" s="639" t="s">
        <v>2843</v>
      </c>
      <c r="C278" s="640">
        <v>-600</v>
      </c>
      <c r="D278" s="640">
        <v>0</v>
      </c>
      <c r="E278" s="640">
        <v>-600</v>
      </c>
      <c r="F278" s="639" t="s">
        <v>2006</v>
      </c>
      <c r="G278" s="639" t="s">
        <v>1012</v>
      </c>
      <c r="H278" s="634" t="s">
        <v>3074</v>
      </c>
      <c r="I278" s="633"/>
      <c r="J278" s="633"/>
      <c r="K278" s="633"/>
      <c r="L278" s="149" t="str">
        <f t="shared" si="20"/>
        <v>454T</v>
      </c>
      <c r="M278" s="150" t="str">
        <f t="shared" si="21"/>
        <v>VTES -VTES -TRAITEMENT PROTECTION USAGE BMW N</v>
      </c>
      <c r="N278" s="151">
        <f>+IF(OR($Q278=Parametres!$G$2,$Q278=Parametres!$G$3),I278,C278)</f>
        <v>-600</v>
      </c>
      <c r="O278" s="151">
        <f>+IF(OR($Q278=Parametres!$G$2,$Q278=Parametres!$G$3),J278,D278)</f>
        <v>0</v>
      </c>
      <c r="P278" s="151">
        <f>+IF(OR($Q278=Parametres!$G$2,$Q278=Parametres!$G$3),K278,E278)</f>
        <v>-600</v>
      </c>
      <c r="Q278" s="150" t="str">
        <f t="shared" si="22"/>
        <v>5-Ventes</v>
      </c>
      <c r="R278" s="149" t="str">
        <f t="shared" si="23"/>
        <v>450</v>
      </c>
      <c r="S278" s="150" t="str">
        <f t="shared" si="24"/>
        <v>_</v>
      </c>
      <c r="T278" s="152" t="str">
        <f>+VLOOKUP($L278,Data_Validation!$A:$D,1,0)</f>
        <v>454T</v>
      </c>
      <c r="U278" s="152" t="str">
        <f>+VLOOKUP($L278,Data_Validation!$A:$D,3,0)</f>
        <v>Véhicules usagés</v>
      </c>
      <c r="V278" s="152" t="str">
        <f>+VLOOKUP($L278,Data_Validation!$A:$D,4,0)</f>
        <v>Rev. Autres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1411</v>
      </c>
      <c r="B279" s="685" t="s">
        <v>366</v>
      </c>
      <c r="C279" s="687">
        <v>-4885</v>
      </c>
      <c r="D279" s="687">
        <v>0</v>
      </c>
      <c r="E279" s="687">
        <v>-4885</v>
      </c>
      <c r="F279" s="685" t="s">
        <v>2006</v>
      </c>
      <c r="G279" s="685" t="s">
        <v>366</v>
      </c>
      <c r="H279" s="634" t="s">
        <v>3074</v>
      </c>
      <c r="I279" s="633"/>
      <c r="J279" s="633"/>
      <c r="K279" s="633"/>
      <c r="L279" s="149" t="str">
        <f t="shared" si="20"/>
        <v>455</v>
      </c>
      <c r="M279" s="150" t="str">
        <f t="shared" si="21"/>
        <v>VTE - GAR PROL USAGE AUTRE</v>
      </c>
      <c r="N279" s="151">
        <f>+IF(OR($Q279=Parametres!$G$2,$Q279=Parametres!$G$3),I279,C279)</f>
        <v>-4885</v>
      </c>
      <c r="O279" s="151">
        <f>+IF(OR($Q279=Parametres!$G$2,$Q279=Parametres!$G$3),J279,D279)</f>
        <v>0</v>
      </c>
      <c r="P279" s="151">
        <f>+IF(OR($Q279=Parametres!$G$2,$Q279=Parametres!$G$3),K279,E279)</f>
        <v>-4885</v>
      </c>
      <c r="Q279" s="150" t="str">
        <f t="shared" si="22"/>
        <v>5-Ventes</v>
      </c>
      <c r="R279" s="149" t="str">
        <f t="shared" si="23"/>
        <v>455</v>
      </c>
      <c r="S279" s="150" t="str">
        <f t="shared" si="24"/>
        <v>_</v>
      </c>
      <c r="T279" s="152" t="str">
        <f>+VLOOKUP($L279,Data_Validation!$A:$D,1,0)</f>
        <v>455</v>
      </c>
      <c r="U279" s="152" t="str">
        <f>+VLOOKUP($L279,Data_Validation!$A:$D,3,0)</f>
        <v>Véhicules usagés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1178</v>
      </c>
      <c r="B280" s="685" t="s">
        <v>450</v>
      </c>
      <c r="C280" s="687">
        <v>-53075.74</v>
      </c>
      <c r="D280" s="687">
        <v>-4208.88</v>
      </c>
      <c r="E280" s="687">
        <v>-57284.62</v>
      </c>
      <c r="F280" s="685" t="s">
        <v>2006</v>
      </c>
      <c r="G280" s="685" t="s">
        <v>450</v>
      </c>
      <c r="H280" s="595" t="s">
        <v>3074</v>
      </c>
      <c r="I280" s="594"/>
      <c r="J280" s="594"/>
      <c r="K280" s="594"/>
      <c r="L280" s="149" t="str">
        <f t="shared" si="20"/>
        <v>459A</v>
      </c>
      <c r="M280" s="150" t="str">
        <f t="shared" si="21"/>
        <v>VTE - BMW SPA PROGRAMME</v>
      </c>
      <c r="N280" s="151">
        <f>+IF(OR($Q280=Parametres!$G$2,$Q280=Parametres!$G$3),I280,C280)</f>
        <v>-53075.74</v>
      </c>
      <c r="O280" s="151">
        <f>+IF(OR($Q280=Parametres!$G$2,$Q280=Parametres!$G$3),J280,D280)</f>
        <v>-4208.88</v>
      </c>
      <c r="P280" s="151">
        <f>+IF(OR($Q280=Parametres!$G$2,$Q280=Parametres!$G$3),K280,E280)</f>
        <v>-57284.62</v>
      </c>
      <c r="Q280" s="150" t="str">
        <f t="shared" si="22"/>
        <v>5-Ventes</v>
      </c>
      <c r="R280" s="149" t="str">
        <f t="shared" si="23"/>
        <v>459A</v>
      </c>
      <c r="S280" s="150" t="str">
        <f t="shared" si="24"/>
        <v>_</v>
      </c>
      <c r="T280" s="152" t="str">
        <f>+VLOOKUP($L280,Data_Validation!$A:$D,1,0)</f>
        <v>459A</v>
      </c>
      <c r="U280" s="152" t="str">
        <f>+VLOOKUP($L280,Data_Validation!$A:$D,3,0)</f>
        <v>service</v>
      </c>
      <c r="V280" s="152" t="str">
        <f>+VLOOKUP($L280,Data_Validation!$A:$D,4,0)</f>
        <v>M/O Esthétique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2189</v>
      </c>
      <c r="B281" s="685" t="s">
        <v>2190</v>
      </c>
      <c r="C281" s="687">
        <v>-2159.8000000000002</v>
      </c>
      <c r="D281" s="687">
        <v>0</v>
      </c>
      <c r="E281" s="687">
        <v>-2159.8000000000002</v>
      </c>
      <c r="F281" s="685" t="s">
        <v>2006</v>
      </c>
      <c r="G281" s="685" t="s">
        <v>2415</v>
      </c>
      <c r="H281" s="641" t="s">
        <v>3074</v>
      </c>
      <c r="I281" s="640"/>
      <c r="J281" s="640"/>
      <c r="K281" s="640"/>
      <c r="L281" s="149" t="str">
        <f t="shared" si="20"/>
        <v>459B</v>
      </c>
      <c r="M281" s="150" t="str">
        <f t="shared" si="21"/>
        <v>VTES -VTE - SUBLET ESTHETIQUE</v>
      </c>
      <c r="N281" s="151">
        <f>+IF(OR($Q281=Parametres!$G$2,$Q281=Parametres!$G$3),I281,C281)</f>
        <v>-2159.8000000000002</v>
      </c>
      <c r="O281" s="151">
        <f>+IF(OR($Q281=Parametres!$G$2,$Q281=Parametres!$G$3),J281,D281)</f>
        <v>0</v>
      </c>
      <c r="P281" s="151">
        <f>+IF(OR($Q281=Parametres!$G$2,$Q281=Parametres!$G$3),K281,E281)</f>
        <v>-2159.8000000000002</v>
      </c>
      <c r="Q281" s="150" t="str">
        <f t="shared" si="22"/>
        <v>5-Ventes</v>
      </c>
      <c r="R281" s="149" t="str">
        <f t="shared" si="23"/>
        <v>459</v>
      </c>
      <c r="S281" s="150" t="str">
        <f t="shared" si="24"/>
        <v>_</v>
      </c>
      <c r="T281" s="152" t="str">
        <f>+VLOOKUP($L281,Data_Validation!$A:$D,1,0)</f>
        <v>459B</v>
      </c>
      <c r="U281" s="152" t="str">
        <f>+VLOOKUP($L281,Data_Validation!$A:$D,3,0)</f>
        <v>Service</v>
      </c>
      <c r="V281" s="152" t="str">
        <f>+VLOOKUP($L281,Data_Validation!$A:$D,4,0)</f>
        <v>M/O Esthétique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1115</v>
      </c>
      <c r="B282" s="685" t="s">
        <v>1116</v>
      </c>
      <c r="C282" s="687">
        <v>-160510.99</v>
      </c>
      <c r="D282" s="687">
        <v>-47112.35</v>
      </c>
      <c r="E282" s="687">
        <v>-207623.34</v>
      </c>
      <c r="F282" s="685" t="s">
        <v>2006</v>
      </c>
      <c r="G282" s="685" t="s">
        <v>1116</v>
      </c>
      <c r="H282" s="641" t="s">
        <v>3074</v>
      </c>
      <c r="I282" s="640"/>
      <c r="J282" s="640"/>
      <c r="K282" s="640"/>
      <c r="L282" s="149" t="str">
        <f t="shared" si="20"/>
        <v>460A</v>
      </c>
      <c r="M282" s="150" t="str">
        <f t="shared" si="21"/>
        <v>VTE - M/O CLIENT BMW AUTO</v>
      </c>
      <c r="N282" s="151">
        <f>+IF(OR($Q282=Parametres!$G$2,$Q282=Parametres!$G$3),I282,C282)</f>
        <v>-160510.99</v>
      </c>
      <c r="O282" s="151">
        <f>+IF(OR($Q282=Parametres!$G$2,$Q282=Parametres!$G$3),J282,D282)</f>
        <v>-47112.35</v>
      </c>
      <c r="P282" s="151">
        <f>+IF(OR($Q282=Parametres!$G$2,$Q282=Parametres!$G$3),K282,E282)</f>
        <v>-207623.34</v>
      </c>
      <c r="Q282" s="150" t="str">
        <f t="shared" si="22"/>
        <v>5-Ventes</v>
      </c>
      <c r="R282" s="149" t="str">
        <f t="shared" si="23"/>
        <v>460A</v>
      </c>
      <c r="S282" s="150" t="str">
        <f t="shared" si="24"/>
        <v>_</v>
      </c>
      <c r="T282" s="152" t="str">
        <f>+VLOOKUP($L282,Data_Validation!$A:$D,1,0)</f>
        <v>460A</v>
      </c>
      <c r="U282" s="152" t="str">
        <f>+VLOOKUP($L282,Data_Validation!$A:$D,3,0)</f>
        <v>service</v>
      </c>
      <c r="V282" s="152" t="str">
        <f>+VLOOKUP($L282,Data_Validation!$A:$D,4,0)</f>
        <v>M/O Client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1129</v>
      </c>
      <c r="B283" s="685" t="s">
        <v>415</v>
      </c>
      <c r="C283" s="687">
        <v>-233774.07999999999</v>
      </c>
      <c r="D283" s="687">
        <v>-41230.370000000003</v>
      </c>
      <c r="E283" s="687">
        <v>-275004.45</v>
      </c>
      <c r="F283" s="685" t="s">
        <v>2006</v>
      </c>
      <c r="G283" s="685" t="s">
        <v>1116</v>
      </c>
      <c r="H283" s="641" t="s">
        <v>3074</v>
      </c>
      <c r="I283" s="640"/>
      <c r="J283" s="640"/>
      <c r="K283" s="640"/>
      <c r="L283" s="149" t="str">
        <f t="shared" si="20"/>
        <v>460B</v>
      </c>
      <c r="M283" s="150" t="str">
        <f t="shared" si="21"/>
        <v>VTE - M/O CLIENT BMW CAMION</v>
      </c>
      <c r="N283" s="151">
        <f>+IF(OR($Q283=Parametres!$G$2,$Q283=Parametres!$G$3),I283,C283)</f>
        <v>-233774.07999999999</v>
      </c>
      <c r="O283" s="151">
        <f>+IF(OR($Q283=Parametres!$G$2,$Q283=Parametres!$G$3),J283,D283)</f>
        <v>-41230.370000000003</v>
      </c>
      <c r="P283" s="151">
        <f>+IF(OR($Q283=Parametres!$G$2,$Q283=Parametres!$G$3),K283,E283)</f>
        <v>-275004.45</v>
      </c>
      <c r="Q283" s="150" t="str">
        <f t="shared" si="22"/>
        <v>5-Ventes</v>
      </c>
      <c r="R283" s="149" t="str">
        <f t="shared" si="23"/>
        <v>460A</v>
      </c>
      <c r="S283" s="150" t="str">
        <f t="shared" si="24"/>
        <v>_</v>
      </c>
      <c r="T283" s="152" t="str">
        <f>+VLOOKUP($L283,Data_Validation!$A:$D,1,0)</f>
        <v>460B</v>
      </c>
      <c r="U283" s="152" t="str">
        <f>+VLOOKUP($L283,Data_Validation!$A:$D,3,0)</f>
        <v>service</v>
      </c>
      <c r="V283" s="152" t="str">
        <f>+VLOOKUP($L283,Data_Validation!$A:$D,4,0)</f>
        <v>M/O Client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1013</v>
      </c>
      <c r="B284" s="685" t="s">
        <v>458</v>
      </c>
      <c r="C284" s="687">
        <v>-33538.29</v>
      </c>
      <c r="D284" s="687">
        <v>-6804.91</v>
      </c>
      <c r="E284" s="687">
        <v>-40343.199999999997</v>
      </c>
      <c r="F284" s="685" t="s">
        <v>2006</v>
      </c>
      <c r="G284" s="685" t="s">
        <v>1116</v>
      </c>
      <c r="H284" s="641" t="s">
        <v>3074</v>
      </c>
      <c r="I284" s="640"/>
      <c r="J284" s="640"/>
      <c r="K284" s="640"/>
      <c r="L284" s="149" t="str">
        <f t="shared" si="20"/>
        <v>460D</v>
      </c>
      <c r="M284" s="150" t="str">
        <f t="shared" si="21"/>
        <v>VTE - M/O CLIENT BMW I</v>
      </c>
      <c r="N284" s="151">
        <f>+IF(OR($Q284=Parametres!$G$2,$Q284=Parametres!$G$3),I284,C284)</f>
        <v>-33538.29</v>
      </c>
      <c r="O284" s="151">
        <f>+IF(OR($Q284=Parametres!$G$2,$Q284=Parametres!$G$3),J284,D284)</f>
        <v>-6804.91</v>
      </c>
      <c r="P284" s="151">
        <f>+IF(OR($Q284=Parametres!$G$2,$Q284=Parametres!$G$3),K284,E284)</f>
        <v>-40343.199999999997</v>
      </c>
      <c r="Q284" s="150" t="str">
        <f t="shared" si="22"/>
        <v>5-Ventes</v>
      </c>
      <c r="R284" s="149" t="str">
        <f t="shared" si="23"/>
        <v>460A</v>
      </c>
      <c r="S284" s="150" t="str">
        <f t="shared" si="24"/>
        <v>_</v>
      </c>
      <c r="T284" s="152" t="str">
        <f>+VLOOKUP($L284,Data_Validation!$A:$D,1,0)</f>
        <v>460D</v>
      </c>
      <c r="U284" s="152" t="str">
        <f>+VLOOKUP($L284,Data_Validation!$A:$D,3,0)</f>
        <v>service</v>
      </c>
      <c r="V284" s="152" t="str">
        <f>+VLOOKUP($L284,Data_Validation!$A:$D,4,0)</f>
        <v>M/O Client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1127</v>
      </c>
      <c r="B285" s="685" t="s">
        <v>1110</v>
      </c>
      <c r="C285" s="687">
        <v>-33483.410000000003</v>
      </c>
      <c r="D285" s="687">
        <v>-9267.43</v>
      </c>
      <c r="E285" s="687">
        <v>-42750.84</v>
      </c>
      <c r="F285" s="685" t="s">
        <v>2006</v>
      </c>
      <c r="G285" s="685" t="s">
        <v>1110</v>
      </c>
      <c r="H285" s="641" t="s">
        <v>3074</v>
      </c>
      <c r="I285" s="640"/>
      <c r="J285" s="640"/>
      <c r="K285" s="640"/>
      <c r="L285" s="149" t="str">
        <f t="shared" si="20"/>
        <v>461A</v>
      </c>
      <c r="M285" s="150" t="str">
        <f t="shared" si="21"/>
        <v>VTE - M/O GARANTIE BMW AUTO</v>
      </c>
      <c r="N285" s="151">
        <f>+IF(OR($Q285=Parametres!$G$2,$Q285=Parametres!$G$3),I285,C285)</f>
        <v>-33483.410000000003</v>
      </c>
      <c r="O285" s="151">
        <f>+IF(OR($Q285=Parametres!$G$2,$Q285=Parametres!$G$3),J285,D285)</f>
        <v>-9267.43</v>
      </c>
      <c r="P285" s="151">
        <f>+IF(OR($Q285=Parametres!$G$2,$Q285=Parametres!$G$3),K285,E285)</f>
        <v>-42750.84</v>
      </c>
      <c r="Q285" s="150" t="str">
        <f t="shared" si="22"/>
        <v>5-Ventes</v>
      </c>
      <c r="R285" s="149" t="str">
        <f t="shared" si="23"/>
        <v>461A</v>
      </c>
      <c r="S285" s="150" t="str">
        <f t="shared" si="24"/>
        <v>_</v>
      </c>
      <c r="T285" s="152" t="str">
        <f>+VLOOKUP($L285,Data_Validation!$A:$D,1,0)</f>
        <v>461A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1109</v>
      </c>
      <c r="B286" s="685" t="s">
        <v>436</v>
      </c>
      <c r="C286" s="687">
        <v>-76771.39</v>
      </c>
      <c r="D286" s="687">
        <v>-7459.78</v>
      </c>
      <c r="E286" s="687">
        <v>-84231.17</v>
      </c>
      <c r="F286" s="685" t="s">
        <v>2006</v>
      </c>
      <c r="G286" s="685" t="s">
        <v>1110</v>
      </c>
      <c r="H286" s="641" t="s">
        <v>3074</v>
      </c>
      <c r="I286" s="640"/>
      <c r="J286" s="640"/>
      <c r="K286" s="640"/>
      <c r="L286" s="149" t="str">
        <f t="shared" si="20"/>
        <v>461B</v>
      </c>
      <c r="M286" s="150" t="str">
        <f t="shared" si="21"/>
        <v>VTE - M/O GARANTIE BMW CAMION</v>
      </c>
      <c r="N286" s="151">
        <f>+IF(OR($Q286=Parametres!$G$2,$Q286=Parametres!$G$3),I286,C286)</f>
        <v>-76771.39</v>
      </c>
      <c r="O286" s="151">
        <f>+IF(OR($Q286=Parametres!$G$2,$Q286=Parametres!$G$3),J286,D286)</f>
        <v>-7459.78</v>
      </c>
      <c r="P286" s="151">
        <f>+IF(OR($Q286=Parametres!$G$2,$Q286=Parametres!$G$3),K286,E286)</f>
        <v>-84231.17</v>
      </c>
      <c r="Q286" s="150" t="str">
        <f t="shared" si="22"/>
        <v>5-Ventes</v>
      </c>
      <c r="R286" s="149" t="str">
        <f t="shared" si="23"/>
        <v>461A</v>
      </c>
      <c r="S286" s="150" t="str">
        <f t="shared" si="24"/>
        <v>_</v>
      </c>
      <c r="T286" s="152" t="str">
        <f>+VLOOKUP($L286,Data_Validation!$A:$D,1,0)</f>
        <v>461B</v>
      </c>
      <c r="U286" s="152" t="str">
        <f>+VLOOKUP($L286,Data_Validation!$A:$D,3,0)</f>
        <v>service</v>
      </c>
      <c r="V286" s="152" t="str">
        <f>+VLOOKUP($L286,Data_Validation!$A:$D,4,0)</f>
        <v>M/O Garantie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1160</v>
      </c>
      <c r="B287" s="685" t="s">
        <v>441</v>
      </c>
      <c r="C287" s="687">
        <v>-18492.63</v>
      </c>
      <c r="D287" s="687">
        <v>-5484.94</v>
      </c>
      <c r="E287" s="687">
        <v>-23977.57</v>
      </c>
      <c r="F287" s="685" t="s">
        <v>2006</v>
      </c>
      <c r="G287" s="685" t="s">
        <v>441</v>
      </c>
      <c r="H287" s="641" t="s">
        <v>3074</v>
      </c>
      <c r="I287" s="641"/>
      <c r="J287" s="641"/>
      <c r="K287" s="641"/>
      <c r="L287" s="149" t="str">
        <f t="shared" si="20"/>
        <v>461D</v>
      </c>
      <c r="M287" s="500" t="str">
        <f t="shared" si="21"/>
        <v>VTE - M/O ENTRETIEN BMW AUTO</v>
      </c>
      <c r="N287" s="151">
        <f>+IF(OR($Q287=Parametres!$G$2,$Q287=Parametres!$G$3),I287,C287)</f>
        <v>-18492.63</v>
      </c>
      <c r="O287" s="501">
        <f>+IF(OR($Q287=Parametres!$G$2,$Q287=Parametres!$G$3),J287,D287)</f>
        <v>-5484.94</v>
      </c>
      <c r="P287" s="502">
        <f>+IF(OR($Q287=Parametres!$G$2,$Q287=Parametres!$G$3),K287,E287)</f>
        <v>-23977.57</v>
      </c>
      <c r="Q287" s="150" t="str">
        <f t="shared" si="22"/>
        <v>5-Ventes</v>
      </c>
      <c r="R287" s="149" t="str">
        <f t="shared" si="23"/>
        <v>461D</v>
      </c>
      <c r="S287" s="150" t="str">
        <f t="shared" si="24"/>
        <v>_</v>
      </c>
      <c r="T287" s="152" t="str">
        <f>+VLOOKUP($L287,Data_Validation!$A:$D,1,0)</f>
        <v>461D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1141</v>
      </c>
      <c r="B288" s="639" t="s">
        <v>435</v>
      </c>
      <c r="C288" s="640">
        <v>-44329.24</v>
      </c>
      <c r="D288" s="640">
        <v>-10531.67</v>
      </c>
      <c r="E288" s="640">
        <v>-54860.91</v>
      </c>
      <c r="F288" s="639" t="s">
        <v>2006</v>
      </c>
      <c r="G288" s="639" t="s">
        <v>441</v>
      </c>
      <c r="H288" s="634" t="s">
        <v>3074</v>
      </c>
      <c r="I288" s="633"/>
      <c r="J288" s="633"/>
      <c r="K288" s="633"/>
      <c r="L288" s="149" t="str">
        <f t="shared" si="20"/>
        <v>461E</v>
      </c>
      <c r="M288" s="150" t="str">
        <f t="shared" si="21"/>
        <v>VTE - M/O ENTRETIEN BMW CAMION</v>
      </c>
      <c r="N288" s="151">
        <f>+IF(OR($Q288=Parametres!$G$2,$Q288=Parametres!$G$3),I288,C288)</f>
        <v>-44329.24</v>
      </c>
      <c r="O288" s="151">
        <f>+IF(OR($Q288=Parametres!$G$2,$Q288=Parametres!$G$3),J288,D288)</f>
        <v>-10531.67</v>
      </c>
      <c r="P288" s="151">
        <f>+IF(OR($Q288=Parametres!$G$2,$Q288=Parametres!$G$3),K288,E288)</f>
        <v>-54860.91</v>
      </c>
      <c r="Q288" s="150" t="str">
        <f t="shared" si="22"/>
        <v>5-Ventes</v>
      </c>
      <c r="R288" s="149" t="str">
        <f t="shared" si="23"/>
        <v>461D</v>
      </c>
      <c r="S288" s="150" t="str">
        <f t="shared" si="24"/>
        <v>_</v>
      </c>
      <c r="T288" s="152" t="str">
        <f>+VLOOKUP($L288,Data_Validation!$A:$D,1,0)</f>
        <v>461E</v>
      </c>
      <c r="U288" s="152" t="str">
        <f>+VLOOKUP($L288,Data_Validation!$A:$D,3,0)</f>
        <v>service</v>
      </c>
      <c r="V288" s="152" t="str">
        <f>+VLOOKUP($L288,Data_Validation!$A:$D,4,0)</f>
        <v>M/O Garantie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1222</v>
      </c>
      <c r="B289" s="685" t="s">
        <v>469</v>
      </c>
      <c r="C289" s="687">
        <v>-5166</v>
      </c>
      <c r="D289" s="687">
        <v>-938.92</v>
      </c>
      <c r="E289" s="687">
        <v>-6104.92</v>
      </c>
      <c r="F289" s="685" t="s">
        <v>2006</v>
      </c>
      <c r="G289" s="685" t="s">
        <v>441</v>
      </c>
      <c r="H289" s="641" t="s">
        <v>3074</v>
      </c>
      <c r="I289" s="640"/>
      <c r="J289" s="640"/>
      <c r="K289" s="640"/>
      <c r="L289" s="149" t="str">
        <f t="shared" si="20"/>
        <v>461G</v>
      </c>
      <c r="M289" s="150" t="str">
        <f t="shared" si="21"/>
        <v>VTE - M/O ENTRETIEN BMW I</v>
      </c>
      <c r="N289" s="151">
        <f>+IF(OR($Q289=Parametres!$G$2,$Q289=Parametres!$G$3),I289,C289)</f>
        <v>-5166</v>
      </c>
      <c r="O289" s="151">
        <f>+IF(OR($Q289=Parametres!$G$2,$Q289=Parametres!$G$3),J289,D289)</f>
        <v>-938.92</v>
      </c>
      <c r="P289" s="151">
        <f>+IF(OR($Q289=Parametres!$G$2,$Q289=Parametres!$G$3),K289,E289)</f>
        <v>-6104.92</v>
      </c>
      <c r="Q289" s="150" t="str">
        <f t="shared" si="22"/>
        <v>5-Ventes</v>
      </c>
      <c r="R289" s="149" t="str">
        <f t="shared" si="23"/>
        <v>461D</v>
      </c>
      <c r="S289" s="150" t="str">
        <f t="shared" si="24"/>
        <v>_</v>
      </c>
      <c r="T289" s="152" t="str">
        <f>+VLOOKUP($L289,Data_Validation!$A:$D,1,0)</f>
        <v>461G</v>
      </c>
      <c r="U289" s="152" t="str">
        <f>+VLOOKUP($L289,Data_Validation!$A:$D,3,0)</f>
        <v>service</v>
      </c>
      <c r="V289" s="152" t="str">
        <f>+VLOOKUP($L289,Data_Validation!$A:$D,4,0)</f>
        <v>M/O Garantie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1225</v>
      </c>
      <c r="B290" s="685" t="s">
        <v>468</v>
      </c>
      <c r="C290" s="1038">
        <v>-11074.47</v>
      </c>
      <c r="D290" s="1038">
        <v>-341.88</v>
      </c>
      <c r="E290" s="1038">
        <v>-11416.35</v>
      </c>
      <c r="F290" s="685" t="s">
        <v>2006</v>
      </c>
      <c r="G290" s="685" t="s">
        <v>1110</v>
      </c>
      <c r="H290" s="686" t="s">
        <v>3074</v>
      </c>
      <c r="I290" s="687"/>
      <c r="J290" s="687"/>
      <c r="K290" s="687"/>
      <c r="L290" s="149" t="str">
        <f t="shared" si="20"/>
        <v>461H</v>
      </c>
      <c r="M290" s="150" t="str">
        <f t="shared" si="21"/>
        <v>VTE - M/O GARANTIE BMW</v>
      </c>
      <c r="N290" s="151">
        <f>+IF(OR($Q290=Parametres!$G$2,$Q290=Parametres!$G$3),I290,C290)</f>
        <v>-11074.47</v>
      </c>
      <c r="O290" s="151">
        <f>+IF(OR($Q290=Parametres!$G$2,$Q290=Parametres!$G$3),J290,D290)</f>
        <v>-341.88</v>
      </c>
      <c r="P290" s="151">
        <f>+IF(OR($Q290=Parametres!$G$2,$Q290=Parametres!$G$3),K290,E290)</f>
        <v>-11416.35</v>
      </c>
      <c r="Q290" s="150" t="str">
        <f t="shared" si="22"/>
        <v>5-Ventes</v>
      </c>
      <c r="R290" s="149" t="str">
        <f t="shared" si="23"/>
        <v>461A</v>
      </c>
      <c r="S290" s="150" t="str">
        <f t="shared" si="24"/>
        <v>_</v>
      </c>
      <c r="T290" s="152" t="str">
        <f>+VLOOKUP($L290,Data_Validation!$A:$D,1,0)</f>
        <v>461H</v>
      </c>
      <c r="U290" s="152" t="str">
        <f>+VLOOKUP($L290,Data_Validation!$A:$D,3,0)</f>
        <v>service</v>
      </c>
      <c r="V290" s="152" t="str">
        <f>+VLOOKUP($L290,Data_Validation!$A:$D,4,0)</f>
        <v>M/O Garantie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1140</v>
      </c>
      <c r="B291" s="685" t="s">
        <v>1139</v>
      </c>
      <c r="C291" s="687">
        <v>-120204.68</v>
      </c>
      <c r="D291" s="687">
        <v>-19550.18</v>
      </c>
      <c r="E291" s="687">
        <v>-139754.85999999999</v>
      </c>
      <c r="F291" s="685" t="s">
        <v>2006</v>
      </c>
      <c r="G291" s="685" t="s">
        <v>1139</v>
      </c>
      <c r="H291" s="641" t="s">
        <v>3074</v>
      </c>
      <c r="I291" s="641"/>
      <c r="J291" s="641"/>
      <c r="K291" s="641"/>
      <c r="L291" s="149" t="str">
        <f t="shared" si="20"/>
        <v>462A</v>
      </c>
      <c r="M291" s="150" t="str">
        <f t="shared" si="21"/>
        <v>VTE - M/O INTERNE BMW AUTO</v>
      </c>
      <c r="N291" s="151">
        <f>+IF(OR($Q291=Parametres!$G$2,$Q291=Parametres!$G$3),I291,C291)</f>
        <v>-120204.68</v>
      </c>
      <c r="O291" s="151">
        <f>+IF(OR($Q291=Parametres!$G$2,$Q291=Parametres!$G$3),J291,D291)</f>
        <v>-19550.18</v>
      </c>
      <c r="P291" s="151">
        <f>+IF(OR($Q291=Parametres!$G$2,$Q291=Parametres!$G$3),K291,E291)</f>
        <v>-139754.85999999999</v>
      </c>
      <c r="Q291" s="150" t="str">
        <f t="shared" si="22"/>
        <v>5-Ventes</v>
      </c>
      <c r="R291" s="149" t="str">
        <f t="shared" si="23"/>
        <v>462A</v>
      </c>
      <c r="S291" s="150" t="str">
        <f t="shared" si="24"/>
        <v>_</v>
      </c>
      <c r="T291" s="152" t="str">
        <f>+VLOOKUP($L291,Data_Validation!$A:$D,1,0)</f>
        <v>462A</v>
      </c>
      <c r="U291" s="152" t="str">
        <f>+VLOOKUP($L291,Data_Validation!$A:$D,3,0)</f>
        <v>service</v>
      </c>
      <c r="V291" s="152" t="str">
        <f>+VLOOKUP($L291,Data_Validation!$A:$D,4,0)</f>
        <v>M/O Interne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1138</v>
      </c>
      <c r="B292" s="685" t="s">
        <v>431</v>
      </c>
      <c r="C292" s="687">
        <v>-221435.64</v>
      </c>
      <c r="D292" s="687">
        <v>-24641.32</v>
      </c>
      <c r="E292" s="687">
        <v>-246076.96</v>
      </c>
      <c r="F292" s="685" t="s">
        <v>2006</v>
      </c>
      <c r="G292" s="685" t="s">
        <v>1139</v>
      </c>
      <c r="H292" s="641" t="s">
        <v>3074</v>
      </c>
      <c r="I292" s="640"/>
      <c r="J292" s="640"/>
      <c r="K292" s="640"/>
      <c r="L292" s="149" t="str">
        <f t="shared" si="20"/>
        <v>462B</v>
      </c>
      <c r="M292" s="150" t="str">
        <f t="shared" si="21"/>
        <v>VTE - M/O INTERNE BMW CAMION</v>
      </c>
      <c r="N292" s="151">
        <f>+IF(OR($Q292=Parametres!$G$2,$Q292=Parametres!$G$3),I292,C292)</f>
        <v>-221435.64</v>
      </c>
      <c r="O292" s="151">
        <f>+IF(OR($Q292=Parametres!$G$2,$Q292=Parametres!$G$3),J292,D292)</f>
        <v>-24641.32</v>
      </c>
      <c r="P292" s="151">
        <f>+IF(OR($Q292=Parametres!$G$2,$Q292=Parametres!$G$3),K292,E292)</f>
        <v>-246076.96</v>
      </c>
      <c r="Q292" s="150" t="str">
        <f t="shared" si="22"/>
        <v>5-Ventes</v>
      </c>
      <c r="R292" s="149" t="str">
        <f t="shared" si="23"/>
        <v>462A</v>
      </c>
      <c r="S292" s="150" t="str">
        <f t="shared" si="24"/>
        <v>_</v>
      </c>
      <c r="T292" s="152" t="str">
        <f>+VLOOKUP($L292,Data_Validation!$A:$D,1,0)</f>
        <v>462B</v>
      </c>
      <c r="U292" s="152" t="str">
        <f>+VLOOKUP($L292,Data_Validation!$A:$D,3,0)</f>
        <v>service</v>
      </c>
      <c r="V292" s="152" t="str">
        <f>+VLOOKUP($L292,Data_Validation!$A:$D,4,0)</f>
        <v>M/O Interne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1018</v>
      </c>
      <c r="B293" s="639" t="s">
        <v>471</v>
      </c>
      <c r="C293" s="640">
        <v>-19471.46</v>
      </c>
      <c r="D293" s="640">
        <v>-3947.75</v>
      </c>
      <c r="E293" s="640">
        <v>-23419.21</v>
      </c>
      <c r="F293" s="639" t="s">
        <v>2006</v>
      </c>
      <c r="G293" s="639" t="s">
        <v>1139</v>
      </c>
      <c r="H293" s="634" t="s">
        <v>3074</v>
      </c>
      <c r="I293" s="633"/>
      <c r="J293" s="633"/>
      <c r="K293" s="633"/>
      <c r="L293" s="149" t="str">
        <f t="shared" si="20"/>
        <v>462D</v>
      </c>
      <c r="M293" s="150" t="str">
        <f t="shared" si="21"/>
        <v>VTE - M/O INTERNE BMW I</v>
      </c>
      <c r="N293" s="151">
        <f>+IF(OR($Q293=Parametres!$G$2,$Q293=Parametres!$G$3),I293,C293)</f>
        <v>-19471.46</v>
      </c>
      <c r="O293" s="151">
        <f>+IF(OR($Q293=Parametres!$G$2,$Q293=Parametres!$G$3),J293,D293)</f>
        <v>-3947.75</v>
      </c>
      <c r="P293" s="151">
        <f>+IF(OR($Q293=Parametres!$G$2,$Q293=Parametres!$G$3),K293,E293)</f>
        <v>-23419.21</v>
      </c>
      <c r="Q293" s="150" t="str">
        <f t="shared" si="22"/>
        <v>5-Ventes</v>
      </c>
      <c r="R293" s="149" t="str">
        <f t="shared" si="23"/>
        <v>462A</v>
      </c>
      <c r="S293" s="150" t="str">
        <f t="shared" si="24"/>
        <v>_</v>
      </c>
      <c r="T293" s="152" t="str">
        <f>+VLOOKUP($L293,Data_Validation!$A:$D,1,0)</f>
        <v>462D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2173</v>
      </c>
      <c r="B294" s="639" t="s">
        <v>2174</v>
      </c>
      <c r="C294" s="640">
        <v>-5548.74</v>
      </c>
      <c r="D294" s="640">
        <v>0</v>
      </c>
      <c r="E294" s="640">
        <v>-5548.74</v>
      </c>
      <c r="F294" s="639" t="s">
        <v>2006</v>
      </c>
      <c r="G294" s="639" t="s">
        <v>1139</v>
      </c>
      <c r="H294" s="634" t="s">
        <v>3074</v>
      </c>
      <c r="I294" s="633"/>
      <c r="J294" s="633"/>
      <c r="K294" s="633"/>
      <c r="L294" s="149" t="str">
        <f t="shared" si="20"/>
        <v>462L</v>
      </c>
      <c r="M294" s="150" t="str">
        <f t="shared" si="21"/>
        <v>VTES -SUBLET INTERNE AUTO</v>
      </c>
      <c r="N294" s="151">
        <f>+IF(OR($Q294=Parametres!$G$2,$Q294=Parametres!$G$3),I294,C294)</f>
        <v>-5548.74</v>
      </c>
      <c r="O294" s="151">
        <f>+IF(OR($Q294=Parametres!$G$2,$Q294=Parametres!$G$3),J294,D294)</f>
        <v>0</v>
      </c>
      <c r="P294" s="151">
        <f>+IF(OR($Q294=Parametres!$G$2,$Q294=Parametres!$G$3),K294,E294)</f>
        <v>-5548.74</v>
      </c>
      <c r="Q294" s="150" t="str">
        <f t="shared" si="22"/>
        <v>5-Ventes</v>
      </c>
      <c r="R294" s="149" t="str">
        <f t="shared" si="23"/>
        <v>462A</v>
      </c>
      <c r="S294" s="150" t="str">
        <f t="shared" si="24"/>
        <v>_</v>
      </c>
      <c r="T294" s="152" t="str">
        <f>+VLOOKUP($L294,Data_Validation!$A:$D,1,0)</f>
        <v>462L</v>
      </c>
      <c r="U294" s="152" t="str">
        <f>+VLOOKUP($L294,Data_Validation!$A:$D,3,0)</f>
        <v>Service</v>
      </c>
      <c r="V294" s="152" t="str">
        <f>+VLOOKUP($L294,Data_Validation!$A:$D,4,0)</f>
        <v>M/O Interne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2175</v>
      </c>
      <c r="B295" s="639" t="s">
        <v>2176</v>
      </c>
      <c r="C295" s="640">
        <v>-7384.12</v>
      </c>
      <c r="D295" s="640">
        <v>0</v>
      </c>
      <c r="E295" s="640">
        <v>-7384.12</v>
      </c>
      <c r="F295" s="639" t="s">
        <v>2006</v>
      </c>
      <c r="G295" s="639" t="s">
        <v>1139</v>
      </c>
      <c r="H295" s="634" t="s">
        <v>3074</v>
      </c>
      <c r="I295" s="633"/>
      <c r="J295" s="633"/>
      <c r="K295" s="633"/>
      <c r="L295" s="149" t="str">
        <f t="shared" si="20"/>
        <v>462M</v>
      </c>
      <c r="M295" s="150" t="str">
        <f t="shared" si="21"/>
        <v>VTES -SUBLET INTERNE CAMION</v>
      </c>
      <c r="N295" s="151">
        <f>+IF(OR($Q295=Parametres!$G$2,$Q295=Parametres!$G$3),I295,C295)</f>
        <v>-7384.12</v>
      </c>
      <c r="O295" s="151">
        <f>+IF(OR($Q295=Parametres!$G$2,$Q295=Parametres!$G$3),J295,D295)</f>
        <v>0</v>
      </c>
      <c r="P295" s="151">
        <f>+IF(OR($Q295=Parametres!$G$2,$Q295=Parametres!$G$3),K295,E295)</f>
        <v>-7384.12</v>
      </c>
      <c r="Q295" s="150" t="str">
        <f t="shared" si="22"/>
        <v>5-Ventes</v>
      </c>
      <c r="R295" s="149" t="str">
        <f t="shared" si="23"/>
        <v>462A</v>
      </c>
      <c r="S295" s="150" t="str">
        <f t="shared" si="24"/>
        <v>_</v>
      </c>
      <c r="T295" s="152" t="str">
        <f>+VLOOKUP($L295,Data_Validation!$A:$D,1,0)</f>
        <v>462M</v>
      </c>
      <c r="U295" s="152" t="str">
        <f>+VLOOKUP($L295,Data_Validation!$A:$D,3,0)</f>
        <v>Service</v>
      </c>
      <c r="V295" s="152" t="str">
        <f>+VLOOKUP($L295,Data_Validation!$A:$D,4,0)</f>
        <v>M/O Interne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2236</v>
      </c>
      <c r="B296" s="685" t="s">
        <v>2235</v>
      </c>
      <c r="C296" s="687">
        <v>-608.17999999999995</v>
      </c>
      <c r="D296" s="687">
        <v>0</v>
      </c>
      <c r="E296" s="687">
        <v>-608.17999999999995</v>
      </c>
      <c r="F296" s="685" t="s">
        <v>2006</v>
      </c>
      <c r="G296" s="685" t="s">
        <v>1139</v>
      </c>
      <c r="H296" s="634" t="s">
        <v>3074</v>
      </c>
      <c r="I296" s="633"/>
      <c r="J296" s="633"/>
      <c r="K296" s="633"/>
      <c r="L296" s="149" t="str">
        <f t="shared" si="20"/>
        <v>462N</v>
      </c>
      <c r="M296" s="150" t="str">
        <f t="shared" si="21"/>
        <v>VTES -SUBLET INTERNE ESTHETIQUE</v>
      </c>
      <c r="N296" s="151">
        <f>+IF(OR($Q296=Parametres!$G$2,$Q296=Parametres!$G$3),I296,C296)</f>
        <v>-608.17999999999995</v>
      </c>
      <c r="O296" s="151">
        <f>+IF(OR($Q296=Parametres!$G$2,$Q296=Parametres!$G$3),J296,D296)</f>
        <v>0</v>
      </c>
      <c r="P296" s="151">
        <f>+IF(OR($Q296=Parametres!$G$2,$Q296=Parametres!$G$3),K296,E296)</f>
        <v>-608.17999999999995</v>
      </c>
      <c r="Q296" s="150" t="str">
        <f t="shared" si="22"/>
        <v>5-Ventes</v>
      </c>
      <c r="R296" s="149" t="str">
        <f t="shared" si="23"/>
        <v>462A</v>
      </c>
      <c r="S296" s="150" t="str">
        <f t="shared" si="24"/>
        <v>_</v>
      </c>
      <c r="T296" s="152" t="str">
        <f>+VLOOKUP($L296,Data_Validation!$A:$D,1,0)</f>
        <v>462N</v>
      </c>
      <c r="U296" s="152" t="str">
        <f>+VLOOKUP($L296,Data_Validation!$A:$D,3,0)</f>
        <v>Service</v>
      </c>
      <c r="V296" s="152" t="str">
        <f>+VLOOKUP($L296,Data_Validation!$A:$D,4,0)</f>
        <v>M/O Interne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3048</v>
      </c>
      <c r="B297" s="639" t="s">
        <v>3049</v>
      </c>
      <c r="C297" s="640">
        <v>-15394.44</v>
      </c>
      <c r="D297" s="640">
        <v>-11064.64</v>
      </c>
      <c r="E297" s="640">
        <v>-26459.08</v>
      </c>
      <c r="F297" s="639" t="s">
        <v>2006</v>
      </c>
      <c r="G297" s="639" t="s">
        <v>1139</v>
      </c>
      <c r="H297" s="634" t="s">
        <v>3074</v>
      </c>
      <c r="I297" s="633"/>
      <c r="J297" s="633"/>
      <c r="K297" s="633"/>
      <c r="L297" s="149" t="str">
        <f t="shared" si="20"/>
        <v>462Q</v>
      </c>
      <c r="M297" s="150" t="str">
        <f t="shared" si="21"/>
        <v>VTES -M/O ESTHETIQUE INTERNE AUTO</v>
      </c>
      <c r="N297" s="151">
        <f>+IF(OR($Q297=Parametres!$G$2,$Q297=Parametres!$G$3),I297,C297)</f>
        <v>-15394.44</v>
      </c>
      <c r="O297" s="151">
        <f>+IF(OR($Q297=Parametres!$G$2,$Q297=Parametres!$G$3),J297,D297)</f>
        <v>-11064.64</v>
      </c>
      <c r="P297" s="151">
        <f>+IF(OR($Q297=Parametres!$G$2,$Q297=Parametres!$G$3),K297,E297)</f>
        <v>-26459.08</v>
      </c>
      <c r="Q297" s="150" t="str">
        <f t="shared" si="22"/>
        <v>5-Ventes</v>
      </c>
      <c r="R297" s="149" t="str">
        <f t="shared" si="23"/>
        <v>462A</v>
      </c>
      <c r="S297" s="150" t="str">
        <f t="shared" si="24"/>
        <v>_</v>
      </c>
      <c r="T297" s="152" t="str">
        <f>+VLOOKUP($L297,Data_Validation!$A:$D,1,0)</f>
        <v>462Q</v>
      </c>
      <c r="U297" s="152" t="str">
        <f>+VLOOKUP($L297,Data_Validation!$A:$D,3,0)</f>
        <v>service</v>
      </c>
      <c r="V297" s="152" t="str">
        <f>+VLOOKUP($L297,Data_Validation!$A:$D,4,0)</f>
        <v>M/O Interne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3046</v>
      </c>
      <c r="B298" s="685" t="s">
        <v>3047</v>
      </c>
      <c r="C298" s="687">
        <v>-19044.22</v>
      </c>
      <c r="D298" s="687">
        <v>-13011.93</v>
      </c>
      <c r="E298" s="687">
        <v>-32056.15</v>
      </c>
      <c r="F298" s="685" t="s">
        <v>2006</v>
      </c>
      <c r="G298" s="685" t="s">
        <v>1139</v>
      </c>
      <c r="H298" s="634" t="s">
        <v>3074</v>
      </c>
      <c r="I298" s="633"/>
      <c r="J298" s="633"/>
      <c r="K298" s="633"/>
      <c r="L298" s="149" t="str">
        <f t="shared" si="20"/>
        <v>462R</v>
      </c>
      <c r="M298" s="150" t="str">
        <f t="shared" si="21"/>
        <v>VTES -M/O ESTHETIQUE INTERNE CAMION</v>
      </c>
      <c r="N298" s="151">
        <f>+IF(OR($Q298=Parametres!$G$2,$Q298=Parametres!$G$3),I298,C298)</f>
        <v>-19044.22</v>
      </c>
      <c r="O298" s="151">
        <f>+IF(OR($Q298=Parametres!$G$2,$Q298=Parametres!$G$3),J298,D298)</f>
        <v>-13011.93</v>
      </c>
      <c r="P298" s="151">
        <f>+IF(OR($Q298=Parametres!$G$2,$Q298=Parametres!$G$3),K298,E298)</f>
        <v>-32056.15</v>
      </c>
      <c r="Q298" s="150" t="str">
        <f t="shared" si="22"/>
        <v>5-Ventes</v>
      </c>
      <c r="R298" s="149" t="str">
        <f t="shared" si="23"/>
        <v>462A</v>
      </c>
      <c r="S298" s="150" t="str">
        <f t="shared" si="24"/>
        <v>_</v>
      </c>
      <c r="T298" s="152" t="str">
        <f>+VLOOKUP($L298,Data_Validation!$A:$D,1,0)</f>
        <v>462R</v>
      </c>
      <c r="U298" s="152" t="str">
        <f>+VLOOKUP($L298,Data_Validation!$A:$D,3,0)</f>
        <v>service</v>
      </c>
      <c r="V298" s="152" t="str">
        <f>+VLOOKUP($L298,Data_Validation!$A:$D,4,0)</f>
        <v>M/O Interne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3050</v>
      </c>
      <c r="B299" s="685" t="s">
        <v>3051</v>
      </c>
      <c r="C299" s="687">
        <v>-1622.37</v>
      </c>
      <c r="D299" s="687">
        <v>-709.99</v>
      </c>
      <c r="E299" s="687">
        <v>-2332.36</v>
      </c>
      <c r="F299" s="685" t="s">
        <v>2006</v>
      </c>
      <c r="G299" s="685" t="s">
        <v>1139</v>
      </c>
      <c r="H299" s="634" t="s">
        <v>3074</v>
      </c>
      <c r="I299" s="633"/>
      <c r="J299" s="633"/>
      <c r="K299" s="633"/>
      <c r="L299" s="149" t="str">
        <f t="shared" si="20"/>
        <v>462S</v>
      </c>
      <c r="M299" s="150" t="str">
        <f t="shared" si="21"/>
        <v>VTES -M/O ESTHETIQUE INTERNE I</v>
      </c>
      <c r="N299" s="151">
        <f>+IF(OR($Q299=Parametres!$G$2,$Q299=Parametres!$G$3),I299,C299)</f>
        <v>-1622.37</v>
      </c>
      <c r="O299" s="151">
        <f>+IF(OR($Q299=Parametres!$G$2,$Q299=Parametres!$G$3),J299,D299)</f>
        <v>-709.99</v>
      </c>
      <c r="P299" s="151">
        <f>+IF(OR($Q299=Parametres!$G$2,$Q299=Parametres!$G$3),K299,E299)</f>
        <v>-2332.36</v>
      </c>
      <c r="Q299" s="150" t="str">
        <f t="shared" si="22"/>
        <v>5-Ventes</v>
      </c>
      <c r="R299" s="149" t="str">
        <f t="shared" si="23"/>
        <v>462A</v>
      </c>
      <c r="S299" s="150" t="str">
        <f t="shared" si="24"/>
        <v>_</v>
      </c>
      <c r="T299" s="152" t="str">
        <f>+VLOOKUP($L299,Data_Validation!$A:$D,1,0)</f>
        <v>462S</v>
      </c>
      <c r="U299" s="152" t="str">
        <f>+VLOOKUP($L299,Data_Validation!$A:$D,3,0)</f>
        <v>service</v>
      </c>
      <c r="V299" s="152" t="str">
        <f>+VLOOKUP($L299,Data_Validation!$A:$D,4,0)</f>
        <v>M/O Interne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1154</v>
      </c>
      <c r="B300" s="685" t="s">
        <v>1143</v>
      </c>
      <c r="C300" s="687">
        <v>-16002.64</v>
      </c>
      <c r="D300" s="687">
        <v>-2148.9499999999998</v>
      </c>
      <c r="E300" s="687">
        <v>-18151.59</v>
      </c>
      <c r="F300" s="685" t="s">
        <v>2006</v>
      </c>
      <c r="G300" s="685" t="s">
        <v>1143</v>
      </c>
      <c r="H300" s="641" t="s">
        <v>3074</v>
      </c>
      <c r="I300" s="640"/>
      <c r="J300" s="640"/>
      <c r="K300" s="640"/>
      <c r="L300" s="149" t="str">
        <f t="shared" si="20"/>
        <v>463A</v>
      </c>
      <c r="M300" s="150" t="str">
        <f t="shared" si="21"/>
        <v>VTE - SOUS-TRAITANCE BMW AUTO</v>
      </c>
      <c r="N300" s="151">
        <f>+IF(OR($Q300=Parametres!$G$2,$Q300=Parametres!$G$3),I300,C300)</f>
        <v>-16002.64</v>
      </c>
      <c r="O300" s="151">
        <f>+IF(OR($Q300=Parametres!$G$2,$Q300=Parametres!$G$3),J300,D300)</f>
        <v>-2148.9499999999998</v>
      </c>
      <c r="P300" s="151">
        <f>+IF(OR($Q300=Parametres!$G$2,$Q300=Parametres!$G$3),K300,E300)</f>
        <v>-18151.59</v>
      </c>
      <c r="Q300" s="150" t="str">
        <f t="shared" si="22"/>
        <v>5-Ventes</v>
      </c>
      <c r="R300" s="149" t="str">
        <f t="shared" si="23"/>
        <v>463A</v>
      </c>
      <c r="S300" s="150" t="str">
        <f t="shared" si="24"/>
        <v>_</v>
      </c>
      <c r="T300" s="152" t="str">
        <f>+VLOOKUP($L300,Data_Validation!$A:$D,1,0)</f>
        <v>463A</v>
      </c>
      <c r="U300" s="152" t="str">
        <f>+VLOOKUP($L300,Data_Validation!$A:$D,3,0)</f>
        <v>service</v>
      </c>
      <c r="V300" s="152" t="str">
        <f>+VLOOKUP($L300,Data_Validation!$A:$D,4,0)</f>
        <v>Sous-traitement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1142</v>
      </c>
      <c r="B301" s="685" t="s">
        <v>454</v>
      </c>
      <c r="C301" s="1038">
        <v>-23916.62</v>
      </c>
      <c r="D301" s="1038">
        <v>-1689.46</v>
      </c>
      <c r="E301" s="1038">
        <v>-25606.080000000002</v>
      </c>
      <c r="F301" s="685" t="s">
        <v>2006</v>
      </c>
      <c r="G301" s="685" t="s">
        <v>1143</v>
      </c>
      <c r="H301" s="686" t="s">
        <v>3074</v>
      </c>
      <c r="I301" s="687"/>
      <c r="J301" s="687"/>
      <c r="K301" s="687"/>
      <c r="L301" s="149" t="str">
        <f t="shared" si="20"/>
        <v>463B</v>
      </c>
      <c r="M301" s="150" t="str">
        <f t="shared" si="21"/>
        <v>VTE - SOUS-TRAITANCE BMW CAMION</v>
      </c>
      <c r="N301" s="151">
        <f>+IF(OR($Q301=Parametres!$G$2,$Q301=Parametres!$G$3),I301,C301)</f>
        <v>-23916.62</v>
      </c>
      <c r="O301" s="151">
        <f>+IF(OR($Q301=Parametres!$G$2,$Q301=Parametres!$G$3),J301,D301)</f>
        <v>-1689.46</v>
      </c>
      <c r="P301" s="151">
        <f>+IF(OR($Q301=Parametres!$G$2,$Q301=Parametres!$G$3),K301,E301)</f>
        <v>-25606.080000000002</v>
      </c>
      <c r="Q301" s="150" t="str">
        <f t="shared" si="22"/>
        <v>5-Ventes</v>
      </c>
      <c r="R301" s="149" t="str">
        <f t="shared" si="23"/>
        <v>463A</v>
      </c>
      <c r="S301" s="150" t="str">
        <f t="shared" si="24"/>
        <v>_</v>
      </c>
      <c r="T301" s="152" t="str">
        <f>+VLOOKUP($L301,Data_Validation!$A:$D,1,0)</f>
        <v>463B</v>
      </c>
      <c r="U301" s="152" t="str">
        <f>+VLOOKUP($L301,Data_Validation!$A:$D,3,0)</f>
        <v>service</v>
      </c>
      <c r="V301" s="152" t="str">
        <f>+VLOOKUP($L301,Data_Validation!$A:$D,4,0)</f>
        <v>Sous-traitement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472</v>
      </c>
      <c r="B302" s="685" t="s">
        <v>473</v>
      </c>
      <c r="C302" s="687">
        <v>-398.43</v>
      </c>
      <c r="D302" s="687">
        <v>-299.95</v>
      </c>
      <c r="E302" s="687">
        <v>-698.38</v>
      </c>
      <c r="F302" s="685" t="s">
        <v>2006</v>
      </c>
      <c r="G302" s="685" t="s">
        <v>1143</v>
      </c>
      <c r="H302" s="641" t="s">
        <v>3074</v>
      </c>
      <c r="I302" s="640"/>
      <c r="J302" s="640"/>
      <c r="K302" s="640"/>
      <c r="L302" s="149" t="str">
        <f t="shared" si="20"/>
        <v>463D</v>
      </c>
      <c r="M302" s="150" t="str">
        <f t="shared" si="21"/>
        <v>VTE - SOUS-TRAITANCE BMW I</v>
      </c>
      <c r="N302" s="151">
        <f>+IF(OR($Q302=Parametres!$G$2,$Q302=Parametres!$G$3),I302,C302)</f>
        <v>-398.43</v>
      </c>
      <c r="O302" s="151">
        <f>+IF(OR($Q302=Parametres!$G$2,$Q302=Parametres!$G$3),J302,D302)</f>
        <v>-299.95</v>
      </c>
      <c r="P302" s="151">
        <f>+IF(OR($Q302=Parametres!$G$2,$Q302=Parametres!$G$3),K302,E302)</f>
        <v>-698.38</v>
      </c>
      <c r="Q302" s="150" t="str">
        <f t="shared" si="22"/>
        <v>5-Ventes</v>
      </c>
      <c r="R302" s="149" t="str">
        <f t="shared" si="23"/>
        <v>463A</v>
      </c>
      <c r="S302" s="150" t="str">
        <f t="shared" si="24"/>
        <v>_</v>
      </c>
      <c r="T302" s="152" t="str">
        <f>+VLOOKUP($L302,Data_Validation!$A:$D,1,0)</f>
        <v>463D</v>
      </c>
      <c r="U302" s="152" t="str">
        <f>+VLOOKUP($L302,Data_Validation!$A:$D,3,0)</f>
        <v>service</v>
      </c>
      <c r="V302" s="152" t="str">
        <f>+VLOOKUP($L302,Data_Validation!$A:$D,4,0)</f>
        <v>Sous-traitement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1119</v>
      </c>
      <c r="B303" s="685" t="s">
        <v>1120</v>
      </c>
      <c r="C303" s="687">
        <v>-127056.01</v>
      </c>
      <c r="D303" s="687">
        <v>-43021.88</v>
      </c>
      <c r="E303" s="687">
        <v>-170077.89</v>
      </c>
      <c r="F303" s="685" t="s">
        <v>2006</v>
      </c>
      <c r="G303" s="685" t="s">
        <v>1120</v>
      </c>
      <c r="H303" s="595" t="s">
        <v>3074</v>
      </c>
      <c r="I303" s="594"/>
      <c r="J303" s="594"/>
      <c r="K303" s="594"/>
      <c r="L303" s="149" t="str">
        <f t="shared" si="20"/>
        <v>470A</v>
      </c>
      <c r="M303" s="150" t="str">
        <f t="shared" si="21"/>
        <v>VTE - PIECES BT CLIENT BMW AUTO</v>
      </c>
      <c r="N303" s="151">
        <f>+IF(OR($Q303=Parametres!$G$2,$Q303=Parametres!$G$3),I303,C303)</f>
        <v>-127056.01</v>
      </c>
      <c r="O303" s="496">
        <f>+IF(OR($Q303=Parametres!$G$2,$Q303=Parametres!$G$3),J303,D303)</f>
        <v>-43021.88</v>
      </c>
      <c r="P303" s="151">
        <f>+IF(OR($Q303=Parametres!$G$2,$Q303=Parametres!$G$3),K303,E303)</f>
        <v>-170077.89</v>
      </c>
      <c r="Q303" s="150" t="str">
        <f t="shared" si="22"/>
        <v>5-Ventes</v>
      </c>
      <c r="R303" s="149" t="str">
        <f t="shared" si="23"/>
        <v>470A</v>
      </c>
      <c r="S303" s="150" t="str">
        <f t="shared" si="24"/>
        <v>_</v>
      </c>
      <c r="T303" s="152" t="str">
        <f>+VLOOKUP($L303,Data_Validation!$A:$D,1,0)</f>
        <v>470A</v>
      </c>
      <c r="U303" s="152" t="str">
        <f>+VLOOKUP($L303,Data_Validation!$A:$D,3,0)</f>
        <v>Pièces</v>
      </c>
      <c r="V303" s="152" t="str">
        <f>+VLOOKUP($L303,Data_Validation!$A:$D,4,0)</f>
        <v>Pièces Ro Clients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1135</v>
      </c>
      <c r="B304" s="685" t="s">
        <v>429</v>
      </c>
      <c r="C304" s="687">
        <v>-276095.34000000003</v>
      </c>
      <c r="D304" s="687">
        <v>-64160.800000000003</v>
      </c>
      <c r="E304" s="687">
        <v>-340256.14</v>
      </c>
      <c r="F304" s="685" t="s">
        <v>2006</v>
      </c>
      <c r="G304" s="685" t="s">
        <v>1120</v>
      </c>
      <c r="H304" s="641" t="s">
        <v>3074</v>
      </c>
      <c r="I304" s="640"/>
      <c r="J304" s="640"/>
      <c r="K304" s="640"/>
      <c r="L304" s="149" t="str">
        <f t="shared" si="20"/>
        <v>470B</v>
      </c>
      <c r="M304" s="150" t="str">
        <f t="shared" si="21"/>
        <v>VTE - PIECES BT CLIENT BMW CAMION</v>
      </c>
      <c r="N304" s="151">
        <f>+IF(OR($Q304=Parametres!$G$2,$Q304=Parametres!$G$3),I304,C304)</f>
        <v>-276095.34000000003</v>
      </c>
      <c r="O304" s="151">
        <f>+IF(OR($Q304=Parametres!$G$2,$Q304=Parametres!$G$3),J304,D304)</f>
        <v>-64160.800000000003</v>
      </c>
      <c r="P304" s="151">
        <f>+IF(OR($Q304=Parametres!$G$2,$Q304=Parametres!$G$3),K304,E304)</f>
        <v>-340256.14</v>
      </c>
      <c r="Q304" s="150" t="str">
        <f t="shared" si="22"/>
        <v>5-Ventes</v>
      </c>
      <c r="R304" s="149" t="str">
        <f t="shared" si="23"/>
        <v>470A</v>
      </c>
      <c r="S304" s="150" t="str">
        <f t="shared" si="24"/>
        <v>_</v>
      </c>
      <c r="T304" s="152" t="str">
        <f>+VLOOKUP($L304,Data_Validation!$A:$D,1,0)</f>
        <v>470B</v>
      </c>
      <c r="U304" s="152" t="str">
        <f>+VLOOKUP($L304,Data_Validation!$A:$D,3,0)</f>
        <v>Pièces</v>
      </c>
      <c r="V304" s="152" t="str">
        <f>+VLOOKUP($L304,Data_Validation!$A:$D,4,0)</f>
        <v>Pièces Ro Clients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1238</v>
      </c>
      <c r="B305" s="685" t="s">
        <v>457</v>
      </c>
      <c r="C305" s="687">
        <v>-33997.1</v>
      </c>
      <c r="D305" s="687">
        <v>-4272.3599999999997</v>
      </c>
      <c r="E305" s="687">
        <v>-38269.46</v>
      </c>
      <c r="F305" s="685" t="s">
        <v>2006</v>
      </c>
      <c r="G305" s="685" t="s">
        <v>1120</v>
      </c>
      <c r="H305" s="641" t="s">
        <v>3074</v>
      </c>
      <c r="I305" s="640"/>
      <c r="J305" s="640"/>
      <c r="K305" s="640"/>
      <c r="L305" s="149" t="str">
        <f t="shared" si="20"/>
        <v>470D</v>
      </c>
      <c r="M305" s="150" t="str">
        <f t="shared" si="21"/>
        <v>VTE - PIECES BT CLIENT BMW I</v>
      </c>
      <c r="N305" s="151">
        <f>+IF(OR($Q305=Parametres!$G$2,$Q305=Parametres!$G$3),I305,C305)</f>
        <v>-33997.1</v>
      </c>
      <c r="O305" s="151">
        <f>+IF(OR($Q305=Parametres!$G$2,$Q305=Parametres!$G$3),J305,D305)</f>
        <v>-4272.3599999999997</v>
      </c>
      <c r="P305" s="151">
        <f>+IF(OR($Q305=Parametres!$G$2,$Q305=Parametres!$G$3),K305,E305)</f>
        <v>-38269.46</v>
      </c>
      <c r="Q305" s="150" t="str">
        <f t="shared" si="22"/>
        <v>5-Ventes</v>
      </c>
      <c r="R305" s="149" t="str">
        <f t="shared" si="23"/>
        <v>470A</v>
      </c>
      <c r="S305" s="150" t="str">
        <f t="shared" si="24"/>
        <v>_</v>
      </c>
      <c r="T305" s="152" t="str">
        <f>+VLOOKUP($L305,Data_Validation!$A:$D,1,0)</f>
        <v>470D</v>
      </c>
      <c r="U305" s="152" t="str">
        <f>+VLOOKUP($L305,Data_Validation!$A:$D,3,0)</f>
        <v>Pièces</v>
      </c>
      <c r="V305" s="152" t="str">
        <f>+VLOOKUP($L305,Data_Validation!$A:$D,4,0)</f>
        <v>Pièces Ro Clients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1095</v>
      </c>
      <c r="B306" s="685" t="s">
        <v>1096</v>
      </c>
      <c r="C306" s="687">
        <v>-68807.45</v>
      </c>
      <c r="D306" s="687">
        <v>-14903.23</v>
      </c>
      <c r="E306" s="687">
        <v>-83710.679999999993</v>
      </c>
      <c r="F306" s="685" t="s">
        <v>2006</v>
      </c>
      <c r="G306" s="685" t="s">
        <v>1096</v>
      </c>
      <c r="H306" s="641" t="s">
        <v>3074</v>
      </c>
      <c r="I306" s="640"/>
      <c r="J306" s="640"/>
      <c r="K306" s="640"/>
      <c r="L306" s="149" t="str">
        <f t="shared" si="20"/>
        <v>472A</v>
      </c>
      <c r="M306" s="150" t="str">
        <f t="shared" si="21"/>
        <v>VTE - PIECES GARANTIE BMW AUTO</v>
      </c>
      <c r="N306" s="151">
        <f>+IF(OR($Q306=Parametres!$G$2,$Q306=Parametres!$G$3),I306,C306)</f>
        <v>-68807.45</v>
      </c>
      <c r="O306" s="151">
        <f>+IF(OR($Q306=Parametres!$G$2,$Q306=Parametres!$G$3),J306,D306)</f>
        <v>-14903.23</v>
      </c>
      <c r="P306" s="151">
        <f>+IF(OR($Q306=Parametres!$G$2,$Q306=Parametres!$G$3),K306,E306)</f>
        <v>-83710.679999999993</v>
      </c>
      <c r="Q306" s="150" t="str">
        <f t="shared" si="22"/>
        <v>5-Ventes</v>
      </c>
      <c r="R306" s="149" t="str">
        <f t="shared" si="23"/>
        <v>472A</v>
      </c>
      <c r="S306" s="150" t="str">
        <f t="shared" si="24"/>
        <v>_</v>
      </c>
      <c r="T306" s="152" t="str">
        <f>+VLOOKUP($L306,Data_Validation!$A:$D,1,0)</f>
        <v>472A</v>
      </c>
      <c r="U306" s="152" t="str">
        <f>+VLOOKUP($L306,Data_Validation!$A:$D,3,0)</f>
        <v>pièces</v>
      </c>
      <c r="V306" s="152" t="str">
        <f>+VLOOKUP($L306,Data_Validation!$A:$D,4,0)</f>
        <v>P/A Garantie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1099</v>
      </c>
      <c r="B307" s="685" t="s">
        <v>465</v>
      </c>
      <c r="C307" s="687">
        <v>-161465.12</v>
      </c>
      <c r="D307" s="687">
        <v>-17441.330000000002</v>
      </c>
      <c r="E307" s="687">
        <v>-178906.45</v>
      </c>
      <c r="F307" s="685" t="s">
        <v>2006</v>
      </c>
      <c r="G307" s="685" t="s">
        <v>1096</v>
      </c>
      <c r="H307" s="641" t="s">
        <v>3074</v>
      </c>
      <c r="I307" s="640"/>
      <c r="J307" s="640"/>
      <c r="K307" s="640"/>
      <c r="L307" s="149" t="str">
        <f t="shared" si="20"/>
        <v>472B</v>
      </c>
      <c r="M307" s="150" t="str">
        <f t="shared" si="21"/>
        <v>VTE - PIECES GARANTIE BMW CAMION</v>
      </c>
      <c r="N307" s="151">
        <f>+IF(OR($Q307=Parametres!$G$2,$Q307=Parametres!$G$3),I307,C307)</f>
        <v>-161465.12</v>
      </c>
      <c r="O307" s="151">
        <f>+IF(OR($Q307=Parametres!$G$2,$Q307=Parametres!$G$3),J307,D307)</f>
        <v>-17441.330000000002</v>
      </c>
      <c r="P307" s="151">
        <f>+IF(OR($Q307=Parametres!$G$2,$Q307=Parametres!$G$3),K307,E307)</f>
        <v>-178906.45</v>
      </c>
      <c r="Q307" s="150" t="str">
        <f t="shared" si="22"/>
        <v>5-Ventes</v>
      </c>
      <c r="R307" s="149" t="str">
        <f t="shared" si="23"/>
        <v>472A</v>
      </c>
      <c r="S307" s="150" t="str">
        <f t="shared" si="24"/>
        <v>_</v>
      </c>
      <c r="T307" s="152" t="str">
        <f>+VLOOKUP($L307,Data_Validation!$A:$D,1,0)</f>
        <v>472B</v>
      </c>
      <c r="U307" s="152" t="str">
        <f>+VLOOKUP($L307,Data_Validation!$A:$D,3,0)</f>
        <v>pièces</v>
      </c>
      <c r="V307" s="152" t="str">
        <f>+VLOOKUP($L307,Data_Validation!$A:$D,4,0)</f>
        <v>P/A Garantie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1179</v>
      </c>
      <c r="B308" s="685" t="s">
        <v>434</v>
      </c>
      <c r="C308" s="1038">
        <v>-14363.43</v>
      </c>
      <c r="D308" s="1038">
        <v>-4421.25</v>
      </c>
      <c r="E308" s="1038">
        <v>-18784.68</v>
      </c>
      <c r="F308" s="685" t="s">
        <v>2006</v>
      </c>
      <c r="G308" s="685" t="s">
        <v>434</v>
      </c>
      <c r="H308" s="686" t="s">
        <v>3074</v>
      </c>
      <c r="I308" s="687"/>
      <c r="J308" s="687"/>
      <c r="K308" s="687"/>
      <c r="L308" s="149" t="str">
        <f t="shared" si="20"/>
        <v>472D</v>
      </c>
      <c r="M308" s="150" t="str">
        <f t="shared" si="21"/>
        <v>VTE - PIECES ENTRETIEN BMW AUTO</v>
      </c>
      <c r="N308" s="151">
        <f>+IF(OR($Q308=Parametres!$G$2,$Q308=Parametres!$G$3),I308,C308)</f>
        <v>-14363.43</v>
      </c>
      <c r="O308" s="151">
        <f>+IF(OR($Q308=Parametres!$G$2,$Q308=Parametres!$G$3),J308,D308)</f>
        <v>-4421.25</v>
      </c>
      <c r="P308" s="151">
        <f>+IF(OR($Q308=Parametres!$G$2,$Q308=Parametres!$G$3),K308,E308)</f>
        <v>-18784.68</v>
      </c>
      <c r="Q308" s="150" t="str">
        <f t="shared" si="22"/>
        <v>5-Ventes</v>
      </c>
      <c r="R308" s="149" t="str">
        <f t="shared" si="23"/>
        <v>472D</v>
      </c>
      <c r="S308" s="150" t="str">
        <f t="shared" si="24"/>
        <v>_</v>
      </c>
      <c r="T308" s="152" t="str">
        <f>+VLOOKUP($L308,Data_Validation!$A:$D,1,0)</f>
        <v>472D</v>
      </c>
      <c r="U308" s="152" t="str">
        <f>+VLOOKUP($L308,Data_Validation!$A:$D,3,0)</f>
        <v>pièces</v>
      </c>
      <c r="V308" s="152" t="str">
        <f>+VLOOKUP($L308,Data_Validation!$A:$D,4,0)</f>
        <v>P/A Garantie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1149</v>
      </c>
      <c r="B309" s="685" t="s">
        <v>464</v>
      </c>
      <c r="C309" s="687">
        <v>-40277.599999999999</v>
      </c>
      <c r="D309" s="687">
        <v>-8787.69</v>
      </c>
      <c r="E309" s="687">
        <v>-49065.29</v>
      </c>
      <c r="F309" s="685" t="s">
        <v>2006</v>
      </c>
      <c r="G309" s="685" t="s">
        <v>434</v>
      </c>
      <c r="H309" s="641" t="s">
        <v>3074</v>
      </c>
      <c r="I309" s="640"/>
      <c r="J309" s="640"/>
      <c r="K309" s="640"/>
      <c r="L309" s="149" t="str">
        <f t="shared" si="20"/>
        <v>472E</v>
      </c>
      <c r="M309" s="150" t="str">
        <f t="shared" si="21"/>
        <v>VTE - PIECES ENTRETIEN BMW CAMION</v>
      </c>
      <c r="N309" s="151">
        <f>+IF(OR($Q309=Parametres!$G$2,$Q309=Parametres!$G$3),I309,C309)</f>
        <v>-40277.599999999999</v>
      </c>
      <c r="O309" s="151">
        <f>+IF(OR($Q309=Parametres!$G$2,$Q309=Parametres!$G$3),J309,D309)</f>
        <v>-8787.69</v>
      </c>
      <c r="P309" s="151">
        <f>+IF(OR($Q309=Parametres!$G$2,$Q309=Parametres!$G$3),K309,E309)</f>
        <v>-49065.29</v>
      </c>
      <c r="Q309" s="150" t="str">
        <f t="shared" si="22"/>
        <v>5-Ventes</v>
      </c>
      <c r="R309" s="149" t="str">
        <f t="shared" si="23"/>
        <v>472D</v>
      </c>
      <c r="S309" s="150" t="str">
        <f t="shared" si="24"/>
        <v>_</v>
      </c>
      <c r="T309" s="152" t="str">
        <f>+VLOOKUP($L309,Data_Validation!$A:$D,1,0)</f>
        <v>472E</v>
      </c>
      <c r="U309" s="152" t="str">
        <f>+VLOOKUP($L309,Data_Validation!$A:$D,3,0)</f>
        <v>pièces</v>
      </c>
      <c r="V309" s="152" t="str">
        <f>+VLOOKUP($L309,Data_Validation!$A:$D,4,0)</f>
        <v>P/A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1230</v>
      </c>
      <c r="B310" s="685" t="s">
        <v>470</v>
      </c>
      <c r="C310" s="687">
        <v>-3504.15</v>
      </c>
      <c r="D310" s="687">
        <v>-677.82</v>
      </c>
      <c r="E310" s="687">
        <v>-4181.97</v>
      </c>
      <c r="F310" s="685" t="s">
        <v>2006</v>
      </c>
      <c r="G310" s="685" t="s">
        <v>434</v>
      </c>
      <c r="H310" s="634" t="s">
        <v>3074</v>
      </c>
      <c r="I310" s="633"/>
      <c r="J310" s="633"/>
      <c r="K310" s="633"/>
      <c r="L310" s="149" t="str">
        <f t="shared" si="20"/>
        <v>472G</v>
      </c>
      <c r="M310" s="150" t="str">
        <f t="shared" si="21"/>
        <v>VTE - PIECES ENTRETIEN BMW I</v>
      </c>
      <c r="N310" s="151">
        <f>+IF(OR($Q310=Parametres!$G$2,$Q310=Parametres!$G$3),I310,C310)</f>
        <v>-3504.15</v>
      </c>
      <c r="O310" s="151">
        <f>+IF(OR($Q310=Parametres!$G$2,$Q310=Parametres!$G$3),J310,D310)</f>
        <v>-677.82</v>
      </c>
      <c r="P310" s="151">
        <f>+IF(OR($Q310=Parametres!$G$2,$Q310=Parametres!$G$3),K310,E310)</f>
        <v>-4181.97</v>
      </c>
      <c r="Q310" s="150" t="str">
        <f t="shared" si="22"/>
        <v>5-Ventes</v>
      </c>
      <c r="R310" s="149" t="str">
        <f t="shared" si="23"/>
        <v>472D</v>
      </c>
      <c r="S310" s="150" t="str">
        <f t="shared" si="24"/>
        <v>_</v>
      </c>
      <c r="T310" s="152" t="str">
        <f>+VLOOKUP($L310,Data_Validation!$A:$D,1,0)</f>
        <v>472G</v>
      </c>
      <c r="U310" s="152" t="str">
        <f>+VLOOKUP($L310,Data_Validation!$A:$D,3,0)</f>
        <v>pièces</v>
      </c>
      <c r="V310" s="152" t="str">
        <f>+VLOOKUP($L310,Data_Validation!$A:$D,4,0)</f>
        <v>P/A Garantie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1027</v>
      </c>
      <c r="B311" s="685" t="s">
        <v>634</v>
      </c>
      <c r="C311" s="687">
        <v>-35806.68</v>
      </c>
      <c r="D311" s="687">
        <v>-379.04</v>
      </c>
      <c r="E311" s="687">
        <v>-36185.72</v>
      </c>
      <c r="F311" s="685" t="s">
        <v>2006</v>
      </c>
      <c r="G311" s="685" t="s">
        <v>1096</v>
      </c>
      <c r="H311" s="641" t="s">
        <v>3074</v>
      </c>
      <c r="I311" s="640"/>
      <c r="J311" s="640"/>
      <c r="K311" s="640"/>
      <c r="L311" s="149" t="str">
        <f t="shared" si="20"/>
        <v>472H</v>
      </c>
      <c r="M311" s="150" t="str">
        <f t="shared" si="21"/>
        <v>VTE - PIECES GARANTIE BMW I</v>
      </c>
      <c r="N311" s="151">
        <f>+IF(OR($Q311=Parametres!$G$2,$Q311=Parametres!$G$3),I311,C311)</f>
        <v>-35806.68</v>
      </c>
      <c r="O311" s="151">
        <f>+IF(OR($Q311=Parametres!$G$2,$Q311=Parametres!$G$3),J311,D311)</f>
        <v>-379.04</v>
      </c>
      <c r="P311" s="151">
        <f>+IF(OR($Q311=Parametres!$G$2,$Q311=Parametres!$G$3),K311,E311)</f>
        <v>-36185.72</v>
      </c>
      <c r="Q311" s="150" t="str">
        <f t="shared" si="22"/>
        <v>5-Ventes</v>
      </c>
      <c r="R311" s="149" t="str">
        <f t="shared" si="23"/>
        <v>472A</v>
      </c>
      <c r="S311" s="150" t="str">
        <f t="shared" si="24"/>
        <v>_</v>
      </c>
      <c r="T311" s="152" t="str">
        <f>+VLOOKUP($L311,Data_Validation!$A:$D,1,0)</f>
        <v>472H</v>
      </c>
      <c r="U311" s="152" t="str">
        <f>+VLOOKUP($L311,Data_Validation!$A:$D,3,0)</f>
        <v>pièces</v>
      </c>
      <c r="V311" s="152" t="str">
        <f>+VLOOKUP($L311,Data_Validation!$A:$D,4,0)</f>
        <v>P/A Garantie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1148</v>
      </c>
      <c r="B312" s="685" t="s">
        <v>1132</v>
      </c>
      <c r="C312" s="687">
        <v>-51804.74</v>
      </c>
      <c r="D312" s="687">
        <v>-14265.16</v>
      </c>
      <c r="E312" s="687">
        <v>-66069.899999999994</v>
      </c>
      <c r="F312" s="685" t="s">
        <v>2006</v>
      </c>
      <c r="G312" s="685" t="s">
        <v>1132</v>
      </c>
      <c r="H312" s="634" t="s">
        <v>3074</v>
      </c>
      <c r="I312" s="633"/>
      <c r="J312" s="633"/>
      <c r="K312" s="633"/>
      <c r="L312" s="149" t="str">
        <f t="shared" si="20"/>
        <v>473A</v>
      </c>
      <c r="M312" s="150" t="str">
        <f t="shared" si="21"/>
        <v>VTE - PIECES INTERNE BMW AUTO</v>
      </c>
      <c r="N312" s="151">
        <f>+IF(OR($Q312=Parametres!$G$2,$Q312=Parametres!$G$3),I312,C312)</f>
        <v>-51804.74</v>
      </c>
      <c r="O312" s="151">
        <f>+IF(OR($Q312=Parametres!$G$2,$Q312=Parametres!$G$3),J312,D312)</f>
        <v>-14265.16</v>
      </c>
      <c r="P312" s="151">
        <f>+IF(OR($Q312=Parametres!$G$2,$Q312=Parametres!$G$3),K312,E312)</f>
        <v>-66069.899999999994</v>
      </c>
      <c r="Q312" s="150" t="str">
        <f t="shared" si="22"/>
        <v>5-Ventes</v>
      </c>
      <c r="R312" s="149" t="str">
        <f t="shared" si="23"/>
        <v>473A</v>
      </c>
      <c r="S312" s="150" t="str">
        <f t="shared" si="24"/>
        <v>_</v>
      </c>
      <c r="T312" s="152" t="str">
        <f>+VLOOKUP($L312,Data_Validation!$A:$D,1,0)</f>
        <v>473A</v>
      </c>
      <c r="U312" s="152" t="str">
        <f>+VLOOKUP($L312,Data_Validation!$A:$D,3,0)</f>
        <v>pièces</v>
      </c>
      <c r="V312" s="152" t="str">
        <f>+VLOOKUP($L312,Data_Validation!$A:$D,4,0)</f>
        <v>Ventes Internes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1131</v>
      </c>
      <c r="B313" s="685" t="s">
        <v>449</v>
      </c>
      <c r="C313" s="1038">
        <v>-71244.06</v>
      </c>
      <c r="D313" s="1038">
        <v>-11315.17</v>
      </c>
      <c r="E313" s="1038">
        <v>-82559.23</v>
      </c>
      <c r="F313" s="685" t="s">
        <v>2006</v>
      </c>
      <c r="G313" s="685" t="s">
        <v>1132</v>
      </c>
      <c r="H313" s="686" t="s">
        <v>3074</v>
      </c>
      <c r="I313" s="687"/>
      <c r="J313" s="687"/>
      <c r="K313" s="687"/>
      <c r="L313" s="149" t="str">
        <f t="shared" si="20"/>
        <v>473B</v>
      </c>
      <c r="M313" s="150" t="str">
        <f t="shared" si="21"/>
        <v>VTE - PIECES INTERNE BMW CAMION</v>
      </c>
      <c r="N313" s="151">
        <f>+IF(OR($Q313=Parametres!$G$2,$Q313=Parametres!$G$3),I313,C313)</f>
        <v>-71244.06</v>
      </c>
      <c r="O313" s="151">
        <f>+IF(OR($Q313=Parametres!$G$2,$Q313=Parametres!$G$3),J313,D313)</f>
        <v>-11315.17</v>
      </c>
      <c r="P313" s="151">
        <f>+IF(OR($Q313=Parametres!$G$2,$Q313=Parametres!$G$3),K313,E313)</f>
        <v>-82559.23</v>
      </c>
      <c r="Q313" s="150" t="str">
        <f t="shared" si="22"/>
        <v>5-Ventes</v>
      </c>
      <c r="R313" s="149" t="str">
        <f t="shared" si="23"/>
        <v>473A</v>
      </c>
      <c r="S313" s="150" t="str">
        <f t="shared" si="24"/>
        <v>_</v>
      </c>
      <c r="T313" s="152" t="str">
        <f>+VLOOKUP($L313,Data_Validation!$A:$D,1,0)</f>
        <v>473B</v>
      </c>
      <c r="U313" s="152" t="str">
        <f>+VLOOKUP($L313,Data_Validation!$A:$D,3,0)</f>
        <v>pièces</v>
      </c>
      <c r="V313" s="152" t="str">
        <f>+VLOOKUP($L313,Data_Validation!$A:$D,4,0)</f>
        <v>Ventes Internes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635</v>
      </c>
      <c r="B314" s="685" t="s">
        <v>636</v>
      </c>
      <c r="C314" s="687">
        <v>-2070.5500000000002</v>
      </c>
      <c r="D314" s="687">
        <v>-260.60000000000002</v>
      </c>
      <c r="E314" s="687">
        <v>-2331.15</v>
      </c>
      <c r="F314" s="685" t="s">
        <v>2006</v>
      </c>
      <c r="G314" s="685" t="s">
        <v>1132</v>
      </c>
      <c r="H314" s="641" t="s">
        <v>3074</v>
      </c>
      <c r="I314" s="640"/>
      <c r="J314" s="640"/>
      <c r="K314" s="640"/>
      <c r="L314" s="149" t="str">
        <f t="shared" si="20"/>
        <v>473D</v>
      </c>
      <c r="M314" s="150" t="str">
        <f t="shared" si="21"/>
        <v>VTE - PIECES INTERNE BMW I</v>
      </c>
      <c r="N314" s="151">
        <f>+IF(OR($Q314=Parametres!$G$2,$Q314=Parametres!$G$3),I314,C314)</f>
        <v>-2070.5500000000002</v>
      </c>
      <c r="O314" s="151">
        <f>+IF(OR($Q314=Parametres!$G$2,$Q314=Parametres!$G$3),J314,D314)</f>
        <v>-260.60000000000002</v>
      </c>
      <c r="P314" s="151">
        <f>+IF(OR($Q314=Parametres!$G$2,$Q314=Parametres!$G$3),K314,E314)</f>
        <v>-2331.15</v>
      </c>
      <c r="Q314" s="150" t="str">
        <f t="shared" si="22"/>
        <v>5-Ventes</v>
      </c>
      <c r="R314" s="149" t="str">
        <f t="shared" si="23"/>
        <v>473A</v>
      </c>
      <c r="S314" s="150" t="str">
        <f t="shared" si="24"/>
        <v>_</v>
      </c>
      <c r="T314" s="152" t="str">
        <f>+VLOOKUP($L314,Data_Validation!$A:$D,1,0)</f>
        <v>473D</v>
      </c>
      <c r="U314" s="152" t="str">
        <f>+VLOOKUP($L314,Data_Validation!$A:$D,3,0)</f>
        <v>pièces</v>
      </c>
      <c r="V314" s="152" t="str">
        <f>+VLOOKUP($L314,Data_Validation!$A:$D,4,0)</f>
        <v>Ventes Internes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1117</v>
      </c>
      <c r="B315" s="639" t="s">
        <v>1118</v>
      </c>
      <c r="C315" s="640">
        <v>-102130.34</v>
      </c>
      <c r="D315" s="640">
        <v>-12720.26</v>
      </c>
      <c r="E315" s="640">
        <v>-114850.6</v>
      </c>
      <c r="F315" s="639" t="s">
        <v>2006</v>
      </c>
      <c r="G315" s="639" t="s">
        <v>1118</v>
      </c>
      <c r="H315" s="634" t="s">
        <v>3074</v>
      </c>
      <c r="I315" s="633"/>
      <c r="J315" s="633"/>
      <c r="K315" s="633"/>
      <c r="L315" s="149" t="str">
        <f t="shared" si="20"/>
        <v>474A</v>
      </c>
      <c r="M315" s="150" t="str">
        <f t="shared" si="21"/>
        <v>VTE - PIECES COMPTOIR BMW AUTO</v>
      </c>
      <c r="N315" s="151">
        <f>+IF(OR($Q315=Parametres!$G$2,$Q315=Parametres!$G$3),I315,C315)</f>
        <v>-102130.34</v>
      </c>
      <c r="O315" s="151">
        <f>+IF(OR($Q315=Parametres!$G$2,$Q315=Parametres!$G$3),J315,D315)</f>
        <v>-12720.26</v>
      </c>
      <c r="P315" s="151">
        <f>+IF(OR($Q315=Parametres!$G$2,$Q315=Parametres!$G$3),K315,E315)</f>
        <v>-114850.6</v>
      </c>
      <c r="Q315" s="150" t="str">
        <f t="shared" si="22"/>
        <v>5-Ventes</v>
      </c>
      <c r="R315" s="149" t="str">
        <f t="shared" si="23"/>
        <v>474A</v>
      </c>
      <c r="S315" s="150" t="str">
        <f t="shared" si="24"/>
        <v>_</v>
      </c>
      <c r="T315" s="152" t="str">
        <f>+VLOOKUP($L315,Data_Validation!$A:$D,1,0)</f>
        <v>474A</v>
      </c>
      <c r="U315" s="152" t="str">
        <f>+VLOOKUP($L315,Data_Validation!$A:$D,3,0)</f>
        <v>pièces</v>
      </c>
      <c r="V315" s="152" t="str">
        <f>+VLOOKUP($L315,Data_Validation!$A:$D,4,0)</f>
        <v>Ventes Détails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1187</v>
      </c>
      <c r="B316" s="639" t="s">
        <v>460</v>
      </c>
      <c r="C316" s="640">
        <v>-6682.44</v>
      </c>
      <c r="D316" s="640">
        <v>-443.06</v>
      </c>
      <c r="E316" s="640">
        <v>-7125.5</v>
      </c>
      <c r="F316" s="639" t="s">
        <v>2006</v>
      </c>
      <c r="G316" s="639" t="s">
        <v>1118</v>
      </c>
      <c r="H316" s="634" t="s">
        <v>3074</v>
      </c>
      <c r="I316" s="633"/>
      <c r="J316" s="633"/>
      <c r="K316" s="633"/>
      <c r="L316" s="149" t="str">
        <f t="shared" si="20"/>
        <v>474D</v>
      </c>
      <c r="M316" s="150" t="str">
        <f t="shared" si="21"/>
        <v>VTE - PIECES COMP. BMW LIFESTYLE</v>
      </c>
      <c r="N316" s="151">
        <f>+IF(OR($Q316=Parametres!$G$2,$Q316=Parametres!$G$3),I316,C316)</f>
        <v>-6682.44</v>
      </c>
      <c r="O316" s="151">
        <f>+IF(OR($Q316=Parametres!$G$2,$Q316=Parametres!$G$3),J316,D316)</f>
        <v>-443.06</v>
      </c>
      <c r="P316" s="151">
        <f>+IF(OR($Q316=Parametres!$G$2,$Q316=Parametres!$G$3),K316,E316)</f>
        <v>-7125.5</v>
      </c>
      <c r="Q316" s="150" t="str">
        <f t="shared" si="22"/>
        <v>5-Ventes</v>
      </c>
      <c r="R316" s="149" t="str">
        <f t="shared" si="23"/>
        <v>474A</v>
      </c>
      <c r="S316" s="150" t="str">
        <f t="shared" si="24"/>
        <v>_</v>
      </c>
      <c r="T316" s="152" t="str">
        <f>+VLOOKUP($L316,Data_Validation!$A:$D,1,0)</f>
        <v>474D</v>
      </c>
      <c r="U316" s="152" t="str">
        <f>+VLOOKUP($L316,Data_Validation!$A:$D,3,0)</f>
        <v>pièces</v>
      </c>
      <c r="V316" s="152" t="str">
        <f>+VLOOKUP($L316,Data_Validation!$A:$D,4,0)</f>
        <v>Ventes Détails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1133</v>
      </c>
      <c r="B317" s="685" t="s">
        <v>425</v>
      </c>
      <c r="C317" s="1038">
        <v>-36082.699999999997</v>
      </c>
      <c r="D317" s="1038">
        <v>-5569.21</v>
      </c>
      <c r="E317" s="1038">
        <v>-41651.910000000003</v>
      </c>
      <c r="F317" s="685" t="s">
        <v>2006</v>
      </c>
      <c r="G317" s="685" t="s">
        <v>1118</v>
      </c>
      <c r="H317" s="686" t="s">
        <v>3074</v>
      </c>
      <c r="I317" s="687"/>
      <c r="J317" s="687"/>
      <c r="K317" s="687"/>
      <c r="L317" s="149" t="str">
        <f t="shared" si="20"/>
        <v>474E</v>
      </c>
      <c r="M317" s="150" t="str">
        <f t="shared" si="21"/>
        <v>VTE - PIECES COMP. BMW ACCESSOIRE</v>
      </c>
      <c r="N317" s="151">
        <f>+IF(OR($Q317=Parametres!$G$2,$Q317=Parametres!$G$3),I317,C317)</f>
        <v>-36082.699999999997</v>
      </c>
      <c r="O317" s="151">
        <f>+IF(OR($Q317=Parametres!$G$2,$Q317=Parametres!$G$3),J317,D317)</f>
        <v>-5569.21</v>
      </c>
      <c r="P317" s="151">
        <f>+IF(OR($Q317=Parametres!$G$2,$Q317=Parametres!$G$3),K317,E317)</f>
        <v>-41651.910000000003</v>
      </c>
      <c r="Q317" s="150" t="str">
        <f t="shared" si="22"/>
        <v>5-Ventes</v>
      </c>
      <c r="R317" s="149" t="str">
        <f t="shared" si="23"/>
        <v>474A</v>
      </c>
      <c r="S317" s="150" t="str">
        <f t="shared" si="24"/>
        <v>_</v>
      </c>
      <c r="T317" s="152" t="str">
        <f>+VLOOKUP($L317,Data_Validation!$A:$D,1,0)</f>
        <v>474E</v>
      </c>
      <c r="U317" s="152" t="str">
        <f>+VLOOKUP($L317,Data_Validation!$A:$D,3,0)</f>
        <v>pièces</v>
      </c>
      <c r="V317" s="152" t="str">
        <f>+VLOOKUP($L317,Data_Validation!$A:$D,4,0)</f>
        <v>Ventes Détails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1166</v>
      </c>
      <c r="B318" s="685" t="s">
        <v>1167</v>
      </c>
      <c r="C318" s="1038">
        <v>-447936.03</v>
      </c>
      <c r="D318" s="1038">
        <v>-23218.63</v>
      </c>
      <c r="E318" s="1038">
        <v>-471154.66</v>
      </c>
      <c r="F318" s="685" t="s">
        <v>2006</v>
      </c>
      <c r="G318" s="685" t="s">
        <v>1167</v>
      </c>
      <c r="H318" s="686" t="s">
        <v>3074</v>
      </c>
      <c r="I318" s="687"/>
      <c r="J318" s="687"/>
      <c r="K318" s="687"/>
      <c r="L318" s="149" t="str">
        <f t="shared" si="20"/>
        <v>475A</v>
      </c>
      <c r="M318" s="150" t="str">
        <f t="shared" si="21"/>
        <v>VTE - PIECES GROS BMW AUTO</v>
      </c>
      <c r="N318" s="151">
        <f>+IF(OR($Q318=Parametres!$G$2,$Q318=Parametres!$G$3),I318,C318)</f>
        <v>-447936.03</v>
      </c>
      <c r="O318" s="151">
        <f>+IF(OR($Q318=Parametres!$G$2,$Q318=Parametres!$G$3),J318,D318)</f>
        <v>-23218.63</v>
      </c>
      <c r="P318" s="151">
        <f>+IF(OR($Q318=Parametres!$G$2,$Q318=Parametres!$G$3),K318,E318)</f>
        <v>-471154.66</v>
      </c>
      <c r="Q318" s="150" t="str">
        <f t="shared" si="22"/>
        <v>5-Ventes</v>
      </c>
      <c r="R318" s="149" t="str">
        <f t="shared" si="23"/>
        <v>475A</v>
      </c>
      <c r="S318" s="150" t="str">
        <f t="shared" si="24"/>
        <v>_</v>
      </c>
      <c r="T318" s="152" t="str">
        <f>+VLOOKUP($L318,Data_Validation!$A:$D,1,0)</f>
        <v>475A</v>
      </c>
      <c r="U318" s="152" t="str">
        <f>+VLOOKUP($L318,Data_Validation!$A:$D,3,0)</f>
        <v>pièces</v>
      </c>
      <c r="V318" s="152" t="str">
        <f>+VLOOKUP($L318,Data_Validation!$A:$D,4,0)</f>
        <v>Ventes de Gros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3022</v>
      </c>
      <c r="B319" s="639" t="s">
        <v>3023</v>
      </c>
      <c r="C319" s="640">
        <v>-190345.24</v>
      </c>
      <c r="D319" s="640">
        <v>0</v>
      </c>
      <c r="E319" s="640">
        <v>-190345.24</v>
      </c>
      <c r="F319" s="639" t="s">
        <v>2006</v>
      </c>
      <c r="G319" s="639" t="s">
        <v>3023</v>
      </c>
      <c r="H319" s="634" t="s">
        <v>3074</v>
      </c>
      <c r="I319" s="633"/>
      <c r="J319" s="633"/>
      <c r="K319" s="633"/>
      <c r="L319" s="149" t="str">
        <f t="shared" si="20"/>
        <v>480B</v>
      </c>
      <c r="M319" s="150" t="str">
        <f t="shared" si="21"/>
        <v>VTES -ALPINA XB7</v>
      </c>
      <c r="N319" s="151">
        <f>+IF(OR($Q319=Parametres!$G$2,$Q319=Parametres!$G$3),I319,C319)</f>
        <v>-190345.24</v>
      </c>
      <c r="O319" s="151">
        <f>+IF(OR($Q319=Parametres!$G$2,$Q319=Parametres!$G$3),J319,D319)</f>
        <v>0</v>
      </c>
      <c r="P319" s="151">
        <f>+IF(OR($Q319=Parametres!$G$2,$Q319=Parametres!$G$3),K319,E319)</f>
        <v>-190345.24</v>
      </c>
      <c r="Q319" s="150" t="str">
        <f t="shared" si="22"/>
        <v>5-Ventes</v>
      </c>
      <c r="R319" s="149" t="str">
        <f t="shared" si="23"/>
        <v>480B</v>
      </c>
      <c r="S319" s="150" t="str">
        <f t="shared" si="24"/>
        <v>_</v>
      </c>
      <c r="T319" s="152" t="str">
        <f>+VLOOKUP($L319,Data_Validation!$A:$D,1,0)</f>
        <v>480B</v>
      </c>
      <c r="U319" s="152" t="str">
        <f>+VLOOKUP($L319,Data_Validation!$A:$D,3,0)</f>
        <v>Véhicules neufs</v>
      </c>
      <c r="V319" s="152" t="str">
        <f>+VLOOKUP($L319,Data_Validation!$A:$D,4,0)</f>
        <v>Autos détail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2517</v>
      </c>
      <c r="B320" s="685" t="s">
        <v>2518</v>
      </c>
      <c r="C320" s="1038">
        <v>-201992.6</v>
      </c>
      <c r="D320" s="1038">
        <v>0</v>
      </c>
      <c r="E320" s="1038">
        <v>-201992.6</v>
      </c>
      <c r="F320" s="685" t="s">
        <v>2006</v>
      </c>
      <c r="G320" s="685" t="s">
        <v>2518</v>
      </c>
      <c r="H320" s="686" t="s">
        <v>3074</v>
      </c>
      <c r="I320" s="687"/>
      <c r="J320" s="687"/>
      <c r="K320" s="687"/>
      <c r="L320" s="149" t="str">
        <f t="shared" si="20"/>
        <v>481</v>
      </c>
      <c r="M320" s="150" t="str">
        <f t="shared" si="21"/>
        <v>XM</v>
      </c>
      <c r="N320" s="151">
        <f>+IF(OR($Q320=Parametres!$G$2,$Q320=Parametres!$G$3),I320,C320)</f>
        <v>-201992.6</v>
      </c>
      <c r="O320" s="151">
        <f>+IF(OR($Q320=Parametres!$G$2,$Q320=Parametres!$G$3),J320,D320)</f>
        <v>0</v>
      </c>
      <c r="P320" s="151">
        <f>+IF(OR($Q320=Parametres!$G$2,$Q320=Parametres!$G$3),K320,E320)</f>
        <v>-201992.6</v>
      </c>
      <c r="Q320" s="150" t="str">
        <f t="shared" si="22"/>
        <v>5-Ventes</v>
      </c>
      <c r="R320" s="149" t="str">
        <f t="shared" si="23"/>
        <v>481</v>
      </c>
      <c r="S320" s="150" t="str">
        <f t="shared" si="24"/>
        <v>_</v>
      </c>
      <c r="T320" s="152" t="str">
        <f>+VLOOKUP($L320,Data_Validation!$A:$D,1,0)</f>
        <v>481</v>
      </c>
      <c r="U320" s="152" t="str">
        <f>+VLOOKUP($L320,Data_Validation!$A:$D,3,0)</f>
        <v>Véhicules neufs</v>
      </c>
      <c r="V320" s="152" t="str">
        <f>+VLOOKUP($L320,Data_Validation!$A:$D,4,0)</f>
        <v>Camions détail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422</v>
      </c>
      <c r="B321" s="685" t="s">
        <v>417</v>
      </c>
      <c r="C321" s="687">
        <v>-388096.6</v>
      </c>
      <c r="D321" s="687">
        <v>-37519.83</v>
      </c>
      <c r="E321" s="687">
        <v>-425616.43</v>
      </c>
      <c r="F321" s="685" t="s">
        <v>2006</v>
      </c>
      <c r="G321" s="685" t="s">
        <v>417</v>
      </c>
      <c r="H321" s="641" t="s">
        <v>3074</v>
      </c>
      <c r="I321" s="640"/>
      <c r="J321" s="640"/>
      <c r="K321" s="640"/>
      <c r="L321" s="149" t="str">
        <f t="shared" si="20"/>
        <v>488A</v>
      </c>
      <c r="M321" s="150" t="str">
        <f t="shared" si="21"/>
        <v>VTE - PNEUS</v>
      </c>
      <c r="N321" s="151">
        <f>+IF(OR($Q321=Parametres!$G$2,$Q321=Parametres!$G$3),I321,C321)</f>
        <v>-388096.6</v>
      </c>
      <c r="O321" s="151">
        <f>+IF(OR($Q321=Parametres!$G$2,$Q321=Parametres!$G$3),J321,D321)</f>
        <v>-37519.83</v>
      </c>
      <c r="P321" s="151">
        <f>+IF(OR($Q321=Parametres!$G$2,$Q321=Parametres!$G$3),K321,E321)</f>
        <v>-425616.43</v>
      </c>
      <c r="Q321" s="150" t="str">
        <f t="shared" si="22"/>
        <v>5-Ventes</v>
      </c>
      <c r="R321" s="149" t="str">
        <f t="shared" si="23"/>
        <v>488A</v>
      </c>
      <c r="S321" s="150" t="str">
        <f t="shared" si="24"/>
        <v>_</v>
      </c>
      <c r="T321" s="152" t="str">
        <f>+VLOOKUP($L321,Data_Validation!$A:$D,1,0)</f>
        <v>488A</v>
      </c>
      <c r="U321" s="152" t="str">
        <f>+VLOOKUP($L321,Data_Validation!$A:$D,3,0)</f>
        <v>pièces</v>
      </c>
      <c r="V321" s="152" t="str">
        <f>+VLOOKUP($L321,Data_Validation!$A:$D,4,0)</f>
        <v>Ventes Pneus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1146</v>
      </c>
      <c r="B322" s="685" t="s">
        <v>445</v>
      </c>
      <c r="C322" s="687">
        <v>-31557.46</v>
      </c>
      <c r="D322" s="687">
        <v>-9478.86</v>
      </c>
      <c r="E322" s="687">
        <v>-41036.32</v>
      </c>
      <c r="F322" s="685" t="s">
        <v>2006</v>
      </c>
      <c r="G322" s="685" t="s">
        <v>445</v>
      </c>
      <c r="H322" s="641" t="s">
        <v>3074</v>
      </c>
      <c r="I322" s="640"/>
      <c r="J322" s="640"/>
      <c r="K322" s="640"/>
      <c r="L322" s="149" t="str">
        <f t="shared" ref="L322:L385" si="25">+B322</f>
        <v>489A</v>
      </c>
      <c r="M322" s="150" t="str">
        <f t="shared" ref="M322:M385" si="26">+A322</f>
        <v>VTE - HUILES &amp; GRAISSES</v>
      </c>
      <c r="N322" s="151">
        <f>+IF(OR($Q322=Parametres!$G$2,$Q322=Parametres!$G$3),I322,C322)</f>
        <v>-31557.46</v>
      </c>
      <c r="O322" s="151">
        <f>+IF(OR($Q322=Parametres!$G$2,$Q322=Parametres!$G$3),J322,D322)</f>
        <v>-9478.86</v>
      </c>
      <c r="P322" s="151">
        <f>+IF(OR($Q322=Parametres!$G$2,$Q322=Parametres!$G$3),K322,E322)</f>
        <v>-41036.32</v>
      </c>
      <c r="Q322" s="150" t="str">
        <f t="shared" ref="Q322:Q385" si="27">+F322</f>
        <v>5-Ventes</v>
      </c>
      <c r="R322" s="149" t="str">
        <f t="shared" ref="R322:R385" si="28">+G322</f>
        <v>489A</v>
      </c>
      <c r="S322" s="150" t="str">
        <f t="shared" ref="S322:S385" si="29">+H322</f>
        <v>_</v>
      </c>
      <c r="T322" s="152" t="str">
        <f>+VLOOKUP($L322,Data_Validation!$A:$D,1,0)</f>
        <v>489A</v>
      </c>
      <c r="U322" s="152" t="str">
        <f>+VLOOKUP($L322,Data_Validation!$A:$D,3,0)</f>
        <v>pièces</v>
      </c>
      <c r="V322" s="152" t="str">
        <f>+VLOOKUP($L322,Data_Validation!$A:$D,4,0)</f>
        <v>Huiles et Graisse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1150</v>
      </c>
      <c r="B323" s="685" t="s">
        <v>1151</v>
      </c>
      <c r="C323" s="1038">
        <v>-42689.32</v>
      </c>
      <c r="D323" s="1038">
        <v>-9004.02</v>
      </c>
      <c r="E323" s="1038">
        <v>-51693.34</v>
      </c>
      <c r="F323" s="685" t="s">
        <v>2006</v>
      </c>
      <c r="G323" s="685" t="s">
        <v>445</v>
      </c>
      <c r="H323" s="686" t="s">
        <v>3074</v>
      </c>
      <c r="I323" s="687"/>
      <c r="J323" s="687"/>
      <c r="K323" s="687"/>
      <c r="L323" s="149" t="str">
        <f t="shared" si="25"/>
        <v>489B</v>
      </c>
      <c r="M323" s="150" t="str">
        <f t="shared" si="26"/>
        <v>VTE - HUILE &amp; GRAISSE</v>
      </c>
      <c r="N323" s="151">
        <f>+IF(OR($Q323=Parametres!$G$2,$Q323=Parametres!$G$3),I323,C323)</f>
        <v>-42689.32</v>
      </c>
      <c r="O323" s="151">
        <f>+IF(OR($Q323=Parametres!$G$2,$Q323=Parametres!$G$3),J323,D323)</f>
        <v>-9004.02</v>
      </c>
      <c r="P323" s="151">
        <f>+IF(OR($Q323=Parametres!$G$2,$Q323=Parametres!$G$3),K323,E323)</f>
        <v>-51693.34</v>
      </c>
      <c r="Q323" s="150" t="str">
        <f t="shared" si="27"/>
        <v>5-Ventes</v>
      </c>
      <c r="R323" s="149" t="str">
        <f t="shared" si="28"/>
        <v>489A</v>
      </c>
      <c r="S323" s="150" t="str">
        <f t="shared" si="29"/>
        <v>_</v>
      </c>
      <c r="T323" s="152" t="str">
        <f>+VLOOKUP($L323,Data_Validation!$A:$D,1,0)</f>
        <v>489B</v>
      </c>
      <c r="U323" s="152" t="str">
        <f>+VLOOKUP($L323,Data_Validation!$A:$D,3,0)</f>
        <v>pièces</v>
      </c>
      <c r="V323" s="152" t="str">
        <f>+VLOOKUP($L323,Data_Validation!$A:$D,4,0)</f>
        <v>Huiles et Graisse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2922</v>
      </c>
      <c r="B324" s="685" t="s">
        <v>2923</v>
      </c>
      <c r="C324" s="1038">
        <v>90726.51</v>
      </c>
      <c r="D324" s="1038">
        <v>93965.05</v>
      </c>
      <c r="E324" s="1038">
        <v>184691.56</v>
      </c>
      <c r="F324" s="685" t="s">
        <v>2014</v>
      </c>
      <c r="G324" s="685" t="s">
        <v>2921</v>
      </c>
      <c r="H324" s="686" t="s">
        <v>3074</v>
      </c>
      <c r="I324" s="687"/>
      <c r="J324" s="687"/>
      <c r="K324" s="687"/>
      <c r="L324" s="149" t="str">
        <f t="shared" si="25"/>
        <v>601A</v>
      </c>
      <c r="M324" s="150" t="str">
        <f t="shared" si="26"/>
        <v>C/V - M240I COUPE</v>
      </c>
      <c r="N324" s="151">
        <f>+IF(OR($Q324=Parametres!$G$2,$Q324=Parametres!$G$3),I324,C324)</f>
        <v>90726.51</v>
      </c>
      <c r="O324" s="151">
        <f>+IF(OR($Q324=Parametres!$G$2,$Q324=Parametres!$G$3),J324,D324)</f>
        <v>93965.05</v>
      </c>
      <c r="P324" s="151">
        <f>+IF(OR($Q324=Parametres!$G$2,$Q324=Parametres!$G$3),K324,E324)</f>
        <v>184691.56</v>
      </c>
      <c r="Q324" s="150" t="str">
        <f t="shared" si="27"/>
        <v>6-Coût des ventes</v>
      </c>
      <c r="R324" s="149" t="str">
        <f t="shared" si="28"/>
        <v>401A</v>
      </c>
      <c r="S324" s="150" t="str">
        <f t="shared" si="29"/>
        <v>_</v>
      </c>
      <c r="T324" s="152" t="str">
        <f>+VLOOKUP($L324,Data_Validation!$A:$D,1,0)</f>
        <v>601A</v>
      </c>
      <c r="U324" s="152" t="str">
        <f>+VLOOKUP($L324,Data_Validation!$A:$D,3,0)</f>
        <v>Véhicules neufs</v>
      </c>
      <c r="V324" s="152" t="str">
        <f>+VLOOKUP($L324,Data_Validation!$A:$D,4,0)</f>
        <v>Autos détail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39" t="s">
        <v>3024</v>
      </c>
      <c r="B325" s="639" t="s">
        <v>3032</v>
      </c>
      <c r="C325" s="640">
        <v>122080.74</v>
      </c>
      <c r="D325" s="640">
        <v>0</v>
      </c>
      <c r="E325" s="640">
        <v>122080.74</v>
      </c>
      <c r="F325" s="639" t="s">
        <v>2014</v>
      </c>
      <c r="G325" s="639" t="s">
        <v>3102</v>
      </c>
      <c r="H325" s="634" t="s">
        <v>3074</v>
      </c>
      <c r="I325" s="633"/>
      <c r="J325" s="633"/>
      <c r="K325" s="633"/>
      <c r="L325" s="149" t="str">
        <f t="shared" si="25"/>
        <v>601G</v>
      </c>
      <c r="M325" s="150" t="str">
        <f t="shared" si="26"/>
        <v>M2 CS</v>
      </c>
      <c r="N325" s="151">
        <f>+IF(OR($Q325=Parametres!$G$2,$Q325=Parametres!$G$3),I325,C325)</f>
        <v>122080.74</v>
      </c>
      <c r="O325" s="151">
        <f>+IF(OR($Q325=Parametres!$G$2,$Q325=Parametres!$G$3),J325,D325)</f>
        <v>0</v>
      </c>
      <c r="P325" s="151">
        <f>+IF(OR($Q325=Parametres!$G$2,$Q325=Parametres!$G$3),K325,E325)</f>
        <v>122080.74</v>
      </c>
      <c r="Q325" s="150" t="str">
        <f t="shared" si="27"/>
        <v>6-Coût des ventes</v>
      </c>
      <c r="R325" s="149" t="str">
        <f t="shared" si="28"/>
        <v>601</v>
      </c>
      <c r="S325" s="150" t="str">
        <f t="shared" si="29"/>
        <v>_</v>
      </c>
      <c r="T325" s="152" t="str">
        <f>+VLOOKUP($L325,Data_Validation!$A:$D,1,0)</f>
        <v>601G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5" t="s">
        <v>2976</v>
      </c>
      <c r="B326" s="685" t="s">
        <v>2978</v>
      </c>
      <c r="C326" s="687">
        <v>225136.49</v>
      </c>
      <c r="D326" s="687">
        <v>0</v>
      </c>
      <c r="E326" s="687">
        <v>225136.49</v>
      </c>
      <c r="F326" s="685" t="s">
        <v>2014</v>
      </c>
      <c r="G326" s="685" t="s">
        <v>3103</v>
      </c>
      <c r="H326" s="641" t="s">
        <v>3074</v>
      </c>
      <c r="I326" s="640"/>
      <c r="J326" s="640"/>
      <c r="K326" s="640"/>
      <c r="L326" s="149" t="str">
        <f t="shared" si="25"/>
        <v>602E</v>
      </c>
      <c r="M326" s="150" t="str">
        <f t="shared" si="26"/>
        <v>IX XDRIVE60</v>
      </c>
      <c r="N326" s="151">
        <f>+IF(OR($Q326=Parametres!$G$2,$Q326=Parametres!$G$3),I326,C326)</f>
        <v>225136.49</v>
      </c>
      <c r="O326" s="151">
        <f>+IF(OR($Q326=Parametres!$G$2,$Q326=Parametres!$G$3),J326,D326)</f>
        <v>0</v>
      </c>
      <c r="P326" s="151">
        <f>+IF(OR($Q326=Parametres!$G$2,$Q326=Parametres!$G$3),K326,E326)</f>
        <v>225136.49</v>
      </c>
      <c r="Q326" s="150" t="str">
        <f t="shared" si="27"/>
        <v>6-Coût des ventes</v>
      </c>
      <c r="R326" s="149" t="str">
        <f t="shared" si="28"/>
        <v>602</v>
      </c>
      <c r="S326" s="150" t="str">
        <f t="shared" si="29"/>
        <v>_</v>
      </c>
      <c r="T326" s="152" t="str">
        <f>+VLOOKUP($L326,Data_Validation!$A:$D,1,0)</f>
        <v>602E</v>
      </c>
      <c r="U326" s="152" t="str">
        <f>+VLOOKUP($L326,Data_Validation!$A:$D,3,0)</f>
        <v>Véhicules neufs</v>
      </c>
      <c r="V326" s="152" t="str">
        <f>+VLOOKUP($L326,Data_Validation!$A:$D,4,0)</f>
        <v>Camions détail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5" t="s">
        <v>2348</v>
      </c>
      <c r="B327" s="685" t="s">
        <v>2349</v>
      </c>
      <c r="C327" s="1038">
        <v>165578.84</v>
      </c>
      <c r="D327" s="1038">
        <v>0</v>
      </c>
      <c r="E327" s="1038">
        <v>165578.84</v>
      </c>
      <c r="F327" s="685" t="s">
        <v>2014</v>
      </c>
      <c r="G327" s="685" t="s">
        <v>2343</v>
      </c>
      <c r="H327" s="686" t="s">
        <v>3074</v>
      </c>
      <c r="I327" s="687"/>
      <c r="J327" s="687"/>
      <c r="K327" s="687"/>
      <c r="L327" s="149" t="str">
        <f t="shared" si="25"/>
        <v>603I</v>
      </c>
      <c r="M327" s="150" t="str">
        <f t="shared" si="26"/>
        <v>C/V - i4 M50i XDRIVE GRAN COUPE</v>
      </c>
      <c r="N327" s="151">
        <f>+IF(OR($Q327=Parametres!$G$2,$Q327=Parametres!$G$3),I327,C327)</f>
        <v>165578.84</v>
      </c>
      <c r="O327" s="151">
        <f>+IF(OR($Q327=Parametres!$G$2,$Q327=Parametres!$G$3),J327,D327)</f>
        <v>0</v>
      </c>
      <c r="P327" s="151">
        <f>+IF(OR($Q327=Parametres!$G$2,$Q327=Parametres!$G$3),K327,E327)</f>
        <v>165578.84</v>
      </c>
      <c r="Q327" s="150" t="str">
        <f t="shared" si="27"/>
        <v>6-Coût des ventes</v>
      </c>
      <c r="R327" s="149" t="str">
        <f t="shared" si="28"/>
        <v>403I</v>
      </c>
      <c r="S327" s="150" t="str">
        <f t="shared" si="29"/>
        <v>_</v>
      </c>
      <c r="T327" s="152" t="str">
        <f>+VLOOKUP($L327,Data_Validation!$A:$D,1,0)</f>
        <v>603I</v>
      </c>
      <c r="U327" s="152" t="str">
        <f>+VLOOKUP($L327,Data_Validation!$A:$D,3,0)</f>
        <v>Véhicules neufs</v>
      </c>
      <c r="V327" s="152" t="str">
        <f>+VLOOKUP($L327,Data_Validation!$A:$D,4,0)</f>
        <v>Autos détail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5" t="s">
        <v>3064</v>
      </c>
      <c r="B328" s="685" t="s">
        <v>3067</v>
      </c>
      <c r="C328" s="687">
        <v>63912.53</v>
      </c>
      <c r="D328" s="687">
        <v>0</v>
      </c>
      <c r="E328" s="687">
        <v>63912.53</v>
      </c>
      <c r="F328" s="685" t="s">
        <v>2014</v>
      </c>
      <c r="G328" s="685" t="s">
        <v>3104</v>
      </c>
      <c r="H328" s="641" t="s">
        <v>3074</v>
      </c>
      <c r="I328" s="640"/>
      <c r="J328" s="640"/>
      <c r="K328" s="640"/>
      <c r="L328" s="149" t="str">
        <f t="shared" si="25"/>
        <v>604K</v>
      </c>
      <c r="M328" s="150" t="str">
        <f t="shared" si="26"/>
        <v>I4 XDRIVE40 GRAN COUPE</v>
      </c>
      <c r="N328" s="151">
        <f>+IF(OR($Q328=Parametres!$G$2,$Q328=Parametres!$G$3),I328,C328)</f>
        <v>63912.53</v>
      </c>
      <c r="O328" s="151">
        <f>+IF(OR($Q328=Parametres!$G$2,$Q328=Parametres!$G$3),J328,D328)</f>
        <v>0</v>
      </c>
      <c r="P328" s="151">
        <f>+IF(OR($Q328=Parametres!$G$2,$Q328=Parametres!$G$3),K328,E328)</f>
        <v>63912.53</v>
      </c>
      <c r="Q328" s="150" t="str">
        <f t="shared" si="27"/>
        <v>6-Coût des ventes</v>
      </c>
      <c r="R328" s="149" t="str">
        <f t="shared" si="28"/>
        <v>604</v>
      </c>
      <c r="S328" s="150" t="str">
        <f t="shared" si="29"/>
        <v>_</v>
      </c>
      <c r="T328" s="152" t="str">
        <f>+VLOOKUP($L328,Data_Validation!$A:$D,1,0)</f>
        <v>604K</v>
      </c>
      <c r="U328" s="152" t="str">
        <f>+VLOOKUP($L328,Data_Validation!$A:$D,3,0)</f>
        <v>Véhicules neufs</v>
      </c>
      <c r="V328" s="152" t="str">
        <f>+VLOOKUP($L328,Data_Validation!$A:$D,4,0)</f>
        <v>Autos détail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5" t="s">
        <v>2365</v>
      </c>
      <c r="B329" s="685" t="s">
        <v>2366</v>
      </c>
      <c r="C329" s="687">
        <v>246412.15</v>
      </c>
      <c r="D329" s="687">
        <v>239774.59</v>
      </c>
      <c r="E329" s="687">
        <v>486186.74</v>
      </c>
      <c r="F329" s="685" t="s">
        <v>2014</v>
      </c>
      <c r="G329" s="685" t="s">
        <v>2361</v>
      </c>
      <c r="H329" s="641" t="s">
        <v>3074</v>
      </c>
      <c r="I329" s="640"/>
      <c r="J329" s="640"/>
      <c r="K329" s="640"/>
      <c r="L329" s="149" t="str">
        <f t="shared" si="25"/>
        <v>605H</v>
      </c>
      <c r="M329" s="150" t="str">
        <f t="shared" si="26"/>
        <v>C/V - M4 COMPETITION CABRIOLET XDRIVE</v>
      </c>
      <c r="N329" s="151">
        <f>+IF(OR($Q329=Parametres!$G$2,$Q329=Parametres!$G$3),I329,C329)</f>
        <v>246412.15</v>
      </c>
      <c r="O329" s="151">
        <f>+IF(OR($Q329=Parametres!$G$2,$Q329=Parametres!$G$3),J329,D329)</f>
        <v>239774.59</v>
      </c>
      <c r="P329" s="151">
        <f>+IF(OR($Q329=Parametres!$G$2,$Q329=Parametres!$G$3),K329,E329)</f>
        <v>486186.74</v>
      </c>
      <c r="Q329" s="150" t="str">
        <f t="shared" si="27"/>
        <v>6-Coût des ventes</v>
      </c>
      <c r="R329" s="149" t="str">
        <f t="shared" si="28"/>
        <v>405H</v>
      </c>
      <c r="S329" s="150" t="str">
        <f t="shared" si="29"/>
        <v>_</v>
      </c>
      <c r="T329" s="152" t="str">
        <f>+VLOOKUP($L329,Data_Validation!$A:$D,1,0)</f>
        <v>605H</v>
      </c>
      <c r="U329" s="152" t="str">
        <f>+VLOOKUP($L329,Data_Validation!$A:$D,3,0)</f>
        <v>Véhicules neufs</v>
      </c>
      <c r="V329" s="152" t="str">
        <f>+VLOOKUP($L329,Data_Validation!$A:$D,4,0)</f>
        <v>Autos détail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5" t="s">
        <v>2147</v>
      </c>
      <c r="B330" s="685" t="s">
        <v>2148</v>
      </c>
      <c r="C330" s="1038">
        <v>122042.51</v>
      </c>
      <c r="D330" s="1038">
        <v>0</v>
      </c>
      <c r="E330" s="1038">
        <v>122042.51</v>
      </c>
      <c r="F330" s="685" t="s">
        <v>2014</v>
      </c>
      <c r="G330" s="685" t="s">
        <v>2144</v>
      </c>
      <c r="H330" s="686" t="s">
        <v>3074</v>
      </c>
      <c r="I330" s="687"/>
      <c r="J330" s="687"/>
      <c r="K330" s="687"/>
      <c r="L330" s="149" t="str">
        <f t="shared" si="25"/>
        <v>605J</v>
      </c>
      <c r="M330" s="150" t="str">
        <f t="shared" si="26"/>
        <v>C/V - M4 COMPETITION</v>
      </c>
      <c r="N330" s="151">
        <f>+IF(OR($Q330=Parametres!$G$2,$Q330=Parametres!$G$3),I330,C330)</f>
        <v>122042.51</v>
      </c>
      <c r="O330" s="151">
        <f>+IF(OR($Q330=Parametres!$G$2,$Q330=Parametres!$G$3),J330,D330)</f>
        <v>0</v>
      </c>
      <c r="P330" s="151">
        <f>+IF(OR($Q330=Parametres!$G$2,$Q330=Parametres!$G$3),K330,E330)</f>
        <v>122042.51</v>
      </c>
      <c r="Q330" s="150" t="str">
        <f t="shared" si="27"/>
        <v>6-Coût des ventes</v>
      </c>
      <c r="R330" s="149" t="str">
        <f t="shared" si="28"/>
        <v>405J</v>
      </c>
      <c r="S330" s="150" t="str">
        <f t="shared" si="29"/>
        <v>_</v>
      </c>
      <c r="T330" s="152" t="str">
        <f>+VLOOKUP($L330,Data_Validation!$A:$D,1,0)</f>
        <v>605J</v>
      </c>
      <c r="U330" s="152" t="str">
        <f>+VLOOKUP($L330,Data_Validation!$A:$D,3,0)</f>
        <v>Véhicules neufs</v>
      </c>
      <c r="V330" s="152" t="str">
        <f>+VLOOKUP($L330,Data_Validation!$A:$D,4,0)</f>
        <v>Autos détail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5" t="s">
        <v>1986</v>
      </c>
      <c r="B331" s="685" t="s">
        <v>1987</v>
      </c>
      <c r="C331" s="687">
        <v>378041.93</v>
      </c>
      <c r="D331" s="687">
        <v>0</v>
      </c>
      <c r="E331" s="687">
        <v>378041.93</v>
      </c>
      <c r="F331" s="685" t="s">
        <v>2014</v>
      </c>
      <c r="G331" s="685" t="s">
        <v>1983</v>
      </c>
      <c r="H331" s="641" t="s">
        <v>3074</v>
      </c>
      <c r="I331" s="640"/>
      <c r="J331" s="640"/>
      <c r="K331" s="640"/>
      <c r="L331" s="149" t="str">
        <f t="shared" si="25"/>
        <v>605K</v>
      </c>
      <c r="M331" s="150" t="str">
        <f t="shared" si="26"/>
        <v>C/V - M440I XDR COUPE</v>
      </c>
      <c r="N331" s="151">
        <f>+IF(OR($Q331=Parametres!$G$2,$Q331=Parametres!$G$3),I331,C331)</f>
        <v>378041.93</v>
      </c>
      <c r="O331" s="151">
        <f>+IF(OR($Q331=Parametres!$G$2,$Q331=Parametres!$G$3),J331,D331)</f>
        <v>0</v>
      </c>
      <c r="P331" s="151">
        <f>+IF(OR($Q331=Parametres!$G$2,$Q331=Parametres!$G$3),K331,E331)</f>
        <v>378041.93</v>
      </c>
      <c r="Q331" s="150" t="str">
        <f t="shared" si="27"/>
        <v>6-Coût des ventes</v>
      </c>
      <c r="R331" s="149" t="str">
        <f t="shared" si="28"/>
        <v>405K</v>
      </c>
      <c r="S331" s="150" t="str">
        <f t="shared" si="29"/>
        <v>_</v>
      </c>
      <c r="T331" s="152" t="str">
        <f>+VLOOKUP($L331,Data_Validation!$A:$D,1,0)</f>
        <v>605K</v>
      </c>
      <c r="U331" s="152" t="str">
        <f>+VLOOKUP($L331,Data_Validation!$A:$D,3,0)</f>
        <v>Véhicules neufs</v>
      </c>
      <c r="V331" s="152" t="str">
        <f>+VLOOKUP($L331,Data_Validation!$A:$D,4,0)</f>
        <v>Autos détail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39" t="s">
        <v>2877</v>
      </c>
      <c r="B332" s="639" t="s">
        <v>2881</v>
      </c>
      <c r="C332" s="640">
        <v>96178.03</v>
      </c>
      <c r="D332" s="640">
        <v>99630.45</v>
      </c>
      <c r="E332" s="640">
        <v>195808.48</v>
      </c>
      <c r="F332" s="639" t="s">
        <v>2014</v>
      </c>
      <c r="G332" s="639" t="s">
        <v>2881</v>
      </c>
      <c r="H332" s="634" t="s">
        <v>3074</v>
      </c>
      <c r="I332" s="633"/>
      <c r="J332" s="633"/>
      <c r="K332" s="633"/>
      <c r="L332" s="149" t="str">
        <f t="shared" si="25"/>
        <v>605L</v>
      </c>
      <c r="M332" s="150" t="str">
        <f t="shared" si="26"/>
        <v>M440I XDRIVE CABRIOLET</v>
      </c>
      <c r="N332" s="151">
        <f>+IF(OR($Q332=Parametres!$G$2,$Q332=Parametres!$G$3),I332,C332)</f>
        <v>96178.03</v>
      </c>
      <c r="O332" s="151">
        <f>+IF(OR($Q332=Parametres!$G$2,$Q332=Parametres!$G$3),J332,D332)</f>
        <v>99630.45</v>
      </c>
      <c r="P332" s="151">
        <f>+IF(OR($Q332=Parametres!$G$2,$Q332=Parametres!$G$3),K332,E332)</f>
        <v>195808.48</v>
      </c>
      <c r="Q332" s="150" t="str">
        <f t="shared" si="27"/>
        <v>6-Coût des ventes</v>
      </c>
      <c r="R332" s="149" t="str">
        <f t="shared" si="28"/>
        <v>605L</v>
      </c>
      <c r="S332" s="150" t="str">
        <f t="shared" si="29"/>
        <v>_</v>
      </c>
      <c r="T332" s="152" t="str">
        <f>+VLOOKUP($L332,Data_Validation!$A:$D,1,0)</f>
        <v>605L</v>
      </c>
      <c r="U332" s="152" t="str">
        <f>+VLOOKUP($L332,Data_Validation!$A:$D,3,0)</f>
        <v>Véhicules neufs</v>
      </c>
      <c r="V332" s="152" t="str">
        <f>+VLOOKUP($L332,Data_Validation!$A:$D,4,0)</f>
        <v>Autos détail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1416</v>
      </c>
      <c r="B333" s="685" t="s">
        <v>645</v>
      </c>
      <c r="C333" s="687">
        <v>64527.12</v>
      </c>
      <c r="D333" s="687">
        <v>0</v>
      </c>
      <c r="E333" s="687">
        <v>64527.12</v>
      </c>
      <c r="F333" s="685" t="s">
        <v>2014</v>
      </c>
      <c r="G333" s="685" t="s">
        <v>608</v>
      </c>
      <c r="H333" s="641" t="s">
        <v>3074</v>
      </c>
      <c r="I333" s="640"/>
      <c r="J333" s="640"/>
      <c r="K333" s="640"/>
      <c r="L333" s="149" t="str">
        <f t="shared" si="25"/>
        <v>606D</v>
      </c>
      <c r="M333" s="150" t="str">
        <f t="shared" si="26"/>
        <v>C/V - 230I XDR OCUPE</v>
      </c>
      <c r="N333" s="151">
        <f>+IF(OR($Q333=Parametres!$G$2,$Q333=Parametres!$G$3),I333,C333)</f>
        <v>64527.12</v>
      </c>
      <c r="O333" s="151">
        <f>+IF(OR($Q333=Parametres!$G$2,$Q333=Parametres!$G$3),J333,D333)</f>
        <v>0</v>
      </c>
      <c r="P333" s="151">
        <f>+IF(OR($Q333=Parametres!$G$2,$Q333=Parametres!$G$3),K333,E333)</f>
        <v>64527.12</v>
      </c>
      <c r="Q333" s="150" t="str">
        <f t="shared" si="27"/>
        <v>6-Coût des ventes</v>
      </c>
      <c r="R333" s="149" t="str">
        <f t="shared" si="28"/>
        <v>406D</v>
      </c>
      <c r="S333" s="150" t="str">
        <f t="shared" si="29"/>
        <v>_</v>
      </c>
      <c r="T333" s="152" t="str">
        <f>+VLOOKUP($L333,Data_Validation!$A:$D,1,0)</f>
        <v>606D</v>
      </c>
      <c r="U333" s="152" t="str">
        <f>+VLOOKUP($L333,Data_Validation!$A:$D,3,0)</f>
        <v>Véhicules neufs</v>
      </c>
      <c r="V333" s="152" t="str">
        <f>+VLOOKUP($L333,Data_Validation!$A:$D,4,0)</f>
        <v>Autos détail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2035</v>
      </c>
      <c r="B334" s="639" t="s">
        <v>2036</v>
      </c>
      <c r="C334" s="640">
        <v>352290.25</v>
      </c>
      <c r="D334" s="640">
        <v>0</v>
      </c>
      <c r="E334" s="640">
        <v>352290.25</v>
      </c>
      <c r="F334" s="639" t="s">
        <v>2014</v>
      </c>
      <c r="G334" s="639" t="s">
        <v>2030</v>
      </c>
      <c r="H334" s="634" t="s">
        <v>3074</v>
      </c>
      <c r="I334" s="633"/>
      <c r="J334" s="633"/>
      <c r="K334" s="633"/>
      <c r="L334" s="149" t="str">
        <f t="shared" si="25"/>
        <v>607C</v>
      </c>
      <c r="M334" s="150" t="str">
        <f t="shared" si="26"/>
        <v>C/V - M3 COMPETITION</v>
      </c>
      <c r="N334" s="151">
        <f>+IF(OR($Q334=Parametres!$G$2,$Q334=Parametres!$G$3),I334,C334)</f>
        <v>352290.25</v>
      </c>
      <c r="O334" s="151">
        <f>+IF(OR($Q334=Parametres!$G$2,$Q334=Parametres!$G$3),J334,D334)</f>
        <v>0</v>
      </c>
      <c r="P334" s="151">
        <f>+IF(OR($Q334=Parametres!$G$2,$Q334=Parametres!$G$3),K334,E334)</f>
        <v>352290.25</v>
      </c>
      <c r="Q334" s="150" t="str">
        <f t="shared" si="27"/>
        <v>6-Coût des ventes</v>
      </c>
      <c r="R334" s="149" t="str">
        <f t="shared" si="28"/>
        <v>407C</v>
      </c>
      <c r="S334" s="150" t="str">
        <f t="shared" si="29"/>
        <v>_</v>
      </c>
      <c r="T334" s="152" t="str">
        <f>+VLOOKUP($L334,Data_Validation!$A:$D,1,0)</f>
        <v>607C</v>
      </c>
      <c r="U334" s="152" t="str">
        <f>+VLOOKUP($L334,Data_Validation!$A:$D,3,0)</f>
        <v>Véhicules neufs</v>
      </c>
      <c r="V334" s="152" t="str">
        <f>+VLOOKUP($L334,Data_Validation!$A:$D,4,0)</f>
        <v>Autos détail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2872</v>
      </c>
      <c r="B335" s="639" t="s">
        <v>2874</v>
      </c>
      <c r="C335" s="640">
        <v>255979.4</v>
      </c>
      <c r="D335" s="640">
        <v>0</v>
      </c>
      <c r="E335" s="640">
        <v>255979.4</v>
      </c>
      <c r="F335" s="639" t="s">
        <v>2014</v>
      </c>
      <c r="G335" s="639" t="s">
        <v>2873</v>
      </c>
      <c r="H335" s="634" t="s">
        <v>3074</v>
      </c>
      <c r="I335" s="633"/>
      <c r="J335" s="633"/>
      <c r="K335" s="633"/>
      <c r="L335" s="149" t="str">
        <f t="shared" si="25"/>
        <v>609</v>
      </c>
      <c r="M335" s="150" t="str">
        <f t="shared" si="26"/>
        <v>X2 XDRIVE28I</v>
      </c>
      <c r="N335" s="151">
        <f>+IF(OR($Q335=Parametres!$G$2,$Q335=Parametres!$G$3),I335,C335)</f>
        <v>255979.4</v>
      </c>
      <c r="O335" s="151">
        <f>+IF(OR($Q335=Parametres!$G$2,$Q335=Parametres!$G$3),J335,D335)</f>
        <v>0</v>
      </c>
      <c r="P335" s="151">
        <f>+IF(OR($Q335=Parametres!$G$2,$Q335=Parametres!$G$3),K335,E335)</f>
        <v>255979.4</v>
      </c>
      <c r="Q335" s="150" t="str">
        <f t="shared" si="27"/>
        <v>6-Coût des ventes</v>
      </c>
      <c r="R335" s="149" t="str">
        <f t="shared" si="28"/>
        <v>409</v>
      </c>
      <c r="S335" s="150" t="str">
        <f t="shared" si="29"/>
        <v>_</v>
      </c>
      <c r="T335" s="152" t="str">
        <f>+VLOOKUP($L335,Data_Validation!$A:$D,1,0)</f>
        <v>609</v>
      </c>
      <c r="U335" s="152" t="str">
        <f>+VLOOKUP($L335,Data_Validation!$A:$D,3,0)</f>
        <v>Véhicules neufs</v>
      </c>
      <c r="V335" s="152" t="str">
        <f>+VLOOKUP($L335,Data_Validation!$A:$D,4,0)</f>
        <v>Camions détail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2862</v>
      </c>
      <c r="B336" s="685" t="s">
        <v>2864</v>
      </c>
      <c r="C336" s="687">
        <v>208122.73</v>
      </c>
      <c r="D336" s="687">
        <v>0</v>
      </c>
      <c r="E336" s="687">
        <v>208122.73</v>
      </c>
      <c r="F336" s="685" t="s">
        <v>2014</v>
      </c>
      <c r="G336" s="685" t="s">
        <v>2863</v>
      </c>
      <c r="H336" s="634" t="s">
        <v>3074</v>
      </c>
      <c r="I336" s="633"/>
      <c r="J336" s="633"/>
      <c r="K336" s="633"/>
      <c r="L336" s="149" t="str">
        <f t="shared" si="25"/>
        <v>609A</v>
      </c>
      <c r="M336" s="150" t="str">
        <f t="shared" si="26"/>
        <v>X2 M35I XDRIVE</v>
      </c>
      <c r="N336" s="151">
        <f>+IF(OR($Q336=Parametres!$G$2,$Q336=Parametres!$G$3),I336,C336)</f>
        <v>208122.73</v>
      </c>
      <c r="O336" s="151">
        <f>+IF(OR($Q336=Parametres!$G$2,$Q336=Parametres!$G$3),J336,D336)</f>
        <v>0</v>
      </c>
      <c r="P336" s="151">
        <f>+IF(OR($Q336=Parametres!$G$2,$Q336=Parametres!$G$3),K336,E336)</f>
        <v>208122.73</v>
      </c>
      <c r="Q336" s="150" t="str">
        <f t="shared" si="27"/>
        <v>6-Coût des ventes</v>
      </c>
      <c r="R336" s="149" t="str">
        <f t="shared" si="28"/>
        <v>409A</v>
      </c>
      <c r="S336" s="150" t="str">
        <f t="shared" si="29"/>
        <v>_</v>
      </c>
      <c r="T336" s="152" t="str">
        <f>+VLOOKUP($L336,Data_Validation!$A:$D,1,0)</f>
        <v>609A</v>
      </c>
      <c r="U336" s="152" t="str">
        <f>+VLOOKUP($L336,Data_Validation!$A:$D,3,0)</f>
        <v>Véhicules neufs</v>
      </c>
      <c r="V336" s="152" t="str">
        <f>+VLOOKUP($L336,Data_Validation!$A:$D,4,0)</f>
        <v>Camions détail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2955</v>
      </c>
      <c r="B337" s="639" t="s">
        <v>2957</v>
      </c>
      <c r="C337" s="640">
        <v>1291043.2</v>
      </c>
      <c r="D337" s="640">
        <v>0</v>
      </c>
      <c r="E337" s="640">
        <v>1291043.2</v>
      </c>
      <c r="F337" s="639" t="s">
        <v>2014</v>
      </c>
      <c r="G337" s="639" t="s">
        <v>2956</v>
      </c>
      <c r="H337" s="634" t="s">
        <v>3074</v>
      </c>
      <c r="I337" s="633"/>
      <c r="J337" s="633"/>
      <c r="K337" s="633"/>
      <c r="L337" s="149" t="str">
        <f t="shared" si="25"/>
        <v>609C</v>
      </c>
      <c r="M337" s="150" t="str">
        <f t="shared" si="26"/>
        <v>X3 M50 XDRIVE</v>
      </c>
      <c r="N337" s="151">
        <f>+IF(OR($Q337=Parametres!$G$2,$Q337=Parametres!$G$3),I337,C337)</f>
        <v>1291043.2</v>
      </c>
      <c r="O337" s="151">
        <f>+IF(OR($Q337=Parametres!$G$2,$Q337=Parametres!$G$3),J337,D337)</f>
        <v>0</v>
      </c>
      <c r="P337" s="151">
        <f>+IF(OR($Q337=Parametres!$G$2,$Q337=Parametres!$G$3),K337,E337)</f>
        <v>1291043.2</v>
      </c>
      <c r="Q337" s="150" t="str">
        <f t="shared" si="27"/>
        <v>6-Coût des ventes</v>
      </c>
      <c r="R337" s="149" t="str">
        <f t="shared" si="28"/>
        <v>409C</v>
      </c>
      <c r="S337" s="150" t="str">
        <f t="shared" si="29"/>
        <v>_</v>
      </c>
      <c r="T337" s="152" t="str">
        <f>+VLOOKUP($L337,Data_Validation!$A:$D,1,0)</f>
        <v>609C</v>
      </c>
      <c r="U337" s="152" t="str">
        <f>+VLOOKUP($L337,Data_Validation!$A:$D,3,0)</f>
        <v>Véhicules neufs</v>
      </c>
      <c r="V337" s="152" t="str">
        <f>+VLOOKUP($L337,Data_Validation!$A:$D,4,0)</f>
        <v>Camions détail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1019</v>
      </c>
      <c r="B338" s="685" t="s">
        <v>649</v>
      </c>
      <c r="C338" s="687">
        <v>269738.17</v>
      </c>
      <c r="D338" s="687">
        <v>0</v>
      </c>
      <c r="E338" s="687">
        <v>269738.17</v>
      </c>
      <c r="F338" s="685" t="s">
        <v>2014</v>
      </c>
      <c r="G338" s="685" t="s">
        <v>612</v>
      </c>
      <c r="H338" s="641" t="s">
        <v>3074</v>
      </c>
      <c r="I338" s="640"/>
      <c r="J338" s="640"/>
      <c r="K338" s="640"/>
      <c r="L338" s="149" t="str">
        <f t="shared" si="25"/>
        <v>611C</v>
      </c>
      <c r="M338" s="150" t="str">
        <f t="shared" si="26"/>
        <v>C/V - 330I XDRIVE SEDAN</v>
      </c>
      <c r="N338" s="151">
        <f>+IF(OR($Q338=Parametres!$G$2,$Q338=Parametres!$G$3),I338,C338)</f>
        <v>269738.17</v>
      </c>
      <c r="O338" s="151">
        <f>+IF(OR($Q338=Parametres!$G$2,$Q338=Parametres!$G$3),J338,D338)</f>
        <v>0</v>
      </c>
      <c r="P338" s="151">
        <f>+IF(OR($Q338=Parametres!$G$2,$Q338=Parametres!$G$3),K338,E338)</f>
        <v>269738.17</v>
      </c>
      <c r="Q338" s="150" t="str">
        <f t="shared" si="27"/>
        <v>6-Coût des ventes</v>
      </c>
      <c r="R338" s="149" t="str">
        <f t="shared" si="28"/>
        <v>411C</v>
      </c>
      <c r="S338" s="150" t="str">
        <f t="shared" si="29"/>
        <v>_</v>
      </c>
      <c r="T338" s="152" t="str">
        <f>+VLOOKUP($L338,Data_Validation!$A:$D,1,0)</f>
        <v>611C</v>
      </c>
      <c r="U338" s="152" t="str">
        <f>+VLOOKUP($L338,Data_Validation!$A:$D,3,0)</f>
        <v>Véhicules neufs</v>
      </c>
      <c r="V338" s="152" t="str">
        <f>+VLOOKUP($L338,Data_Validation!$A:$D,4,0)</f>
        <v>Autos détail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1978</v>
      </c>
      <c r="B339" s="685" t="s">
        <v>1980</v>
      </c>
      <c r="C339" s="687">
        <v>168624.13</v>
      </c>
      <c r="D339" s="687">
        <v>175109.7</v>
      </c>
      <c r="E339" s="687">
        <v>343733.83</v>
      </c>
      <c r="F339" s="685" t="s">
        <v>2014</v>
      </c>
      <c r="G339" s="685" t="s">
        <v>1979</v>
      </c>
      <c r="H339" s="641" t="s">
        <v>3074</v>
      </c>
      <c r="I339" s="640"/>
      <c r="J339" s="640"/>
      <c r="K339" s="640"/>
      <c r="L339" s="149" t="str">
        <f t="shared" si="25"/>
        <v>612C</v>
      </c>
      <c r="M339" s="150" t="str">
        <f t="shared" si="26"/>
        <v>M340I XDRIVE</v>
      </c>
      <c r="N339" s="151">
        <f>+IF(OR($Q339=Parametres!$G$2,$Q339=Parametres!$G$3),I339,C339)</f>
        <v>168624.13</v>
      </c>
      <c r="O339" s="151">
        <f>+IF(OR($Q339=Parametres!$G$2,$Q339=Parametres!$G$3),J339,D339)</f>
        <v>175109.7</v>
      </c>
      <c r="P339" s="151">
        <f>+IF(OR($Q339=Parametres!$G$2,$Q339=Parametres!$G$3),K339,E339)</f>
        <v>343733.83</v>
      </c>
      <c r="Q339" s="150" t="str">
        <f t="shared" si="27"/>
        <v>6-Coût des ventes</v>
      </c>
      <c r="R339" s="149" t="str">
        <f t="shared" si="28"/>
        <v>412C</v>
      </c>
      <c r="S339" s="150" t="str">
        <f t="shared" si="29"/>
        <v>_</v>
      </c>
      <c r="T339" s="152" t="str">
        <f>+VLOOKUP($L339,Data_Validation!$A:$D,1,0)</f>
        <v>612C</v>
      </c>
      <c r="U339" s="152" t="str">
        <f>+VLOOKUP($L339,Data_Validation!$A:$D,3,0)</f>
        <v>Véhicules neufs</v>
      </c>
      <c r="V339" s="152" t="str">
        <f>+VLOOKUP($L339,Data_Validation!$A:$D,4,0)</f>
        <v>Autos détail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3026</v>
      </c>
      <c r="B340" s="639" t="s">
        <v>3031</v>
      </c>
      <c r="C340" s="640">
        <v>177728.53</v>
      </c>
      <c r="D340" s="640">
        <v>0</v>
      </c>
      <c r="E340" s="640">
        <v>177728.53</v>
      </c>
      <c r="F340" s="639" t="s">
        <v>2014</v>
      </c>
      <c r="G340" s="639" t="s">
        <v>3027</v>
      </c>
      <c r="H340" s="634" t="s">
        <v>3074</v>
      </c>
      <c r="I340" s="633"/>
      <c r="J340" s="633"/>
      <c r="K340" s="633"/>
      <c r="L340" s="149" t="str">
        <f t="shared" si="25"/>
        <v>614C</v>
      </c>
      <c r="M340" s="150" t="str">
        <f t="shared" si="26"/>
        <v>I4 M60 XDRIVE GRAN COUPE</v>
      </c>
      <c r="N340" s="151">
        <f>+IF(OR($Q340=Parametres!$G$2,$Q340=Parametres!$G$3),I340,C340)</f>
        <v>177728.53</v>
      </c>
      <c r="O340" s="151">
        <f>+IF(OR($Q340=Parametres!$G$2,$Q340=Parametres!$G$3),J340,D340)</f>
        <v>0</v>
      </c>
      <c r="P340" s="151">
        <f>+IF(OR($Q340=Parametres!$G$2,$Q340=Parametres!$G$3),K340,E340)</f>
        <v>177728.53</v>
      </c>
      <c r="Q340" s="150" t="str">
        <f t="shared" si="27"/>
        <v>6-Coût des ventes</v>
      </c>
      <c r="R340" s="149" t="str">
        <f t="shared" si="28"/>
        <v>414C</v>
      </c>
      <c r="S340" s="150" t="str">
        <f t="shared" si="29"/>
        <v>_</v>
      </c>
      <c r="T340" s="152" t="str">
        <f>+VLOOKUP($L340,Data_Validation!$A:$D,1,0)</f>
        <v>614C</v>
      </c>
      <c r="U340" s="152" t="str">
        <f>+VLOOKUP($L340,Data_Validation!$A:$D,3,0)</f>
        <v>Véhicules neufs</v>
      </c>
      <c r="V340" s="152" t="str">
        <f>+VLOOKUP($L340,Data_Validation!$A:$D,4,0)</f>
        <v>Autos détail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2882</v>
      </c>
      <c r="B341" s="639" t="s">
        <v>2883</v>
      </c>
      <c r="C341" s="640">
        <v>150953.95000000001</v>
      </c>
      <c r="D341" s="640">
        <v>0</v>
      </c>
      <c r="E341" s="640">
        <v>150953.95000000001</v>
      </c>
      <c r="F341" s="639" t="s">
        <v>2014</v>
      </c>
      <c r="G341" s="639" t="s">
        <v>2880</v>
      </c>
      <c r="H341" s="634" t="s">
        <v>3074</v>
      </c>
      <c r="I341" s="633"/>
      <c r="J341" s="633"/>
      <c r="K341" s="633"/>
      <c r="L341" s="149" t="str">
        <f t="shared" si="25"/>
        <v>615A</v>
      </c>
      <c r="M341" s="150" t="str">
        <f t="shared" si="26"/>
        <v>C/V - 750e xDRIVE</v>
      </c>
      <c r="N341" s="151">
        <f>+IF(OR($Q341=Parametres!$G$2,$Q341=Parametres!$G$3),I341,C341)</f>
        <v>150953.95000000001</v>
      </c>
      <c r="O341" s="151">
        <f>+IF(OR($Q341=Parametres!$G$2,$Q341=Parametres!$G$3),J341,D341)</f>
        <v>0</v>
      </c>
      <c r="P341" s="151">
        <f>+IF(OR($Q341=Parametres!$G$2,$Q341=Parametres!$G$3),K341,E341)</f>
        <v>150953.95000000001</v>
      </c>
      <c r="Q341" s="150" t="str">
        <f t="shared" si="27"/>
        <v>6-Coût des ventes</v>
      </c>
      <c r="R341" s="149" t="str">
        <f t="shared" si="28"/>
        <v>415A</v>
      </c>
      <c r="S341" s="150" t="str">
        <f t="shared" si="29"/>
        <v>_</v>
      </c>
      <c r="T341" s="152" t="str">
        <f>+VLOOKUP($L341,Data_Validation!$A:$D,1,0)</f>
        <v>615A</v>
      </c>
      <c r="U341" s="152" t="str">
        <f>+VLOOKUP($L341,Data_Validation!$A:$D,3,0)</f>
        <v>Véhicules neufs</v>
      </c>
      <c r="V341" s="152" t="str">
        <f>+VLOOKUP($L341,Data_Validation!$A:$D,4,0)</f>
        <v>Autos détail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1842</v>
      </c>
      <c r="B342" s="685" t="s">
        <v>979</v>
      </c>
      <c r="C342" s="687">
        <v>1030551.46</v>
      </c>
      <c r="D342" s="687">
        <v>302221.82</v>
      </c>
      <c r="E342" s="687">
        <v>1332773.28</v>
      </c>
      <c r="F342" s="685" t="s">
        <v>2014</v>
      </c>
      <c r="G342" s="685" t="s">
        <v>410</v>
      </c>
      <c r="H342" s="641" t="s">
        <v>3074</v>
      </c>
      <c r="I342" s="641"/>
      <c r="J342" s="641"/>
      <c r="K342" s="641"/>
      <c r="L342" s="149" t="str">
        <f t="shared" si="25"/>
        <v>616</v>
      </c>
      <c r="M342" s="150" t="str">
        <f t="shared" si="26"/>
        <v>C/V - X1 XDRIVE 28I</v>
      </c>
      <c r="N342" s="151">
        <f>+IF(OR($Q342=Parametres!$G$2,$Q342=Parametres!$G$3),I342,C342)</f>
        <v>1030551.46</v>
      </c>
      <c r="O342" s="151">
        <f>+IF(OR($Q342=Parametres!$G$2,$Q342=Parametres!$G$3),J342,D342)</f>
        <v>302221.82</v>
      </c>
      <c r="P342" s="151">
        <f>+IF(OR($Q342=Parametres!$G$2,$Q342=Parametres!$G$3),K342,E342)</f>
        <v>1332773.28</v>
      </c>
      <c r="Q342" s="150" t="str">
        <f t="shared" si="27"/>
        <v>6-Coût des ventes</v>
      </c>
      <c r="R342" s="149" t="str">
        <f t="shared" si="28"/>
        <v>416</v>
      </c>
      <c r="S342" s="150" t="str">
        <f t="shared" si="29"/>
        <v>_</v>
      </c>
      <c r="T342" s="152" t="str">
        <f>+VLOOKUP($L342,Data_Validation!$A:$D,1,0)</f>
        <v>616</v>
      </c>
      <c r="U342" s="152" t="str">
        <f>+VLOOKUP($L342,Data_Validation!$A:$D,3,0)</f>
        <v>Véhicules neufs</v>
      </c>
      <c r="V342" s="152" t="str">
        <f>+VLOOKUP($L342,Data_Validation!$A:$D,4,0)</f>
        <v>Camions détail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2529</v>
      </c>
      <c r="B343" s="685" t="s">
        <v>2530</v>
      </c>
      <c r="C343" s="687">
        <v>210180.43</v>
      </c>
      <c r="D343" s="687">
        <v>133434.35</v>
      </c>
      <c r="E343" s="687">
        <v>343614.78</v>
      </c>
      <c r="F343" s="685" t="s">
        <v>2014</v>
      </c>
      <c r="G343" s="685" t="s">
        <v>2526</v>
      </c>
      <c r="H343" s="641" t="s">
        <v>3074</v>
      </c>
      <c r="I343" s="640"/>
      <c r="J343" s="640"/>
      <c r="K343" s="640"/>
      <c r="L343" s="149" t="str">
        <f t="shared" si="25"/>
        <v>616A</v>
      </c>
      <c r="M343" s="150" t="str">
        <f t="shared" si="26"/>
        <v>C/V - X1 M35i xDRIVE</v>
      </c>
      <c r="N343" s="151">
        <f>+IF(OR($Q343=Parametres!$G$2,$Q343=Parametres!$G$3),I343,C343)</f>
        <v>210180.43</v>
      </c>
      <c r="O343" s="151">
        <f>+IF(OR($Q343=Parametres!$G$2,$Q343=Parametres!$G$3),J343,D343)</f>
        <v>133434.35</v>
      </c>
      <c r="P343" s="151">
        <f>+IF(OR($Q343=Parametres!$G$2,$Q343=Parametres!$G$3),K343,E343)</f>
        <v>343614.78</v>
      </c>
      <c r="Q343" s="150" t="str">
        <f t="shared" si="27"/>
        <v>6-Coût des ventes</v>
      </c>
      <c r="R343" s="149" t="str">
        <f t="shared" si="28"/>
        <v>416A</v>
      </c>
      <c r="S343" s="150" t="str">
        <f t="shared" si="29"/>
        <v>_</v>
      </c>
      <c r="T343" s="152" t="str">
        <f>+VLOOKUP($L343,Data_Validation!$A:$D,1,0)</f>
        <v>616A</v>
      </c>
      <c r="U343" s="152" t="str">
        <f>+VLOOKUP($L343,Data_Validation!$A:$D,3,0)</f>
        <v>Véhicules neufs</v>
      </c>
      <c r="V343" s="152" t="str">
        <f>+VLOOKUP($L343,Data_Validation!$A:$D,4,0)</f>
        <v>Camions détail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1104</v>
      </c>
      <c r="B344" s="685" t="s">
        <v>426</v>
      </c>
      <c r="C344" s="687">
        <v>-272630.8</v>
      </c>
      <c r="D344" s="687">
        <v>-44158</v>
      </c>
      <c r="E344" s="687">
        <v>-316788.8</v>
      </c>
      <c r="F344" s="685" t="s">
        <v>2014</v>
      </c>
      <c r="G344" s="685" t="s">
        <v>2251</v>
      </c>
      <c r="H344" s="634" t="s">
        <v>3074</v>
      </c>
      <c r="I344" s="633"/>
      <c r="J344" s="633"/>
      <c r="K344" s="633"/>
      <c r="L344" s="149" t="str">
        <f t="shared" si="25"/>
        <v>617A</v>
      </c>
      <c r="M344" s="150" t="str">
        <f t="shared" si="26"/>
        <v>RESERVE DETAILLANT</v>
      </c>
      <c r="N344" s="151">
        <f>+IF(OR($Q344=Parametres!$G$2,$Q344=Parametres!$G$3),I344,C344)</f>
        <v>-272630.8</v>
      </c>
      <c r="O344" s="151">
        <f>+IF(OR($Q344=Parametres!$G$2,$Q344=Parametres!$G$3),J344,D344)</f>
        <v>-44158</v>
      </c>
      <c r="P344" s="151">
        <f>+IF(OR($Q344=Parametres!$G$2,$Q344=Parametres!$G$3),K344,E344)</f>
        <v>-316788.8</v>
      </c>
      <c r="Q344" s="150" t="str">
        <f t="shared" si="27"/>
        <v>6-Coût des ventes</v>
      </c>
      <c r="R344" s="149" t="str">
        <f t="shared" si="28"/>
        <v>617</v>
      </c>
      <c r="S344" s="150" t="str">
        <f t="shared" si="29"/>
        <v>_</v>
      </c>
      <c r="T344" s="152" t="str">
        <f>+VLOOKUP($L344,Data_Validation!$A:$D,1,0)</f>
        <v>617A</v>
      </c>
      <c r="U344" s="152" t="str">
        <f>+VLOOKUP($L344,Data_Validation!$A:$D,3,0)</f>
        <v>Véhicules neufs</v>
      </c>
      <c r="V344" s="152" t="str">
        <f>+VLOOKUP($L344,Data_Validation!$A:$D,4,0)</f>
        <v>holdbacks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1837</v>
      </c>
      <c r="B345" s="639" t="s">
        <v>654</v>
      </c>
      <c r="C345" s="640">
        <v>1851236</v>
      </c>
      <c r="D345" s="640">
        <v>141909.79</v>
      </c>
      <c r="E345" s="640">
        <v>1993145.79</v>
      </c>
      <c r="F345" s="639" t="s">
        <v>2014</v>
      </c>
      <c r="G345" s="639" t="s">
        <v>616</v>
      </c>
      <c r="H345" s="634" t="s">
        <v>3074</v>
      </c>
      <c r="I345" s="633"/>
      <c r="J345" s="633"/>
      <c r="K345" s="633"/>
      <c r="L345" s="149" t="str">
        <f t="shared" si="25"/>
        <v>618</v>
      </c>
      <c r="M345" s="150" t="str">
        <f t="shared" si="26"/>
        <v>C/V - AUTRES MODELES BMW AUTO</v>
      </c>
      <c r="N345" s="151">
        <f>+IF(OR($Q345=Parametres!$G$2,$Q345=Parametres!$G$3),I345,C345)</f>
        <v>1851236</v>
      </c>
      <c r="O345" s="151">
        <f>+IF(OR($Q345=Parametres!$G$2,$Q345=Parametres!$G$3),J345,D345)</f>
        <v>141909.79</v>
      </c>
      <c r="P345" s="151">
        <f>+IF(OR($Q345=Parametres!$G$2,$Q345=Parametres!$G$3),K345,E345)</f>
        <v>1993145.79</v>
      </c>
      <c r="Q345" s="150" t="str">
        <f t="shared" si="27"/>
        <v>6-Coût des ventes</v>
      </c>
      <c r="R345" s="149" t="str">
        <f t="shared" si="28"/>
        <v>418</v>
      </c>
      <c r="S345" s="150" t="str">
        <f t="shared" si="29"/>
        <v>_</v>
      </c>
      <c r="T345" s="152" t="str">
        <f>+VLOOKUP($L345,Data_Validation!$A:$D,1,0)</f>
        <v>618</v>
      </c>
      <c r="U345" s="152" t="str">
        <f>+VLOOKUP($L345,Data_Validation!$A:$D,3,0)</f>
        <v>Véhicules neufs</v>
      </c>
      <c r="V345" s="152" t="str">
        <f>+VLOOKUP($L345,Data_Validation!$A:$D,4,0)</f>
        <v>Ex-Démos et courtoisies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1608</v>
      </c>
      <c r="B346" s="685" t="s">
        <v>980</v>
      </c>
      <c r="C346" s="687">
        <v>295388.79999999999</v>
      </c>
      <c r="D346" s="687">
        <v>0</v>
      </c>
      <c r="E346" s="687">
        <v>295388.79999999999</v>
      </c>
      <c r="F346" s="685" t="s">
        <v>2014</v>
      </c>
      <c r="G346" s="685" t="s">
        <v>616</v>
      </c>
      <c r="H346" s="641" t="s">
        <v>3074</v>
      </c>
      <c r="I346" s="640"/>
      <c r="J346" s="640"/>
      <c r="K346" s="640"/>
      <c r="L346" s="149" t="str">
        <f t="shared" si="25"/>
        <v>618A</v>
      </c>
      <c r="M346" s="150" t="str">
        <f t="shared" si="26"/>
        <v>C/V - AUTRES MODELES BMW CAMION</v>
      </c>
      <c r="N346" s="151">
        <f>+IF(OR($Q346=Parametres!$G$2,$Q346=Parametres!$G$3),I346,C346)</f>
        <v>295388.79999999999</v>
      </c>
      <c r="O346" s="151">
        <f>+IF(OR($Q346=Parametres!$G$2,$Q346=Parametres!$G$3),J346,D346)</f>
        <v>0</v>
      </c>
      <c r="P346" s="151">
        <f>+IF(OR($Q346=Parametres!$G$2,$Q346=Parametres!$G$3),K346,E346)</f>
        <v>295388.79999999999</v>
      </c>
      <c r="Q346" s="150" t="str">
        <f t="shared" si="27"/>
        <v>6-Coût des ventes</v>
      </c>
      <c r="R346" s="149" t="str">
        <f t="shared" si="28"/>
        <v>418</v>
      </c>
      <c r="S346" s="150" t="str">
        <f t="shared" si="29"/>
        <v>_</v>
      </c>
      <c r="T346" s="152" t="str">
        <f>+VLOOKUP($L346,Data_Validation!$A:$D,1,0)</f>
        <v>618A</v>
      </c>
      <c r="U346" s="152" t="str">
        <f>+VLOOKUP($L346,Data_Validation!$A:$D,3,0)</f>
        <v>Véhicules neufs</v>
      </c>
      <c r="V346" s="152" t="str">
        <f>+VLOOKUP($L346,Data_Validation!$A:$D,4,0)</f>
        <v>Ex-Démos et courtoisies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1425</v>
      </c>
      <c r="B347" s="685" t="s">
        <v>971</v>
      </c>
      <c r="C347" s="687">
        <v>1077407.8999999999</v>
      </c>
      <c r="D347" s="687">
        <v>104837.51</v>
      </c>
      <c r="E347" s="687">
        <v>1182245.4099999999</v>
      </c>
      <c r="F347" s="685" t="s">
        <v>2014</v>
      </c>
      <c r="G347" s="685" t="s">
        <v>423</v>
      </c>
      <c r="H347" s="641" t="s">
        <v>3074</v>
      </c>
      <c r="I347" s="641"/>
      <c r="J347" s="641"/>
      <c r="K347" s="641"/>
      <c r="L347" s="149" t="str">
        <f t="shared" si="25"/>
        <v>619</v>
      </c>
      <c r="M347" s="150" t="str">
        <f t="shared" si="26"/>
        <v>C/V - FLEET VOITURE BMW</v>
      </c>
      <c r="N347" s="151">
        <f>+IF(OR($Q347=Parametres!$G$2,$Q347=Parametres!$G$3),I347,C347)</f>
        <v>1077407.8999999999</v>
      </c>
      <c r="O347" s="151">
        <f>+IF(OR($Q347=Parametres!$G$2,$Q347=Parametres!$G$3),J347,D347)</f>
        <v>104837.51</v>
      </c>
      <c r="P347" s="151">
        <f>+IF(OR($Q347=Parametres!$G$2,$Q347=Parametres!$G$3),K347,E347)</f>
        <v>1182245.4099999999</v>
      </c>
      <c r="Q347" s="150" t="str">
        <f t="shared" si="27"/>
        <v>6-Coût des ventes</v>
      </c>
      <c r="R347" s="149" t="str">
        <f t="shared" si="28"/>
        <v>419</v>
      </c>
      <c r="S347" s="150" t="str">
        <f t="shared" si="29"/>
        <v>_</v>
      </c>
      <c r="T347" s="152" t="str">
        <f>+VLOOKUP($L347,Data_Validation!$A:$D,1,0)</f>
        <v>619</v>
      </c>
      <c r="U347" s="152" t="str">
        <f>+VLOOKUP($L347,Data_Validation!$A:$D,3,0)</f>
        <v>Véhicules neufs</v>
      </c>
      <c r="V347" s="152" t="str">
        <f>+VLOOKUP($L347,Data_Validation!$A:$D,4,0)</f>
        <v>Flottes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1426</v>
      </c>
      <c r="B348" s="685" t="s">
        <v>977</v>
      </c>
      <c r="C348" s="687">
        <v>382940.22</v>
      </c>
      <c r="D348" s="687">
        <v>74585.350000000006</v>
      </c>
      <c r="E348" s="687">
        <v>457525.57</v>
      </c>
      <c r="F348" s="685" t="s">
        <v>2014</v>
      </c>
      <c r="G348" s="685" t="s">
        <v>412</v>
      </c>
      <c r="H348" s="641" t="s">
        <v>3074</v>
      </c>
      <c r="I348" s="640"/>
      <c r="J348" s="640"/>
      <c r="K348" s="640"/>
      <c r="L348" s="149" t="str">
        <f t="shared" si="25"/>
        <v>619A</v>
      </c>
      <c r="M348" s="150" t="str">
        <f t="shared" si="26"/>
        <v>C/V - FLEET CAMION BMW</v>
      </c>
      <c r="N348" s="151">
        <f>+IF(OR($Q348=Parametres!$G$2,$Q348=Parametres!$G$3),I348,C348)</f>
        <v>382940.22</v>
      </c>
      <c r="O348" s="151">
        <f>+IF(OR($Q348=Parametres!$G$2,$Q348=Parametres!$G$3),J348,D348)</f>
        <v>74585.350000000006</v>
      </c>
      <c r="P348" s="151">
        <f>+IF(OR($Q348=Parametres!$G$2,$Q348=Parametres!$G$3),K348,E348)</f>
        <v>457525.57</v>
      </c>
      <c r="Q348" s="150" t="str">
        <f t="shared" si="27"/>
        <v>6-Coût des ventes</v>
      </c>
      <c r="R348" s="149" t="str">
        <f t="shared" si="28"/>
        <v>419A</v>
      </c>
      <c r="S348" s="150" t="str">
        <f t="shared" si="29"/>
        <v>_</v>
      </c>
      <c r="T348" s="152" t="str">
        <f>+VLOOKUP($L348,Data_Validation!$A:$D,1,0)</f>
        <v>619A</v>
      </c>
      <c r="U348" s="152" t="str">
        <f>+VLOOKUP($L348,Data_Validation!$A:$D,3,0)</f>
        <v>Véhicules neufs</v>
      </c>
      <c r="V348" s="152" t="str">
        <f>+VLOOKUP($L348,Data_Validation!$A:$D,4,0)</f>
        <v>Flottes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1427</v>
      </c>
      <c r="B349" s="685" t="s">
        <v>976</v>
      </c>
      <c r="C349" s="1038">
        <v>308839.64</v>
      </c>
      <c r="D349" s="1038">
        <v>0</v>
      </c>
      <c r="E349" s="1038">
        <v>308839.64</v>
      </c>
      <c r="F349" s="685" t="s">
        <v>2014</v>
      </c>
      <c r="G349" s="685" t="s">
        <v>419</v>
      </c>
      <c r="H349" s="686" t="s">
        <v>3074</v>
      </c>
      <c r="I349" s="687"/>
      <c r="J349" s="687"/>
      <c r="K349" s="687"/>
      <c r="L349" s="149" t="str">
        <f t="shared" si="25"/>
        <v>622A</v>
      </c>
      <c r="M349" s="150" t="str">
        <f t="shared" si="26"/>
        <v>C/V - X6 XDRIVE 35I</v>
      </c>
      <c r="N349" s="151">
        <f>+IF(OR($Q349=Parametres!$G$2,$Q349=Parametres!$G$3),I349,C349)</f>
        <v>308839.64</v>
      </c>
      <c r="O349" s="151">
        <f>+IF(OR($Q349=Parametres!$G$2,$Q349=Parametres!$G$3),J349,D349)</f>
        <v>0</v>
      </c>
      <c r="P349" s="151">
        <f>+IF(OR($Q349=Parametres!$G$2,$Q349=Parametres!$G$3),K349,E349)</f>
        <v>308839.64</v>
      </c>
      <c r="Q349" s="150" t="str">
        <f t="shared" si="27"/>
        <v>6-Coût des ventes</v>
      </c>
      <c r="R349" s="149" t="str">
        <f t="shared" si="28"/>
        <v>422A</v>
      </c>
      <c r="S349" s="150" t="str">
        <f t="shared" si="29"/>
        <v>_</v>
      </c>
      <c r="T349" s="152" t="str">
        <f>+VLOOKUP($L349,Data_Validation!$A:$D,1,0)</f>
        <v>622A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2550</v>
      </c>
      <c r="B350" s="685" t="s">
        <v>2551</v>
      </c>
      <c r="C350" s="1038">
        <v>238408.6</v>
      </c>
      <c r="D350" s="1038">
        <v>127985.97</v>
      </c>
      <c r="E350" s="1038">
        <v>366394.57</v>
      </c>
      <c r="F350" s="685" t="s">
        <v>2014</v>
      </c>
      <c r="G350" s="685" t="s">
        <v>2549</v>
      </c>
      <c r="H350" s="686" t="s">
        <v>3074</v>
      </c>
      <c r="I350" s="687"/>
      <c r="J350" s="687"/>
      <c r="K350" s="687"/>
      <c r="L350" s="149" t="str">
        <f t="shared" si="25"/>
        <v>622C</v>
      </c>
      <c r="M350" s="150" t="str">
        <f t="shared" si="26"/>
        <v>C/V - X6 M60i</v>
      </c>
      <c r="N350" s="151">
        <f>+IF(OR($Q350=Parametres!$G$2,$Q350=Parametres!$G$3),I350,C350)</f>
        <v>238408.6</v>
      </c>
      <c r="O350" s="151">
        <f>+IF(OR($Q350=Parametres!$G$2,$Q350=Parametres!$G$3),J350,D350)</f>
        <v>127985.97</v>
      </c>
      <c r="P350" s="151">
        <f>+IF(OR($Q350=Parametres!$G$2,$Q350=Parametres!$G$3),K350,E350)</f>
        <v>366394.57</v>
      </c>
      <c r="Q350" s="150" t="str">
        <f t="shared" si="27"/>
        <v>6-Coût des ventes</v>
      </c>
      <c r="R350" s="149" t="str">
        <f t="shared" si="28"/>
        <v>422C</v>
      </c>
      <c r="S350" s="150" t="str">
        <f t="shared" si="29"/>
        <v>_</v>
      </c>
      <c r="T350" s="152" t="str">
        <f>+VLOOKUP($L350,Data_Validation!$A:$D,1,0)</f>
        <v>622C</v>
      </c>
      <c r="U350" s="152" t="str">
        <f>+VLOOKUP($L350,Data_Validation!$A:$D,3,0)</f>
        <v>Véhicules neufs</v>
      </c>
      <c r="V350" s="152" t="str">
        <f>+VLOOKUP($L350,Data_Validation!$A:$D,4,0)</f>
        <v>Camions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1428</v>
      </c>
      <c r="B351" s="685" t="s">
        <v>655</v>
      </c>
      <c r="C351" s="687">
        <v>871992.91</v>
      </c>
      <c r="D351" s="687">
        <v>0</v>
      </c>
      <c r="E351" s="687">
        <v>871992.91</v>
      </c>
      <c r="F351" s="685" t="s">
        <v>2014</v>
      </c>
      <c r="G351" s="685" t="s">
        <v>617</v>
      </c>
      <c r="H351" s="641" t="s">
        <v>3074</v>
      </c>
      <c r="I351" s="640"/>
      <c r="J351" s="640"/>
      <c r="K351" s="640"/>
      <c r="L351" s="149" t="str">
        <f t="shared" si="25"/>
        <v>623C</v>
      </c>
      <c r="M351" s="150" t="str">
        <f t="shared" si="26"/>
        <v>C/V - X3 XDRIVE 30E</v>
      </c>
      <c r="N351" s="151">
        <f>+IF(OR($Q351=Parametres!$G$2,$Q351=Parametres!$G$3),I351,C351)</f>
        <v>871992.91</v>
      </c>
      <c r="O351" s="151">
        <f>+IF(OR($Q351=Parametres!$G$2,$Q351=Parametres!$G$3),J351,D351)</f>
        <v>0</v>
      </c>
      <c r="P351" s="151">
        <f>+IF(OR($Q351=Parametres!$G$2,$Q351=Parametres!$G$3),K351,E351)</f>
        <v>871992.91</v>
      </c>
      <c r="Q351" s="150" t="str">
        <f t="shared" si="27"/>
        <v>6-Coût des ventes</v>
      </c>
      <c r="R351" s="149" t="str">
        <f t="shared" si="28"/>
        <v>423C</v>
      </c>
      <c r="S351" s="150" t="str">
        <f t="shared" si="29"/>
        <v>_</v>
      </c>
      <c r="T351" s="152" t="str">
        <f>+VLOOKUP($L351,Data_Validation!$A:$D,1,0)</f>
        <v>623C</v>
      </c>
      <c r="U351" s="152" t="str">
        <f>+VLOOKUP($L351,Data_Validation!$A:$D,3,0)</f>
        <v>Véhicules neufs</v>
      </c>
      <c r="V351" s="152" t="str">
        <f>+VLOOKUP($L351,Data_Validation!$A:$D,4,0)</f>
        <v>Camions détail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1848</v>
      </c>
      <c r="B352" s="639" t="s">
        <v>656</v>
      </c>
      <c r="C352" s="640">
        <v>322523.03000000003</v>
      </c>
      <c r="D352" s="640">
        <v>296363.68</v>
      </c>
      <c r="E352" s="640">
        <v>618886.71</v>
      </c>
      <c r="F352" s="639" t="s">
        <v>2014</v>
      </c>
      <c r="G352" s="639" t="s">
        <v>618</v>
      </c>
      <c r="H352" s="634" t="s">
        <v>3074</v>
      </c>
      <c r="I352" s="633"/>
      <c r="J352" s="633"/>
      <c r="K352" s="633"/>
      <c r="L352" s="149" t="str">
        <f t="shared" si="25"/>
        <v>623D</v>
      </c>
      <c r="M352" s="150" t="str">
        <f t="shared" si="26"/>
        <v>C/V - X5 XDRIVE 35I/ X5 XDRIVE 40I</v>
      </c>
      <c r="N352" s="151">
        <f>+IF(OR($Q352=Parametres!$G$2,$Q352=Parametres!$G$3),I352,C352)</f>
        <v>322523.03000000003</v>
      </c>
      <c r="O352" s="151">
        <f>+IF(OR($Q352=Parametres!$G$2,$Q352=Parametres!$G$3),J352,D352)</f>
        <v>296363.68</v>
      </c>
      <c r="P352" s="151">
        <f>+IF(OR($Q352=Parametres!$G$2,$Q352=Parametres!$G$3),K352,E352)</f>
        <v>618886.71</v>
      </c>
      <c r="Q352" s="150" t="str">
        <f t="shared" si="27"/>
        <v>6-Coût des ventes</v>
      </c>
      <c r="R352" s="149" t="str">
        <f t="shared" si="28"/>
        <v>423D</v>
      </c>
      <c r="S352" s="150" t="str">
        <f t="shared" si="29"/>
        <v>_</v>
      </c>
      <c r="T352" s="152" t="str">
        <f>+VLOOKUP($L352,Data_Validation!$A:$D,1,0)</f>
        <v>623D</v>
      </c>
      <c r="U352" s="152" t="str">
        <f>+VLOOKUP($L352,Data_Validation!$A:$D,3,0)</f>
        <v>Véhicules neufs</v>
      </c>
      <c r="V352" s="152" t="str">
        <f>+VLOOKUP($L352,Data_Validation!$A:$D,4,0)</f>
        <v>Camions détail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2486</v>
      </c>
      <c r="B353" s="685" t="s">
        <v>2487</v>
      </c>
      <c r="C353" s="687">
        <v>649267.22</v>
      </c>
      <c r="D353" s="687">
        <v>0</v>
      </c>
      <c r="E353" s="687">
        <v>649267.22</v>
      </c>
      <c r="F353" s="685" t="s">
        <v>2014</v>
      </c>
      <c r="G353" s="685" t="s">
        <v>2485</v>
      </c>
      <c r="H353" s="641" t="s">
        <v>3074</v>
      </c>
      <c r="I353" s="640"/>
      <c r="J353" s="640"/>
      <c r="K353" s="640"/>
      <c r="L353" s="149" t="str">
        <f t="shared" si="25"/>
        <v>623F</v>
      </c>
      <c r="M353" s="150" t="str">
        <f t="shared" si="26"/>
        <v>C/V - X5 xDRIVE50e</v>
      </c>
      <c r="N353" s="151">
        <f>+IF(OR($Q353=Parametres!$G$2,$Q353=Parametres!$G$3),I353,C353)</f>
        <v>649267.22</v>
      </c>
      <c r="O353" s="151">
        <f>+IF(OR($Q353=Parametres!$G$2,$Q353=Parametres!$G$3),J353,D353)</f>
        <v>0</v>
      </c>
      <c r="P353" s="151">
        <f>+IF(OR($Q353=Parametres!$G$2,$Q353=Parametres!$G$3),K353,E353)</f>
        <v>649267.22</v>
      </c>
      <c r="Q353" s="150" t="str">
        <f t="shared" si="27"/>
        <v>6-Coût des ventes</v>
      </c>
      <c r="R353" s="149" t="str">
        <f t="shared" si="28"/>
        <v>423F</v>
      </c>
      <c r="S353" s="150" t="str">
        <f t="shared" si="29"/>
        <v>_</v>
      </c>
      <c r="T353" s="152" t="str">
        <f>+VLOOKUP($L353,Data_Validation!$A:$D,1,0)</f>
        <v>623F</v>
      </c>
      <c r="U353" s="152" t="str">
        <f>+VLOOKUP($L353,Data_Validation!$A:$D,3,0)</f>
        <v>Véhicules neufs</v>
      </c>
      <c r="V353" s="152" t="str">
        <f>+VLOOKUP($L353,Data_Validation!$A:$D,4,0)</f>
        <v>Camions détail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3028</v>
      </c>
      <c r="B354" s="639" t="s">
        <v>3030</v>
      </c>
      <c r="C354" s="640">
        <v>107215.1</v>
      </c>
      <c r="D354" s="640">
        <v>66346.31</v>
      </c>
      <c r="E354" s="640">
        <v>173561.41</v>
      </c>
      <c r="F354" s="639" t="s">
        <v>2014</v>
      </c>
      <c r="G354" s="639" t="s">
        <v>3105</v>
      </c>
      <c r="H354" s="634" t="s">
        <v>3074</v>
      </c>
      <c r="I354" s="633"/>
      <c r="J354" s="633"/>
      <c r="K354" s="633"/>
      <c r="L354" s="149" t="str">
        <f t="shared" si="25"/>
        <v>624A</v>
      </c>
      <c r="M354" s="150" t="str">
        <f t="shared" si="26"/>
        <v>X3 30 XDRIVE</v>
      </c>
      <c r="N354" s="151">
        <f>+IF(OR($Q354=Parametres!$G$2,$Q354=Parametres!$G$3),I354,C354)</f>
        <v>107215.1</v>
      </c>
      <c r="O354" s="151">
        <f>+IF(OR($Q354=Parametres!$G$2,$Q354=Parametres!$G$3),J354,D354)</f>
        <v>66346.31</v>
      </c>
      <c r="P354" s="151">
        <f>+IF(OR($Q354=Parametres!$G$2,$Q354=Parametres!$G$3),K354,E354)</f>
        <v>173561.41</v>
      </c>
      <c r="Q354" s="150" t="str">
        <f t="shared" si="27"/>
        <v>6-Coût des ventes</v>
      </c>
      <c r="R354" s="149" t="str">
        <f t="shared" si="28"/>
        <v>624</v>
      </c>
      <c r="S354" s="150" t="str">
        <f t="shared" si="29"/>
        <v>_</v>
      </c>
      <c r="T354" s="152" t="str">
        <f>+VLOOKUP($L354,Data_Validation!$A:$D,1,0)</f>
        <v>624A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2531</v>
      </c>
      <c r="B355" s="685" t="s">
        <v>2532</v>
      </c>
      <c r="C355" s="687">
        <v>114355.13</v>
      </c>
      <c r="D355" s="687">
        <v>0</v>
      </c>
      <c r="E355" s="687">
        <v>114355.13</v>
      </c>
      <c r="F355" s="685" t="s">
        <v>2014</v>
      </c>
      <c r="G355" s="685" t="s">
        <v>3106</v>
      </c>
      <c r="H355" s="634" t="s">
        <v>3074</v>
      </c>
      <c r="I355" s="633"/>
      <c r="J355" s="633"/>
      <c r="K355" s="633"/>
      <c r="L355" s="149" t="str">
        <f t="shared" si="25"/>
        <v>624E</v>
      </c>
      <c r="M355" s="150" t="str">
        <f t="shared" si="26"/>
        <v>C/V - i5 M60 xDRIVE</v>
      </c>
      <c r="N355" s="151">
        <f>+IF(OR($Q355=Parametres!$G$2,$Q355=Parametres!$G$3),I355,C355)</f>
        <v>114355.13</v>
      </c>
      <c r="O355" s="151">
        <f>+IF(OR($Q355=Parametres!$G$2,$Q355=Parametres!$G$3),J355,D355)</f>
        <v>0</v>
      </c>
      <c r="P355" s="151">
        <f>+IF(OR($Q355=Parametres!$G$2,$Q355=Parametres!$G$3),K355,E355)</f>
        <v>114355.13</v>
      </c>
      <c r="Q355" s="150" t="str">
        <f t="shared" si="27"/>
        <v>6-Coût des ventes</v>
      </c>
      <c r="R355" s="149" t="str">
        <f t="shared" si="28"/>
        <v>404E</v>
      </c>
      <c r="S355" s="150" t="str">
        <f t="shared" si="29"/>
        <v>_</v>
      </c>
      <c r="T355" s="152" t="str">
        <f>+VLOOKUP($L355,Data_Validation!$A:$D,1,0)</f>
        <v>624E</v>
      </c>
      <c r="U355" s="152" t="str">
        <f>+VLOOKUP($L355,Data_Validation!$A:$D,3,0)</f>
        <v>Véhicules neufs</v>
      </c>
      <c r="V355" s="152" t="str">
        <f>+VLOOKUP($L355,Data_Validation!$A:$D,4,0)</f>
        <v>Autos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2015</v>
      </c>
      <c r="B356" s="685" t="s">
        <v>2016</v>
      </c>
      <c r="C356" s="687">
        <v>104403.77</v>
      </c>
      <c r="D356" s="687">
        <v>0</v>
      </c>
      <c r="E356" s="687">
        <v>104403.77</v>
      </c>
      <c r="F356" s="685" t="s">
        <v>2014</v>
      </c>
      <c r="G356" s="685" t="s">
        <v>2008</v>
      </c>
      <c r="H356" s="641" t="s">
        <v>3074</v>
      </c>
      <c r="I356" s="640"/>
      <c r="J356" s="640"/>
      <c r="K356" s="640"/>
      <c r="L356" s="149" t="str">
        <f t="shared" si="25"/>
        <v>626A</v>
      </c>
      <c r="M356" s="150" t="str">
        <f t="shared" si="26"/>
        <v>C/V - 530I XDRIVE</v>
      </c>
      <c r="N356" s="151">
        <f>+IF(OR($Q356=Parametres!$G$2,$Q356=Parametres!$G$3),I356,C356)</f>
        <v>104403.77</v>
      </c>
      <c r="O356" s="151">
        <f>+IF(OR($Q356=Parametres!$G$2,$Q356=Parametres!$G$3),J356,D356)</f>
        <v>0</v>
      </c>
      <c r="P356" s="151">
        <f>+IF(OR($Q356=Parametres!$G$2,$Q356=Parametres!$G$3),K356,E356)</f>
        <v>104403.77</v>
      </c>
      <c r="Q356" s="150" t="str">
        <f t="shared" si="27"/>
        <v>6-Coût des ventes</v>
      </c>
      <c r="R356" s="149" t="str">
        <f t="shared" si="28"/>
        <v>426A</v>
      </c>
      <c r="S356" s="150" t="str">
        <f t="shared" si="29"/>
        <v>_</v>
      </c>
      <c r="T356" s="152" t="str">
        <f>+VLOOKUP($L356,Data_Validation!$A:$D,1,0)</f>
        <v>626A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1871</v>
      </c>
      <c r="B357" s="685" t="s">
        <v>373</v>
      </c>
      <c r="C357" s="1038">
        <v>449873.58</v>
      </c>
      <c r="D357" s="1038">
        <v>0</v>
      </c>
      <c r="E357" s="1038">
        <v>449873.58</v>
      </c>
      <c r="F357" s="685" t="s">
        <v>2014</v>
      </c>
      <c r="G357" s="685" t="s">
        <v>625</v>
      </c>
      <c r="H357" s="686" t="s">
        <v>3074</v>
      </c>
      <c r="I357" s="687"/>
      <c r="J357" s="687"/>
      <c r="K357" s="687"/>
      <c r="L357" s="149" t="str">
        <f t="shared" si="25"/>
        <v>630</v>
      </c>
      <c r="M357" s="150" t="str">
        <f t="shared" si="26"/>
        <v>C/V - M5 SEDAN</v>
      </c>
      <c r="N357" s="151">
        <f>+IF(OR($Q357=Parametres!$G$2,$Q357=Parametres!$G$3),I357,C357)</f>
        <v>449873.58</v>
      </c>
      <c r="O357" s="151">
        <f>+IF(OR($Q357=Parametres!$G$2,$Q357=Parametres!$G$3),J357,D357)</f>
        <v>0</v>
      </c>
      <c r="P357" s="151">
        <f>+IF(OR($Q357=Parametres!$G$2,$Q357=Parametres!$G$3),K357,E357)</f>
        <v>449873.58</v>
      </c>
      <c r="Q357" s="150" t="str">
        <f t="shared" si="27"/>
        <v>6-Coût des ventes</v>
      </c>
      <c r="R357" s="149" t="str">
        <f t="shared" si="28"/>
        <v>430</v>
      </c>
      <c r="S357" s="150" t="str">
        <f t="shared" si="29"/>
        <v>_</v>
      </c>
      <c r="T357" s="152" t="str">
        <f>+VLOOKUP($L357,Data_Validation!$A:$D,1,0)</f>
        <v>630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1707</v>
      </c>
      <c r="B358" s="639" t="s">
        <v>1708</v>
      </c>
      <c r="C358" s="640">
        <v>12129</v>
      </c>
      <c r="D358" s="640">
        <v>1699</v>
      </c>
      <c r="E358" s="640">
        <v>13828</v>
      </c>
      <c r="F358" s="639" t="s">
        <v>2014</v>
      </c>
      <c r="G358" s="639" t="s">
        <v>625</v>
      </c>
      <c r="H358" s="634" t="s">
        <v>3074</v>
      </c>
      <c r="I358" s="633"/>
      <c r="J358" s="633"/>
      <c r="K358" s="633"/>
      <c r="L358" s="149" t="str">
        <f t="shared" si="25"/>
        <v>630A</v>
      </c>
      <c r="M358" s="150" t="str">
        <f t="shared" si="26"/>
        <v>C/V - MARQUAGE OTOPROTEC NEUF BMW AUTO</v>
      </c>
      <c r="N358" s="151">
        <f>+IF(OR($Q358=Parametres!$G$2,$Q358=Parametres!$G$3),I358,C358)</f>
        <v>12129</v>
      </c>
      <c r="O358" s="151">
        <f>+IF(OR($Q358=Parametres!$G$2,$Q358=Parametres!$G$3),J358,D358)</f>
        <v>1699</v>
      </c>
      <c r="P358" s="151">
        <f>+IF(OR($Q358=Parametres!$G$2,$Q358=Parametres!$G$3),K358,E358)</f>
        <v>13828</v>
      </c>
      <c r="Q358" s="150" t="str">
        <f t="shared" si="27"/>
        <v>6-Coût des ventes</v>
      </c>
      <c r="R358" s="149" t="str">
        <f t="shared" si="28"/>
        <v>430</v>
      </c>
      <c r="S358" s="150" t="str">
        <f t="shared" si="29"/>
        <v>_</v>
      </c>
      <c r="T358" s="152" t="str">
        <f>+VLOOKUP($L358,Data_Validation!$A:$D,1,0)</f>
        <v>630A</v>
      </c>
      <c r="U358" s="152" t="str">
        <f>+VLOOKUP($L358,Data_Validation!$A:$D,3,0)</f>
        <v>Véhicules neufs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1431</v>
      </c>
      <c r="B359" s="685" t="s">
        <v>1432</v>
      </c>
      <c r="C359" s="687">
        <v>35272.080000000002</v>
      </c>
      <c r="D359" s="687">
        <v>2126</v>
      </c>
      <c r="E359" s="687">
        <v>37398.080000000002</v>
      </c>
      <c r="F359" s="685" t="s">
        <v>2014</v>
      </c>
      <c r="G359" s="685" t="s">
        <v>625</v>
      </c>
      <c r="H359" s="641" t="s">
        <v>3074</v>
      </c>
      <c r="I359" s="640"/>
      <c r="J359" s="640"/>
      <c r="K359" s="640"/>
      <c r="L359" s="149" t="str">
        <f t="shared" si="25"/>
        <v>630C</v>
      </c>
      <c r="M359" s="150" t="str">
        <f t="shared" si="26"/>
        <v>C/V - ACCESSOIRES NEUF BMW AUTO</v>
      </c>
      <c r="N359" s="151">
        <f>+IF(OR($Q359=Parametres!$G$2,$Q359=Parametres!$G$3),I359,C359)</f>
        <v>35272.080000000002</v>
      </c>
      <c r="O359" s="151">
        <f>+IF(OR($Q359=Parametres!$G$2,$Q359=Parametres!$G$3),J359,D359)</f>
        <v>2126</v>
      </c>
      <c r="P359" s="151">
        <f>+IF(OR($Q359=Parametres!$G$2,$Q359=Parametres!$G$3),K359,E359)</f>
        <v>37398.080000000002</v>
      </c>
      <c r="Q359" s="150" t="str">
        <f t="shared" si="27"/>
        <v>6-Coût des ventes</v>
      </c>
      <c r="R359" s="149" t="str">
        <f t="shared" si="28"/>
        <v>430</v>
      </c>
      <c r="S359" s="150" t="str">
        <f t="shared" si="29"/>
        <v>_</v>
      </c>
      <c r="T359" s="152" t="str">
        <f>+VLOOKUP($L359,Data_Validation!$A:$D,1,0)</f>
        <v>630C</v>
      </c>
      <c r="U359" s="152" t="str">
        <f>+VLOOKUP($L359,Data_Validation!$A:$D,3,0)</f>
        <v>Véhicules neufs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1714</v>
      </c>
      <c r="B360" s="685" t="s">
        <v>1715</v>
      </c>
      <c r="C360" s="1038">
        <v>42569.08</v>
      </c>
      <c r="D360" s="1038">
        <v>5820</v>
      </c>
      <c r="E360" s="1038">
        <v>48389.08</v>
      </c>
      <c r="F360" s="685" t="s">
        <v>2014</v>
      </c>
      <c r="G360" s="685" t="s">
        <v>625</v>
      </c>
      <c r="H360" s="686" t="s">
        <v>3074</v>
      </c>
      <c r="I360" s="687"/>
      <c r="J360" s="687"/>
      <c r="K360" s="687"/>
      <c r="L360" s="149" t="str">
        <f t="shared" si="25"/>
        <v>630E</v>
      </c>
      <c r="M360" s="150" t="str">
        <f t="shared" si="26"/>
        <v>C/V - PROTEC ESTHETIQUE NAUF BMW AUTO</v>
      </c>
      <c r="N360" s="151">
        <f>+IF(OR($Q360=Parametres!$G$2,$Q360=Parametres!$G$3),I360,C360)</f>
        <v>42569.08</v>
      </c>
      <c r="O360" s="151">
        <f>+IF(OR($Q360=Parametres!$G$2,$Q360=Parametres!$G$3),J360,D360)</f>
        <v>5820</v>
      </c>
      <c r="P360" s="151">
        <f>+IF(OR($Q360=Parametres!$G$2,$Q360=Parametres!$G$3),K360,E360)</f>
        <v>48389.08</v>
      </c>
      <c r="Q360" s="150" t="str">
        <f t="shared" si="27"/>
        <v>6-Coût des ventes</v>
      </c>
      <c r="R360" s="149" t="str">
        <f t="shared" si="28"/>
        <v>430</v>
      </c>
      <c r="S360" s="150" t="str">
        <f t="shared" si="29"/>
        <v>_</v>
      </c>
      <c r="T360" s="152" t="str">
        <f>+VLOOKUP($L360,Data_Validation!$A:$D,1,0)</f>
        <v>630E</v>
      </c>
      <c r="U360" s="152" t="str">
        <f>+VLOOKUP($L360,Data_Validation!$A:$D,3,0)</f>
        <v>Véhicules neufs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3107</v>
      </c>
      <c r="B361" s="685" t="s">
        <v>1643</v>
      </c>
      <c r="C361" s="687">
        <v>1476.03</v>
      </c>
      <c r="D361" s="687">
        <v>0</v>
      </c>
      <c r="E361" s="687">
        <v>1476.03</v>
      </c>
      <c r="F361" s="685" t="s">
        <v>2014</v>
      </c>
      <c r="G361" s="685" t="s">
        <v>625</v>
      </c>
      <c r="H361" s="641" t="s">
        <v>3074</v>
      </c>
      <c r="I361" s="640"/>
      <c r="J361" s="640"/>
      <c r="K361" s="640"/>
      <c r="L361" s="149" t="str">
        <f t="shared" si="25"/>
        <v>630T</v>
      </c>
      <c r="M361" s="150" t="str">
        <f t="shared" si="26"/>
        <v>C/V - TRAITEMENT PROTECTION NEUF BMW AUTO</v>
      </c>
      <c r="N361" s="151">
        <f>+IF(OR($Q361=Parametres!$G$2,$Q361=Parametres!$G$3),I361,C361)</f>
        <v>1476.03</v>
      </c>
      <c r="O361" s="151">
        <f>+IF(OR($Q361=Parametres!$G$2,$Q361=Parametres!$G$3),J361,D361)</f>
        <v>0</v>
      </c>
      <c r="P361" s="151">
        <f>+IF(OR($Q361=Parametres!$G$2,$Q361=Parametres!$G$3),K361,E361)</f>
        <v>1476.03</v>
      </c>
      <c r="Q361" s="150" t="str">
        <f t="shared" si="27"/>
        <v>6-Coût des ventes</v>
      </c>
      <c r="R361" s="149" t="str">
        <f t="shared" si="28"/>
        <v>430</v>
      </c>
      <c r="S361" s="150" t="str">
        <f t="shared" si="29"/>
        <v>_</v>
      </c>
      <c r="T361" s="152" t="str">
        <f>+VLOOKUP($L361,Data_Validation!$A:$D,1,0)</f>
        <v>630T</v>
      </c>
      <c r="U361" s="152" t="str">
        <f>+VLOOKUP($L361,Data_Validation!$A:$D,3,0)</f>
        <v>Véhicules neufs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1809</v>
      </c>
      <c r="B362" s="685" t="s">
        <v>1810</v>
      </c>
      <c r="C362" s="1038">
        <v>43306</v>
      </c>
      <c r="D362" s="1038">
        <v>3138</v>
      </c>
      <c r="E362" s="1038">
        <v>46444</v>
      </c>
      <c r="F362" s="685" t="s">
        <v>2014</v>
      </c>
      <c r="G362" s="685" t="s">
        <v>625</v>
      </c>
      <c r="H362" s="686" t="s">
        <v>3074</v>
      </c>
      <c r="I362" s="687"/>
      <c r="J362" s="687"/>
      <c r="K362" s="687"/>
      <c r="L362" s="149" t="str">
        <f t="shared" si="25"/>
        <v>630U</v>
      </c>
      <c r="M362" s="150" t="str">
        <f t="shared" si="26"/>
        <v>C/V - ASSIST USURE NEUF BMW AUTO</v>
      </c>
      <c r="N362" s="151">
        <f>+IF(OR($Q362=Parametres!$G$2,$Q362=Parametres!$G$3),I362,C362)</f>
        <v>43306</v>
      </c>
      <c r="O362" s="151">
        <f>+IF(OR($Q362=Parametres!$G$2,$Q362=Parametres!$G$3),J362,D362)</f>
        <v>3138</v>
      </c>
      <c r="P362" s="151">
        <f>+IF(OR($Q362=Parametres!$G$2,$Q362=Parametres!$G$3),K362,E362)</f>
        <v>46444</v>
      </c>
      <c r="Q362" s="150" t="str">
        <f t="shared" si="27"/>
        <v>6-Coût des ventes</v>
      </c>
      <c r="R362" s="149" t="str">
        <f t="shared" si="28"/>
        <v>430</v>
      </c>
      <c r="S362" s="150" t="str">
        <f t="shared" si="29"/>
        <v>_</v>
      </c>
      <c r="T362" s="152" t="str">
        <f>+VLOOKUP($L362,Data_Validation!$A:$D,1,0)</f>
        <v>630U</v>
      </c>
      <c r="U362" s="152" t="str">
        <f>+VLOOKUP($L362,Data_Validation!$A:$D,3,0)</f>
        <v>Véhicules neufs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2056</v>
      </c>
      <c r="B363" s="639" t="s">
        <v>2057</v>
      </c>
      <c r="C363" s="640">
        <v>301087.90999999997</v>
      </c>
      <c r="D363" s="640">
        <v>99914.31</v>
      </c>
      <c r="E363" s="640">
        <v>401002.22</v>
      </c>
      <c r="F363" s="639" t="s">
        <v>2014</v>
      </c>
      <c r="G363" s="639" t="s">
        <v>2011</v>
      </c>
      <c r="H363" s="634" t="s">
        <v>3074</v>
      </c>
      <c r="I363" s="633"/>
      <c r="J363" s="633"/>
      <c r="K363" s="633"/>
      <c r="L363" s="149" t="str">
        <f t="shared" si="25"/>
        <v>632</v>
      </c>
      <c r="M363" s="150" t="str">
        <f t="shared" si="26"/>
        <v>C/V - 530E XDRIVE</v>
      </c>
      <c r="N363" s="151">
        <f>+IF(OR($Q363=Parametres!$G$2,$Q363=Parametres!$G$3),I363,C363)</f>
        <v>301087.90999999997</v>
      </c>
      <c r="O363" s="151">
        <f>+IF(OR($Q363=Parametres!$G$2,$Q363=Parametres!$G$3),J363,D363)</f>
        <v>99914.31</v>
      </c>
      <c r="P363" s="151">
        <f>+IF(OR($Q363=Parametres!$G$2,$Q363=Parametres!$G$3),K363,E363)</f>
        <v>401002.22</v>
      </c>
      <c r="Q363" s="150" t="str">
        <f t="shared" si="27"/>
        <v>6-Coût des ventes</v>
      </c>
      <c r="R363" s="149" t="str">
        <f t="shared" si="28"/>
        <v>432</v>
      </c>
      <c r="S363" s="150" t="str">
        <f t="shared" si="29"/>
        <v>_</v>
      </c>
      <c r="T363" s="152" t="str">
        <f>+VLOOKUP($L363,Data_Validation!$A:$D,1,0)</f>
        <v>632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1801</v>
      </c>
      <c r="B364" s="685" t="s">
        <v>664</v>
      </c>
      <c r="C364" s="687">
        <v>34780</v>
      </c>
      <c r="D364" s="687">
        <v>0</v>
      </c>
      <c r="E364" s="687">
        <v>34780</v>
      </c>
      <c r="F364" s="685" t="s">
        <v>2014</v>
      </c>
      <c r="G364" s="685" t="s">
        <v>2011</v>
      </c>
      <c r="H364" s="641" t="s">
        <v>3074</v>
      </c>
      <c r="I364" s="640"/>
      <c r="J364" s="640"/>
      <c r="K364" s="640"/>
      <c r="L364" s="149" t="str">
        <f t="shared" si="25"/>
        <v>632A</v>
      </c>
      <c r="M364" s="150" t="str">
        <f t="shared" si="26"/>
        <v>C/V - GAR PROL NEUF BMW AUTO</v>
      </c>
      <c r="N364" s="151">
        <f>+IF(OR($Q364=Parametres!$G$2,$Q364=Parametres!$G$3),I364,C364)</f>
        <v>34780</v>
      </c>
      <c r="O364" s="151">
        <f>+IF(OR($Q364=Parametres!$G$2,$Q364=Parametres!$G$3),J364,D364)</f>
        <v>0</v>
      </c>
      <c r="P364" s="151">
        <f>+IF(OR($Q364=Parametres!$G$2,$Q364=Parametres!$G$3),K364,E364)</f>
        <v>34780</v>
      </c>
      <c r="Q364" s="150" t="str">
        <f t="shared" si="27"/>
        <v>6-Coût des ventes</v>
      </c>
      <c r="R364" s="149" t="str">
        <f t="shared" si="28"/>
        <v>432</v>
      </c>
      <c r="S364" s="150" t="str">
        <f t="shared" si="29"/>
        <v>_</v>
      </c>
      <c r="T364" s="152" t="str">
        <f>+VLOOKUP($L364,Data_Validation!$A:$D,1,0)</f>
        <v>632A</v>
      </c>
      <c r="U364" s="152" t="str">
        <f>+VLOOKUP($L364,Data_Validation!$A:$D,3,0)</f>
        <v>Véhicules neufs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2102</v>
      </c>
      <c r="B365" s="685" t="s">
        <v>2101</v>
      </c>
      <c r="C365" s="687">
        <v>25648</v>
      </c>
      <c r="D365" s="687">
        <v>570</v>
      </c>
      <c r="E365" s="687">
        <v>26218</v>
      </c>
      <c r="F365" s="685" t="s">
        <v>2014</v>
      </c>
      <c r="G365" s="685" t="s">
        <v>2358</v>
      </c>
      <c r="H365" s="641" t="s">
        <v>3074</v>
      </c>
      <c r="I365" s="640"/>
      <c r="J365" s="640"/>
      <c r="K365" s="640"/>
      <c r="L365" s="149" t="str">
        <f t="shared" si="25"/>
        <v>634A</v>
      </c>
      <c r="M365" s="150" t="str">
        <f t="shared" si="26"/>
        <v>C/V - CONT ENTRET NEUF BMW AUTO</v>
      </c>
      <c r="N365" s="151">
        <f>+IF(OR($Q365=Parametres!$G$2,$Q365=Parametres!$G$3),I365,C365)</f>
        <v>25648</v>
      </c>
      <c r="O365" s="151">
        <f>+IF(OR($Q365=Parametres!$G$2,$Q365=Parametres!$G$3),J365,D365)</f>
        <v>570</v>
      </c>
      <c r="P365" s="151">
        <f>+IF(OR($Q365=Parametres!$G$2,$Q365=Parametres!$G$3),K365,E365)</f>
        <v>26218</v>
      </c>
      <c r="Q365" s="150" t="str">
        <f t="shared" si="27"/>
        <v>6-Coût des ventes</v>
      </c>
      <c r="R365" s="149" t="str">
        <f t="shared" si="28"/>
        <v>434</v>
      </c>
      <c r="S365" s="150" t="str">
        <f t="shared" si="29"/>
        <v>_</v>
      </c>
      <c r="T365" s="152" t="str">
        <f>+VLOOKUP($L365,Data_Validation!$A:$D,1,0)</f>
        <v>634A</v>
      </c>
      <c r="U365" s="152" t="str">
        <f>+VLOOKUP($L365,Data_Validation!$A:$D,3,0)</f>
        <v>Véhicules neufs</v>
      </c>
      <c r="V365" s="152" t="str">
        <f>+VLOOKUP($L365,Data_Validation!$A:$D,4,0)</f>
        <v>Rev. Protections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1828</v>
      </c>
      <c r="B366" s="685" t="s">
        <v>973</v>
      </c>
      <c r="C366" s="687">
        <v>1175119.17</v>
      </c>
      <c r="D366" s="687">
        <v>173838.5</v>
      </c>
      <c r="E366" s="687">
        <v>1348957.67</v>
      </c>
      <c r="F366" s="685" t="s">
        <v>2014</v>
      </c>
      <c r="G366" s="685" t="s">
        <v>420</v>
      </c>
      <c r="H366" s="641" t="s">
        <v>3074</v>
      </c>
      <c r="I366" s="640"/>
      <c r="J366" s="640"/>
      <c r="K366" s="640"/>
      <c r="L366" s="149" t="str">
        <f t="shared" si="25"/>
        <v>640A</v>
      </c>
      <c r="M366" s="150" t="str">
        <f t="shared" si="26"/>
        <v>C/V - USAGE BMW AUTO CERT</v>
      </c>
      <c r="N366" s="151">
        <f>+IF(OR($Q366=Parametres!$G$2,$Q366=Parametres!$G$3),I366,C366)</f>
        <v>1175119.17</v>
      </c>
      <c r="O366" s="151">
        <f>+IF(OR($Q366=Parametres!$G$2,$Q366=Parametres!$G$3),J366,D366)</f>
        <v>173838.5</v>
      </c>
      <c r="P366" s="151">
        <f>+IF(OR($Q366=Parametres!$G$2,$Q366=Parametres!$G$3),K366,E366)</f>
        <v>1348957.67</v>
      </c>
      <c r="Q366" s="150" t="str">
        <f t="shared" si="27"/>
        <v>6-Coût des ventes</v>
      </c>
      <c r="R366" s="149" t="str">
        <f t="shared" si="28"/>
        <v>440A</v>
      </c>
      <c r="S366" s="150" t="str">
        <f t="shared" si="29"/>
        <v>_</v>
      </c>
      <c r="T366" s="152" t="str">
        <f>+VLOOKUP($L366,Data_Validation!$A:$D,1,0)</f>
        <v>640A</v>
      </c>
      <c r="U366" s="152" t="str">
        <f>+VLOOKUP($L366,Data_Validation!$A:$D,3,0)</f>
        <v>Véhicules usagés</v>
      </c>
      <c r="V366" s="152" t="str">
        <f>+VLOOKUP($L366,Data_Validation!$A:$D,4,0)</f>
        <v>Certifié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1435</v>
      </c>
      <c r="B367" s="639" t="s">
        <v>975</v>
      </c>
      <c r="C367" s="640">
        <v>212512.85</v>
      </c>
      <c r="D367" s="640">
        <v>197964.6</v>
      </c>
      <c r="E367" s="640">
        <v>410477.45</v>
      </c>
      <c r="F367" s="639" t="s">
        <v>2014</v>
      </c>
      <c r="G367" s="639" t="s">
        <v>416</v>
      </c>
      <c r="H367" s="634" t="s">
        <v>3074</v>
      </c>
      <c r="I367" s="633"/>
      <c r="J367" s="633"/>
      <c r="K367" s="633"/>
      <c r="L367" s="149" t="str">
        <f t="shared" si="25"/>
        <v>640B</v>
      </c>
      <c r="M367" s="150" t="str">
        <f t="shared" si="26"/>
        <v>C/V - USAGE BMW AUTO NON-CERT</v>
      </c>
      <c r="N367" s="151">
        <f>+IF(OR($Q367=Parametres!$G$2,$Q367=Parametres!$G$3),I367,C367)</f>
        <v>212512.85</v>
      </c>
      <c r="O367" s="151">
        <f>+IF(OR($Q367=Parametres!$G$2,$Q367=Parametres!$G$3),J367,D367)</f>
        <v>197964.6</v>
      </c>
      <c r="P367" s="151">
        <f>+IF(OR($Q367=Parametres!$G$2,$Q367=Parametres!$G$3),K367,E367)</f>
        <v>410477.45</v>
      </c>
      <c r="Q367" s="150" t="str">
        <f t="shared" si="27"/>
        <v>6-Coût des ventes</v>
      </c>
      <c r="R367" s="149" t="str">
        <f t="shared" si="28"/>
        <v>440B</v>
      </c>
      <c r="S367" s="150" t="str">
        <f t="shared" si="29"/>
        <v>_</v>
      </c>
      <c r="T367" s="152" t="str">
        <f>+VLOOKUP($L367,Data_Validation!$A:$D,1,0)</f>
        <v>640B</v>
      </c>
      <c r="U367" s="152" t="str">
        <f>+VLOOKUP($L367,Data_Validation!$A:$D,3,0)</f>
        <v>Véhicules usagés</v>
      </c>
      <c r="V367" s="152" t="str">
        <f>+VLOOKUP($L367,Data_Validation!$A:$D,4,0)</f>
        <v>Non Certifié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1756</v>
      </c>
      <c r="B368" s="685" t="s">
        <v>946</v>
      </c>
      <c r="C368" s="687">
        <v>23059.01</v>
      </c>
      <c r="D368" s="687">
        <v>2258.6799999999998</v>
      </c>
      <c r="E368" s="687">
        <v>25317.69</v>
      </c>
      <c r="F368" s="685" t="s">
        <v>2014</v>
      </c>
      <c r="G368" s="685" t="s">
        <v>420</v>
      </c>
      <c r="H368" s="641" t="s">
        <v>3074</v>
      </c>
      <c r="I368" s="640"/>
      <c r="J368" s="640"/>
      <c r="K368" s="640"/>
      <c r="L368" s="149" t="str">
        <f t="shared" si="25"/>
        <v>641A</v>
      </c>
      <c r="M368" s="150" t="str">
        <f t="shared" si="26"/>
        <v>C/V - RECOND. BMW AUTO CERT</v>
      </c>
      <c r="N368" s="151">
        <f>+IF(OR($Q368=Parametres!$G$2,$Q368=Parametres!$G$3),I368,C368)</f>
        <v>23059.01</v>
      </c>
      <c r="O368" s="151">
        <f>+IF(OR($Q368=Parametres!$G$2,$Q368=Parametres!$G$3),J368,D368)</f>
        <v>2258.6799999999998</v>
      </c>
      <c r="P368" s="151">
        <f>+IF(OR($Q368=Parametres!$G$2,$Q368=Parametres!$G$3),K368,E368)</f>
        <v>25317.69</v>
      </c>
      <c r="Q368" s="150" t="str">
        <f t="shared" si="27"/>
        <v>6-Coût des ventes</v>
      </c>
      <c r="R368" s="149" t="str">
        <f t="shared" si="28"/>
        <v>440A</v>
      </c>
      <c r="S368" s="150" t="str">
        <f t="shared" si="29"/>
        <v>_</v>
      </c>
      <c r="T368" s="152" t="str">
        <f>+VLOOKUP($L368,Data_Validation!$A:$D,1,0)</f>
        <v>641A</v>
      </c>
      <c r="U368" s="152" t="str">
        <f>+VLOOKUP($L368,Data_Validation!$A:$D,3,0)</f>
        <v>Véhicules usagés</v>
      </c>
      <c r="V368" s="152" t="str">
        <f>+VLOOKUP($L368,Data_Validation!$A:$D,4,0)</f>
        <v>Certifié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1436</v>
      </c>
      <c r="B369" s="639" t="s">
        <v>935</v>
      </c>
      <c r="C369" s="640">
        <v>9586.17</v>
      </c>
      <c r="D369" s="640">
        <v>4621.33</v>
      </c>
      <c r="E369" s="640">
        <v>14207.5</v>
      </c>
      <c r="F369" s="639" t="s">
        <v>2014</v>
      </c>
      <c r="G369" s="639" t="s">
        <v>416</v>
      </c>
      <c r="H369" s="634" t="s">
        <v>3074</v>
      </c>
      <c r="I369" s="633"/>
      <c r="J369" s="633"/>
      <c r="K369" s="633"/>
      <c r="L369" s="149" t="str">
        <f t="shared" si="25"/>
        <v>641B</v>
      </c>
      <c r="M369" s="150" t="str">
        <f t="shared" si="26"/>
        <v>C/V - RECOND. BMW AUTO NON-CERT</v>
      </c>
      <c r="N369" s="151">
        <f>+IF(OR($Q369=Parametres!$G$2,$Q369=Parametres!$G$3),I369,C369)</f>
        <v>9586.17</v>
      </c>
      <c r="O369" s="151">
        <f>+IF(OR($Q369=Parametres!$G$2,$Q369=Parametres!$G$3),J369,D369)</f>
        <v>4621.33</v>
      </c>
      <c r="P369" s="151">
        <f>+IF(OR($Q369=Parametres!$G$2,$Q369=Parametres!$G$3),K369,E369)</f>
        <v>14207.5</v>
      </c>
      <c r="Q369" s="150" t="str">
        <f t="shared" si="27"/>
        <v>6-Coût des ventes</v>
      </c>
      <c r="R369" s="149" t="str">
        <f t="shared" si="28"/>
        <v>440B</v>
      </c>
      <c r="S369" s="150" t="str">
        <f t="shared" si="29"/>
        <v>_</v>
      </c>
      <c r="T369" s="152" t="str">
        <f>+VLOOKUP($L369,Data_Validation!$A:$D,1,0)</f>
        <v>641B</v>
      </c>
      <c r="U369" s="152" t="str">
        <f>+VLOOKUP($L369,Data_Validation!$A:$D,3,0)</f>
        <v>Véhicules usagés</v>
      </c>
      <c r="V369" s="152" t="str">
        <f>+VLOOKUP($L369,Data_Validation!$A:$D,4,0)</f>
        <v>Non Certifié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1841</v>
      </c>
      <c r="B370" s="685" t="s">
        <v>665</v>
      </c>
      <c r="C370" s="687">
        <v>882954.71</v>
      </c>
      <c r="D370" s="687">
        <v>190656.75</v>
      </c>
      <c r="E370" s="687">
        <v>1073611.46</v>
      </c>
      <c r="F370" s="685" t="s">
        <v>2014</v>
      </c>
      <c r="G370" s="685" t="s">
        <v>384</v>
      </c>
      <c r="H370" s="641" t="s">
        <v>3074</v>
      </c>
      <c r="I370" s="640"/>
      <c r="J370" s="640"/>
      <c r="K370" s="640"/>
      <c r="L370" s="149" t="str">
        <f t="shared" si="25"/>
        <v>642</v>
      </c>
      <c r="M370" s="150" t="str">
        <f t="shared" si="26"/>
        <v>C/V - USAGE AUTRES</v>
      </c>
      <c r="N370" s="151">
        <f>+IF(OR($Q370=Parametres!$G$2,$Q370=Parametres!$G$3),I370,C370)</f>
        <v>882954.71</v>
      </c>
      <c r="O370" s="151">
        <f>+IF(OR($Q370=Parametres!$G$2,$Q370=Parametres!$G$3),J370,D370)</f>
        <v>190656.75</v>
      </c>
      <c r="P370" s="151">
        <f>+IF(OR($Q370=Parametres!$G$2,$Q370=Parametres!$G$3),K370,E370)</f>
        <v>1073611.46</v>
      </c>
      <c r="Q370" s="150" t="str">
        <f t="shared" si="27"/>
        <v>6-Coût des ventes</v>
      </c>
      <c r="R370" s="149" t="str">
        <f t="shared" si="28"/>
        <v>442</v>
      </c>
      <c r="S370" s="150" t="str">
        <f t="shared" si="29"/>
        <v>_</v>
      </c>
      <c r="T370" s="152" t="str">
        <f>+VLOOKUP($L370,Data_Validation!$A:$D,1,0)</f>
        <v>642</v>
      </c>
      <c r="U370" s="152" t="str">
        <f>+VLOOKUP($L370,Data_Validation!$A:$D,3,0)</f>
        <v>Véhicules usagés</v>
      </c>
      <c r="V370" s="152" t="str">
        <f>+VLOOKUP($L370,Data_Validation!$A:$D,4,0)</f>
        <v>Autres marques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1738</v>
      </c>
      <c r="B371" s="685" t="s">
        <v>666</v>
      </c>
      <c r="C371" s="687">
        <v>23938.18</v>
      </c>
      <c r="D371" s="687">
        <v>2629.99</v>
      </c>
      <c r="E371" s="687">
        <v>26568.17</v>
      </c>
      <c r="F371" s="685" t="s">
        <v>2014</v>
      </c>
      <c r="G371" s="685" t="s">
        <v>384</v>
      </c>
      <c r="H371" s="641" t="s">
        <v>3074</v>
      </c>
      <c r="I371" s="640"/>
      <c r="J371" s="640"/>
      <c r="K371" s="640"/>
      <c r="L371" s="149" t="str">
        <f t="shared" si="25"/>
        <v>643</v>
      </c>
      <c r="M371" s="150" t="str">
        <f t="shared" si="26"/>
        <v>C/V - RECOND. AUTRES</v>
      </c>
      <c r="N371" s="151">
        <f>+IF(OR($Q371=Parametres!$G$2,$Q371=Parametres!$G$3),I371,C371)</f>
        <v>23938.18</v>
      </c>
      <c r="O371" s="151">
        <f>+IF(OR($Q371=Parametres!$G$2,$Q371=Parametres!$G$3),J371,D371)</f>
        <v>2629.99</v>
      </c>
      <c r="P371" s="151">
        <f>+IF(OR($Q371=Parametres!$G$2,$Q371=Parametres!$G$3),K371,E371)</f>
        <v>26568.17</v>
      </c>
      <c r="Q371" s="150" t="str">
        <f t="shared" si="27"/>
        <v>6-Coût des ventes</v>
      </c>
      <c r="R371" s="149" t="str">
        <f t="shared" si="28"/>
        <v>442</v>
      </c>
      <c r="S371" s="150" t="str">
        <f t="shared" si="29"/>
        <v>_</v>
      </c>
      <c r="T371" s="152" t="str">
        <f>+VLOOKUP($L371,Data_Validation!$A:$D,1,0)</f>
        <v>643</v>
      </c>
      <c r="U371" s="152" t="str">
        <f>+VLOOKUP($L371,Data_Validation!$A:$D,3,0)</f>
        <v>Véhicules usagés</v>
      </c>
      <c r="V371" s="152" t="str">
        <f>+VLOOKUP($L371,Data_Validation!$A:$D,4,0)</f>
        <v>Autres marques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3096</v>
      </c>
      <c r="B372" s="685" t="s">
        <v>3108</v>
      </c>
      <c r="C372" s="687">
        <v>0</v>
      </c>
      <c r="D372" s="687">
        <v>83912.51</v>
      </c>
      <c r="E372" s="687">
        <v>83912.51</v>
      </c>
      <c r="F372" s="685" t="s">
        <v>2014</v>
      </c>
      <c r="G372" s="685" t="s">
        <v>666</v>
      </c>
      <c r="H372" s="641" t="s">
        <v>3074</v>
      </c>
      <c r="I372" s="641"/>
      <c r="J372" s="641"/>
      <c r="K372" s="641"/>
      <c r="L372" s="149" t="str">
        <f t="shared" si="25"/>
        <v>643B</v>
      </c>
      <c r="M372" s="150" t="str">
        <f t="shared" si="26"/>
        <v>M440I XDRIVE GRAN COUPE</v>
      </c>
      <c r="N372" s="151">
        <f>+IF(OR($Q372=Parametres!$G$2,$Q372=Parametres!$G$3),I372,C372)</f>
        <v>0</v>
      </c>
      <c r="O372" s="151">
        <f>+IF(OR($Q372=Parametres!$G$2,$Q372=Parametres!$G$3),J372,D372)</f>
        <v>83912.51</v>
      </c>
      <c r="P372" s="151">
        <f>+IF(OR($Q372=Parametres!$G$2,$Q372=Parametres!$G$3),K372,E372)</f>
        <v>83912.51</v>
      </c>
      <c r="Q372" s="150" t="str">
        <f t="shared" si="27"/>
        <v>6-Coût des ventes</v>
      </c>
      <c r="R372" s="149" t="str">
        <f t="shared" si="28"/>
        <v>643</v>
      </c>
      <c r="S372" s="150" t="str">
        <f t="shared" si="29"/>
        <v>_</v>
      </c>
      <c r="T372" s="152" t="str">
        <f>+VLOOKUP($L372,Data_Validation!$A:$D,1,0)</f>
        <v>643B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1852</v>
      </c>
      <c r="B373" s="639" t="s">
        <v>1853</v>
      </c>
      <c r="C373" s="640">
        <v>673430.77</v>
      </c>
      <c r="D373" s="640">
        <v>0</v>
      </c>
      <c r="E373" s="640">
        <v>673430.77</v>
      </c>
      <c r="F373" s="639" t="s">
        <v>2014</v>
      </c>
      <c r="G373" s="639" t="s">
        <v>1072</v>
      </c>
      <c r="H373" s="634" t="s">
        <v>3074</v>
      </c>
      <c r="I373" s="633"/>
      <c r="J373" s="633"/>
      <c r="K373" s="633"/>
      <c r="L373" s="149" t="str">
        <f t="shared" si="25"/>
        <v>644A</v>
      </c>
      <c r="M373" s="150" t="str">
        <f t="shared" si="26"/>
        <v>C/V - GROS BMW AUTO</v>
      </c>
      <c r="N373" s="151">
        <f>+IF(OR($Q373=Parametres!$G$2,$Q373=Parametres!$G$3),I373,C373)</f>
        <v>673430.77</v>
      </c>
      <c r="O373" s="151">
        <f>+IF(OR($Q373=Parametres!$G$2,$Q373=Parametres!$G$3),J373,D373)</f>
        <v>0</v>
      </c>
      <c r="P373" s="151">
        <f>+IF(OR($Q373=Parametres!$G$2,$Q373=Parametres!$G$3),K373,E373)</f>
        <v>673430.77</v>
      </c>
      <c r="Q373" s="150" t="str">
        <f t="shared" si="27"/>
        <v>6-Coût des ventes</v>
      </c>
      <c r="R373" s="149" t="str">
        <f t="shared" si="28"/>
        <v>444A</v>
      </c>
      <c r="S373" s="150" t="str">
        <f t="shared" si="29"/>
        <v>_</v>
      </c>
      <c r="T373" s="152" t="str">
        <f>+VLOOKUP($L373,Data_Validation!$A:$D,1,0)</f>
        <v>644A</v>
      </c>
      <c r="U373" s="152" t="str">
        <f>+VLOOKUP($L373,Data_Validation!$A:$D,3,0)</f>
        <v>Véhicules usagés</v>
      </c>
      <c r="V373" s="152" t="str">
        <f>+VLOOKUP($L373,Data_Validation!$A:$D,4,0)</f>
        <v>Ventes au Gros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1854</v>
      </c>
      <c r="B374" s="685" t="s">
        <v>987</v>
      </c>
      <c r="C374" s="1038">
        <v>2992179.48</v>
      </c>
      <c r="D374" s="1038">
        <v>173448.45</v>
      </c>
      <c r="E374" s="1038">
        <v>3165627.93</v>
      </c>
      <c r="F374" s="685" t="s">
        <v>2014</v>
      </c>
      <c r="G374" s="685" t="s">
        <v>398</v>
      </c>
      <c r="H374" s="686" t="s">
        <v>3074</v>
      </c>
      <c r="I374" s="687"/>
      <c r="J374" s="687"/>
      <c r="K374" s="687"/>
      <c r="L374" s="149" t="str">
        <f t="shared" si="25"/>
        <v>644B</v>
      </c>
      <c r="M374" s="150" t="str">
        <f t="shared" si="26"/>
        <v>C/V - GROS BMW CAMION</v>
      </c>
      <c r="N374" s="151">
        <f>+IF(OR($Q374=Parametres!$G$2,$Q374=Parametres!$G$3),I374,C374)</f>
        <v>2992179.48</v>
      </c>
      <c r="O374" s="151">
        <f>+IF(OR($Q374=Parametres!$G$2,$Q374=Parametres!$G$3),J374,D374)</f>
        <v>173448.45</v>
      </c>
      <c r="P374" s="151">
        <f>+IF(OR($Q374=Parametres!$G$2,$Q374=Parametres!$G$3),K374,E374)</f>
        <v>3165627.93</v>
      </c>
      <c r="Q374" s="150" t="str">
        <f t="shared" si="27"/>
        <v>6-Coût des ventes</v>
      </c>
      <c r="R374" s="149" t="str">
        <f t="shared" si="28"/>
        <v>444B</v>
      </c>
      <c r="S374" s="150" t="str">
        <f t="shared" si="29"/>
        <v>_</v>
      </c>
      <c r="T374" s="152" t="str">
        <f>+VLOOKUP($L374,Data_Validation!$A:$D,1,0)</f>
        <v>644B</v>
      </c>
      <c r="U374" s="152" t="str">
        <f>+VLOOKUP($L374,Data_Validation!$A:$D,3,0)</f>
        <v>Véhicules usagés</v>
      </c>
      <c r="V374" s="152" t="str">
        <f>+VLOOKUP($L374,Data_Validation!$A:$D,4,0)</f>
        <v>Ventes au Gros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1847</v>
      </c>
      <c r="B375" s="685" t="s">
        <v>985</v>
      </c>
      <c r="C375" s="687">
        <v>2266124.9</v>
      </c>
      <c r="D375" s="687">
        <v>466431.76</v>
      </c>
      <c r="E375" s="687">
        <v>2732556.66</v>
      </c>
      <c r="F375" s="685" t="s">
        <v>2014</v>
      </c>
      <c r="G375" s="685" t="s">
        <v>401</v>
      </c>
      <c r="H375" s="634" t="s">
        <v>3074</v>
      </c>
      <c r="I375" s="633"/>
      <c r="J375" s="633"/>
      <c r="K375" s="633"/>
      <c r="L375" s="149" t="str">
        <f t="shared" si="25"/>
        <v>644C</v>
      </c>
      <c r="M375" s="150" t="str">
        <f t="shared" si="26"/>
        <v>C/V - GROS AUTRES</v>
      </c>
      <c r="N375" s="151">
        <f>+IF(OR($Q375=Parametres!$G$2,$Q375=Parametres!$G$3),I375,C375)</f>
        <v>2266124.9</v>
      </c>
      <c r="O375" s="151">
        <f>+IF(OR($Q375=Parametres!$G$2,$Q375=Parametres!$G$3),J375,D375)</f>
        <v>466431.76</v>
      </c>
      <c r="P375" s="151">
        <f>+IF(OR($Q375=Parametres!$G$2,$Q375=Parametres!$G$3),K375,E375)</f>
        <v>2732556.66</v>
      </c>
      <c r="Q375" s="150" t="str">
        <f t="shared" si="27"/>
        <v>6-Coût des ventes</v>
      </c>
      <c r="R375" s="149" t="str">
        <f t="shared" si="28"/>
        <v>444C</v>
      </c>
      <c r="S375" s="150" t="str">
        <f t="shared" si="29"/>
        <v>_</v>
      </c>
      <c r="T375" s="152" t="str">
        <f>+VLOOKUP($L375,Data_Validation!$A:$D,1,0)</f>
        <v>644C</v>
      </c>
      <c r="U375" s="152" t="str">
        <f>+VLOOKUP($L375,Data_Validation!$A:$D,3,0)</f>
        <v>Véhicules usagés</v>
      </c>
      <c r="V375" s="152" t="str">
        <f>+VLOOKUP($L375,Data_Validation!$A:$D,4,0)</f>
        <v>Ventes au Gros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1838</v>
      </c>
      <c r="B376" s="639" t="s">
        <v>974</v>
      </c>
      <c r="C376" s="640">
        <v>2102952.7400000002</v>
      </c>
      <c r="D376" s="640">
        <v>505083.45</v>
      </c>
      <c r="E376" s="640">
        <v>2608036.19</v>
      </c>
      <c r="F376" s="639" t="s">
        <v>2014</v>
      </c>
      <c r="G376" s="639" t="s">
        <v>418</v>
      </c>
      <c r="H376" s="634" t="s">
        <v>3074</v>
      </c>
      <c r="I376" s="633"/>
      <c r="J376" s="633"/>
      <c r="K376" s="633"/>
      <c r="L376" s="149" t="str">
        <f t="shared" si="25"/>
        <v>646A</v>
      </c>
      <c r="M376" s="150" t="str">
        <f t="shared" si="26"/>
        <v>C/V - USAGE BMW CAMION CERT</v>
      </c>
      <c r="N376" s="151">
        <f>+IF(OR($Q376=Parametres!$G$2,$Q376=Parametres!$G$3),I376,C376)</f>
        <v>2102952.7400000002</v>
      </c>
      <c r="O376" s="151">
        <f>+IF(OR($Q376=Parametres!$G$2,$Q376=Parametres!$G$3),J376,D376)</f>
        <v>505083.45</v>
      </c>
      <c r="P376" s="151">
        <f>+IF(OR($Q376=Parametres!$G$2,$Q376=Parametres!$G$3),K376,E376)</f>
        <v>2608036.19</v>
      </c>
      <c r="Q376" s="150" t="str">
        <f t="shared" si="27"/>
        <v>6-Coût des ventes</v>
      </c>
      <c r="R376" s="149" t="str">
        <f t="shared" si="28"/>
        <v>446A</v>
      </c>
      <c r="S376" s="150" t="str">
        <f t="shared" si="29"/>
        <v>_</v>
      </c>
      <c r="T376" s="152" t="str">
        <f>+VLOOKUP($L376,Data_Validation!$A:$D,1,0)</f>
        <v>646A</v>
      </c>
      <c r="U376" s="152" t="str">
        <f>+VLOOKUP($L376,Data_Validation!$A:$D,3,0)</f>
        <v>Véhicules usagés</v>
      </c>
      <c r="V376" s="152" t="str">
        <f>+VLOOKUP($L376,Data_Validation!$A:$D,4,0)</f>
        <v>Certifié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1836</v>
      </c>
      <c r="B377" s="685" t="s">
        <v>982</v>
      </c>
      <c r="C377" s="687">
        <v>274566.64</v>
      </c>
      <c r="D377" s="687">
        <v>247317.11</v>
      </c>
      <c r="E377" s="687">
        <v>521883.75</v>
      </c>
      <c r="F377" s="685" t="s">
        <v>2014</v>
      </c>
      <c r="G377" s="685" t="s">
        <v>404</v>
      </c>
      <c r="H377" s="641" t="s">
        <v>3074</v>
      </c>
      <c r="I377" s="640"/>
      <c r="J377" s="640"/>
      <c r="K377" s="640"/>
      <c r="L377" s="149" t="str">
        <f t="shared" si="25"/>
        <v>646B</v>
      </c>
      <c r="M377" s="150" t="str">
        <f t="shared" si="26"/>
        <v>C/V - USAGE BMW CAMION NON-CERT</v>
      </c>
      <c r="N377" s="151">
        <f>+IF(OR($Q377=Parametres!$G$2,$Q377=Parametres!$G$3),I377,C377)</f>
        <v>274566.64</v>
      </c>
      <c r="O377" s="151">
        <f>+IF(OR($Q377=Parametres!$G$2,$Q377=Parametres!$G$3),J377,D377)</f>
        <v>247317.11</v>
      </c>
      <c r="P377" s="151">
        <f>+IF(OR($Q377=Parametres!$G$2,$Q377=Parametres!$G$3),K377,E377)</f>
        <v>521883.75</v>
      </c>
      <c r="Q377" s="150" t="str">
        <f t="shared" si="27"/>
        <v>6-Coût des ventes</v>
      </c>
      <c r="R377" s="149" t="str">
        <f t="shared" si="28"/>
        <v>446B</v>
      </c>
      <c r="S377" s="150" t="str">
        <f t="shared" si="29"/>
        <v>_</v>
      </c>
      <c r="T377" s="152" t="str">
        <f>+VLOOKUP($L377,Data_Validation!$A:$D,1,0)</f>
        <v>646B</v>
      </c>
      <c r="U377" s="152" t="str">
        <f>+VLOOKUP($L377,Data_Validation!$A:$D,3,0)</f>
        <v>Véhicules usagés</v>
      </c>
      <c r="V377" s="152" t="str">
        <f>+VLOOKUP($L377,Data_Validation!$A:$D,4,0)</f>
        <v>Non Certifié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667</v>
      </c>
      <c r="B378" s="685" t="s">
        <v>668</v>
      </c>
      <c r="C378" s="687">
        <v>156838.45000000001</v>
      </c>
      <c r="D378" s="687">
        <v>327421.71000000002</v>
      </c>
      <c r="E378" s="687">
        <v>484260.16</v>
      </c>
      <c r="F378" s="685" t="s">
        <v>2014</v>
      </c>
      <c r="G378" s="685" t="s">
        <v>629</v>
      </c>
      <c r="H378" s="595" t="s">
        <v>3074</v>
      </c>
      <c r="I378" s="594"/>
      <c r="J378" s="594"/>
      <c r="K378" s="594"/>
      <c r="L378" s="149" t="str">
        <f t="shared" si="25"/>
        <v>647</v>
      </c>
      <c r="M378" s="150" t="str">
        <f t="shared" si="26"/>
        <v>C/V - X5 M</v>
      </c>
      <c r="N378" s="151">
        <f>+IF(OR($Q378=Parametres!$G$2,$Q378=Parametres!$G$3),I378,C378)</f>
        <v>156838.45000000001</v>
      </c>
      <c r="O378" s="151">
        <f>+IF(OR($Q378=Parametres!$G$2,$Q378=Parametres!$G$3),J378,D378)</f>
        <v>327421.71000000002</v>
      </c>
      <c r="P378" s="151">
        <f>+IF(OR($Q378=Parametres!$G$2,$Q378=Parametres!$G$3),K378,E378)</f>
        <v>484260.16</v>
      </c>
      <c r="Q378" s="150" t="str">
        <f t="shared" si="27"/>
        <v>6-Coût des ventes</v>
      </c>
      <c r="R378" s="149" t="str">
        <f t="shared" si="28"/>
        <v>447</v>
      </c>
      <c r="S378" s="150" t="str">
        <f t="shared" si="29"/>
        <v>_</v>
      </c>
      <c r="T378" s="152" t="str">
        <f>+VLOOKUP($L378,Data_Validation!$A:$D,1,0)</f>
        <v>647</v>
      </c>
      <c r="U378" s="152" t="str">
        <f>+VLOOKUP($L378,Data_Validation!$A:$D,3,0)</f>
        <v>Véhicules neufs</v>
      </c>
      <c r="V378" s="152" t="str">
        <f>+VLOOKUP($L378,Data_Validation!$A:$D,4,0)</f>
        <v>Camions détail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1437</v>
      </c>
      <c r="B379" s="685" t="s">
        <v>986</v>
      </c>
      <c r="C379" s="1038">
        <v>650942.47</v>
      </c>
      <c r="D379" s="1038">
        <v>31741.22</v>
      </c>
      <c r="E379" s="1038">
        <v>682683.69</v>
      </c>
      <c r="F379" s="685" t="s">
        <v>2014</v>
      </c>
      <c r="G379" s="685" t="s">
        <v>400</v>
      </c>
      <c r="H379" s="686" t="s">
        <v>3074</v>
      </c>
      <c r="I379" s="687"/>
      <c r="J379" s="687"/>
      <c r="K379" s="687"/>
      <c r="L379" s="149" t="str">
        <f t="shared" si="25"/>
        <v>648</v>
      </c>
      <c r="M379" s="150" t="str">
        <f t="shared" si="26"/>
        <v>C/V - RACHAT LOCATION BMW</v>
      </c>
      <c r="N379" s="151">
        <f>+IF(OR($Q379=Parametres!$G$2,$Q379=Parametres!$G$3),I379,C379)</f>
        <v>650942.47</v>
      </c>
      <c r="O379" s="151">
        <f>+IF(OR($Q379=Parametres!$G$2,$Q379=Parametres!$G$3),J379,D379)</f>
        <v>31741.22</v>
      </c>
      <c r="P379" s="151">
        <f>+IF(OR($Q379=Parametres!$G$2,$Q379=Parametres!$G$3),K379,E379)</f>
        <v>682683.69</v>
      </c>
      <c r="Q379" s="150" t="str">
        <f t="shared" si="27"/>
        <v>6-Coût des ventes</v>
      </c>
      <c r="R379" s="149" t="str">
        <f t="shared" si="28"/>
        <v>448</v>
      </c>
      <c r="S379" s="150" t="str">
        <f t="shared" si="29"/>
        <v>_</v>
      </c>
      <c r="T379" s="152" t="str">
        <f>+VLOOKUP($L379,Data_Validation!$A:$D,1,0)</f>
        <v>648</v>
      </c>
      <c r="U379" s="152" t="str">
        <f>+VLOOKUP($L379,Data_Validation!$A:$D,3,0)</f>
        <v>Véhicules neufs</v>
      </c>
      <c r="V379" s="152" t="str">
        <f>+VLOOKUP($L379,Data_Validation!$A:$D,4,0)</f>
        <v>Rachat bail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1672</v>
      </c>
      <c r="B380" s="685" t="s">
        <v>911</v>
      </c>
      <c r="C380" s="687">
        <v>80332.55</v>
      </c>
      <c r="D380" s="687">
        <v>7824.14</v>
      </c>
      <c r="E380" s="687">
        <v>88156.69</v>
      </c>
      <c r="F380" s="685" t="s">
        <v>2014</v>
      </c>
      <c r="G380" s="685" t="s">
        <v>418</v>
      </c>
      <c r="H380" s="641" t="s">
        <v>3074</v>
      </c>
      <c r="I380" s="640"/>
      <c r="J380" s="640"/>
      <c r="K380" s="640"/>
      <c r="L380" s="149" t="str">
        <f t="shared" si="25"/>
        <v>648A</v>
      </c>
      <c r="M380" s="150" t="str">
        <f t="shared" si="26"/>
        <v>C/V - RECOND. BMW CAMION CERT</v>
      </c>
      <c r="N380" s="151">
        <f>+IF(OR($Q380=Parametres!$G$2,$Q380=Parametres!$G$3),I380,C380)</f>
        <v>80332.55</v>
      </c>
      <c r="O380" s="151">
        <f>+IF(OR($Q380=Parametres!$G$2,$Q380=Parametres!$G$3),J380,D380)</f>
        <v>7824.14</v>
      </c>
      <c r="P380" s="151">
        <f>+IF(OR($Q380=Parametres!$G$2,$Q380=Parametres!$G$3),K380,E380)</f>
        <v>88156.69</v>
      </c>
      <c r="Q380" s="150" t="str">
        <f t="shared" si="27"/>
        <v>6-Coût des ventes</v>
      </c>
      <c r="R380" s="149" t="str">
        <f t="shared" si="28"/>
        <v>446A</v>
      </c>
      <c r="S380" s="150" t="str">
        <f t="shared" si="29"/>
        <v>_</v>
      </c>
      <c r="T380" s="152" t="str">
        <f>+VLOOKUP($L380,Data_Validation!$A:$D,1,0)</f>
        <v>648A</v>
      </c>
      <c r="U380" s="152" t="str">
        <f>+VLOOKUP($L380,Data_Validation!$A:$D,3,0)</f>
        <v>Véhicules usagés</v>
      </c>
      <c r="V380" s="152" t="str">
        <f>+VLOOKUP($L380,Data_Validation!$A:$D,4,0)</f>
        <v>Certifié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1733</v>
      </c>
      <c r="B381" s="685" t="s">
        <v>917</v>
      </c>
      <c r="C381" s="687">
        <v>8423.85</v>
      </c>
      <c r="D381" s="687">
        <v>6727.95</v>
      </c>
      <c r="E381" s="687">
        <v>15151.8</v>
      </c>
      <c r="F381" s="685" t="s">
        <v>2014</v>
      </c>
      <c r="G381" s="685" t="s">
        <v>404</v>
      </c>
      <c r="H381" s="634" t="s">
        <v>3074</v>
      </c>
      <c r="I381" s="633"/>
      <c r="J381" s="633"/>
      <c r="K381" s="633"/>
      <c r="L381" s="149" t="str">
        <f t="shared" si="25"/>
        <v>648B</v>
      </c>
      <c r="M381" s="150" t="str">
        <f t="shared" si="26"/>
        <v>C/V - RECOND. BMW CAMION NON-CERT</v>
      </c>
      <c r="N381" s="151">
        <f>+IF(OR($Q381=Parametres!$G$2,$Q381=Parametres!$G$3),I381,C381)</f>
        <v>8423.85</v>
      </c>
      <c r="O381" s="151">
        <f>+IF(OR($Q381=Parametres!$G$2,$Q381=Parametres!$G$3),J381,D381)</f>
        <v>6727.95</v>
      </c>
      <c r="P381" s="151">
        <f>+IF(OR($Q381=Parametres!$G$2,$Q381=Parametres!$G$3),K381,E381)</f>
        <v>15151.8</v>
      </c>
      <c r="Q381" s="150" t="str">
        <f t="shared" si="27"/>
        <v>6-Coût des ventes</v>
      </c>
      <c r="R381" s="149" t="str">
        <f t="shared" si="28"/>
        <v>446B</v>
      </c>
      <c r="S381" s="150" t="str">
        <f t="shared" si="29"/>
        <v>_</v>
      </c>
      <c r="T381" s="152" t="str">
        <f>+VLOOKUP($L381,Data_Validation!$A:$D,1,0)</f>
        <v>648B</v>
      </c>
      <c r="U381" s="152" t="str">
        <f>+VLOOKUP($L381,Data_Validation!$A:$D,3,0)</f>
        <v>Véhicules usagés</v>
      </c>
      <c r="V381" s="152" t="str">
        <f>+VLOOKUP($L381,Data_Validation!$A:$D,4,0)</f>
        <v>Non Certifié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1646</v>
      </c>
      <c r="B382" s="685" t="s">
        <v>1647</v>
      </c>
      <c r="C382" s="1038">
        <v>2489</v>
      </c>
      <c r="D382" s="1038">
        <v>0</v>
      </c>
      <c r="E382" s="1038">
        <v>2489</v>
      </c>
      <c r="F382" s="685" t="s">
        <v>2014</v>
      </c>
      <c r="G382" s="685" t="s">
        <v>1012</v>
      </c>
      <c r="H382" s="686" t="s">
        <v>3074</v>
      </c>
      <c r="I382" s="687"/>
      <c r="J382" s="687"/>
      <c r="K382" s="687"/>
      <c r="L382" s="149" t="str">
        <f t="shared" si="25"/>
        <v>650</v>
      </c>
      <c r="M382" s="150" t="str">
        <f t="shared" si="26"/>
        <v>C/V - MARQUAGE OTOPROTEC USAGE BMW CERT</v>
      </c>
      <c r="N382" s="151">
        <f>+IF(OR($Q382=Parametres!$G$2,$Q382=Parametres!$G$3),I382,C382)</f>
        <v>2489</v>
      </c>
      <c r="O382" s="151">
        <f>+IF(OR($Q382=Parametres!$G$2,$Q382=Parametres!$G$3),J382,D382)</f>
        <v>0</v>
      </c>
      <c r="P382" s="151">
        <f>+IF(OR($Q382=Parametres!$G$2,$Q382=Parametres!$G$3),K382,E382)</f>
        <v>2489</v>
      </c>
      <c r="Q382" s="150" t="str">
        <f t="shared" si="27"/>
        <v>6-Coût des ventes</v>
      </c>
      <c r="R382" s="149" t="str">
        <f t="shared" si="28"/>
        <v>450</v>
      </c>
      <c r="S382" s="150" t="str">
        <f t="shared" si="29"/>
        <v>_</v>
      </c>
      <c r="T382" s="152" t="str">
        <f>+VLOOKUP($L382,Data_Validation!$A:$D,1,0)</f>
        <v>650</v>
      </c>
      <c r="U382" s="152" t="str">
        <f>+VLOOKUP($L382,Data_Validation!$A:$D,3,0)</f>
        <v>Véhicules usagés</v>
      </c>
      <c r="V382" s="152" t="str">
        <f>+VLOOKUP($L382,Data_Validation!$A:$D,4,0)</f>
        <v>Rev.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1439</v>
      </c>
      <c r="B383" s="685" t="s">
        <v>669</v>
      </c>
      <c r="C383" s="1038">
        <v>7212</v>
      </c>
      <c r="D383" s="1038">
        <v>0</v>
      </c>
      <c r="E383" s="1038">
        <v>7212</v>
      </c>
      <c r="F383" s="685" t="s">
        <v>2014</v>
      </c>
      <c r="G383" s="685" t="s">
        <v>1012</v>
      </c>
      <c r="H383" s="686" t="s">
        <v>3074</v>
      </c>
      <c r="I383" s="687"/>
      <c r="J383" s="687"/>
      <c r="K383" s="687"/>
      <c r="L383" s="149" t="str">
        <f t="shared" si="25"/>
        <v>650C</v>
      </c>
      <c r="M383" s="150" t="str">
        <f t="shared" si="26"/>
        <v>C/V - ACCESSOIRES USAGE BMW CERT</v>
      </c>
      <c r="N383" s="151">
        <f>+IF(OR($Q383=Parametres!$G$2,$Q383=Parametres!$G$3),I383,C383)</f>
        <v>7212</v>
      </c>
      <c r="O383" s="151">
        <f>+IF(OR($Q383=Parametres!$G$2,$Q383=Parametres!$G$3),J383,D383)</f>
        <v>0</v>
      </c>
      <c r="P383" s="151">
        <f>+IF(OR($Q383=Parametres!$G$2,$Q383=Parametres!$G$3),K383,E383)</f>
        <v>7212</v>
      </c>
      <c r="Q383" s="150" t="str">
        <f t="shared" si="27"/>
        <v>6-Coût des ventes</v>
      </c>
      <c r="R383" s="149" t="str">
        <f t="shared" si="28"/>
        <v>450</v>
      </c>
      <c r="S383" s="150" t="str">
        <f t="shared" si="29"/>
        <v>_</v>
      </c>
      <c r="T383" s="152" t="str">
        <f>+VLOOKUP($L383,Data_Validation!$A:$D,1,0)</f>
        <v>650C</v>
      </c>
      <c r="U383" s="152" t="str">
        <f>+VLOOKUP($L383,Data_Validation!$A:$D,3,0)</f>
        <v>Véhicules usagés</v>
      </c>
      <c r="V383" s="152" t="str">
        <f>+VLOOKUP($L383,Data_Validation!$A:$D,4,0)</f>
        <v>Rev.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1687</v>
      </c>
      <c r="B384" s="685" t="s">
        <v>1032</v>
      </c>
      <c r="C384" s="687">
        <v>3450</v>
      </c>
      <c r="D384" s="687">
        <v>0</v>
      </c>
      <c r="E384" s="687">
        <v>3450</v>
      </c>
      <c r="F384" s="685" t="s">
        <v>2014</v>
      </c>
      <c r="G384" s="685" t="s">
        <v>1012</v>
      </c>
      <c r="H384" s="593" t="s">
        <v>3074</v>
      </c>
      <c r="I384" s="153"/>
      <c r="J384" s="153"/>
      <c r="K384" s="153"/>
      <c r="L384" s="149" t="str">
        <f t="shared" si="25"/>
        <v>650E</v>
      </c>
      <c r="M384" s="150" t="str">
        <f t="shared" si="26"/>
        <v>C/V - PROTEC ESTHETIQUE USAGE BMW CERT</v>
      </c>
      <c r="N384" s="151">
        <f>+IF(OR($Q384=Parametres!$G$2,$Q384=Parametres!$G$3),I384,C384)</f>
        <v>3450</v>
      </c>
      <c r="O384" s="151">
        <f>+IF(OR($Q384=Parametres!$G$2,$Q384=Parametres!$G$3),J384,D384)</f>
        <v>0</v>
      </c>
      <c r="P384" s="151">
        <f>+IF(OR($Q384=Parametres!$G$2,$Q384=Parametres!$G$3),K384,E384)</f>
        <v>3450</v>
      </c>
      <c r="Q384" s="150" t="str">
        <f t="shared" si="27"/>
        <v>6-Coût des ventes</v>
      </c>
      <c r="R384" s="149" t="str">
        <f t="shared" si="28"/>
        <v>450</v>
      </c>
      <c r="S384" s="150" t="str">
        <f t="shared" si="29"/>
        <v>_</v>
      </c>
      <c r="T384" s="152" t="str">
        <f>+VLOOKUP($L384,Data_Validation!$A:$D,1,0)</f>
        <v>650E</v>
      </c>
      <c r="U384" s="152" t="str">
        <f>+VLOOKUP($L384,Data_Validation!$A:$D,3,0)</f>
        <v>Véhicules usagés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2019</v>
      </c>
      <c r="B385" s="639" t="s">
        <v>2020</v>
      </c>
      <c r="C385" s="640">
        <v>1154</v>
      </c>
      <c r="D385" s="640">
        <v>0</v>
      </c>
      <c r="E385" s="640">
        <v>1154</v>
      </c>
      <c r="F385" s="639" t="s">
        <v>2014</v>
      </c>
      <c r="G385" s="639" t="s">
        <v>1012</v>
      </c>
      <c r="H385" s="634" t="s">
        <v>3074</v>
      </c>
      <c r="I385" s="633"/>
      <c r="J385" s="633"/>
      <c r="K385" s="633"/>
      <c r="L385" s="149" t="str">
        <f t="shared" si="25"/>
        <v>650R</v>
      </c>
      <c r="M385" s="150" t="str">
        <f t="shared" si="26"/>
        <v>C/V - ASS. REMP. USAGE BMW CERT</v>
      </c>
      <c r="N385" s="151">
        <f>+IF(OR($Q385=Parametres!$G$2,$Q385=Parametres!$G$3),I385,C385)</f>
        <v>1154</v>
      </c>
      <c r="O385" s="151">
        <f>+IF(OR($Q385=Parametres!$G$2,$Q385=Parametres!$G$3),J385,D385)</f>
        <v>0</v>
      </c>
      <c r="P385" s="151">
        <f>+IF(OR($Q385=Parametres!$G$2,$Q385=Parametres!$G$3),K385,E385)</f>
        <v>1154</v>
      </c>
      <c r="Q385" s="150" t="str">
        <f t="shared" si="27"/>
        <v>6-Coût des ventes</v>
      </c>
      <c r="R385" s="149" t="str">
        <f t="shared" si="28"/>
        <v>450</v>
      </c>
      <c r="S385" s="150" t="str">
        <f t="shared" si="29"/>
        <v>_</v>
      </c>
      <c r="T385" s="152" t="str">
        <f>+VLOOKUP($L385,Data_Validation!$A:$D,1,0)</f>
        <v>650R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3109</v>
      </c>
      <c r="B386" s="685" t="s">
        <v>1228</v>
      </c>
      <c r="C386" s="687">
        <v>319.2</v>
      </c>
      <c r="D386" s="687">
        <v>0</v>
      </c>
      <c r="E386" s="687">
        <v>319.2</v>
      </c>
      <c r="F386" s="685" t="s">
        <v>2014</v>
      </c>
      <c r="G386" s="685" t="s">
        <v>1012</v>
      </c>
      <c r="H386" s="634" t="s">
        <v>3074</v>
      </c>
      <c r="I386" s="633"/>
      <c r="J386" s="633"/>
      <c r="K386" s="633"/>
      <c r="L386" s="149" t="str">
        <f t="shared" ref="L386:L449" si="30">+B386</f>
        <v>650T</v>
      </c>
      <c r="M386" s="150" t="str">
        <f t="shared" ref="M386:M449" si="31">+A386</f>
        <v>C/V - TRAITEMENT PROTECTION USAGE BMW CERT</v>
      </c>
      <c r="N386" s="151">
        <f>+IF(OR($Q386=Parametres!$G$2,$Q386=Parametres!$G$3),I386,C386)</f>
        <v>319.2</v>
      </c>
      <c r="O386" s="496">
        <f>+IF(OR($Q386=Parametres!$G$2,$Q386=Parametres!$G$3),J386,D386)</f>
        <v>0</v>
      </c>
      <c r="P386" s="151">
        <f>+IF(OR($Q386=Parametres!$G$2,$Q386=Parametres!$G$3),K386,E386)</f>
        <v>319.2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 t="str">
        <f t="shared" ref="S386:S449" si="34">+H386</f>
        <v>_</v>
      </c>
      <c r="T386" s="152" t="str">
        <f>+VLOOKUP($L386,Data_Validation!$A:$D,1,0)</f>
        <v>650T</v>
      </c>
      <c r="U386" s="152" t="str">
        <f>+VLOOKUP($L386,Data_Validation!$A:$D,3,0)</f>
        <v>Véhicules usagés</v>
      </c>
      <c r="V386" s="152" t="str">
        <f>+VLOOKUP($L386,Data_Validation!$A:$D,4,0)</f>
        <v>Rev.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1446</v>
      </c>
      <c r="B387" s="685" t="s">
        <v>1447</v>
      </c>
      <c r="C387" s="687">
        <v>213</v>
      </c>
      <c r="D387" s="687">
        <v>0</v>
      </c>
      <c r="E387" s="687">
        <v>213</v>
      </c>
      <c r="F387" s="685" t="s">
        <v>2014</v>
      </c>
      <c r="G387" s="685" t="s">
        <v>374</v>
      </c>
      <c r="H387" s="641" t="s">
        <v>3074</v>
      </c>
      <c r="I387" s="640"/>
      <c r="J387" s="640"/>
      <c r="K387" s="640"/>
      <c r="L387" s="149" t="str">
        <f t="shared" si="30"/>
        <v>651</v>
      </c>
      <c r="M387" s="150" t="str">
        <f t="shared" si="31"/>
        <v>C/V - MARQUAGE OTOPROTEC USAGE AUTRE</v>
      </c>
      <c r="N387" s="151">
        <f>+IF(OR($Q387=Parametres!$G$2,$Q387=Parametres!$G$3),I387,C387)</f>
        <v>213</v>
      </c>
      <c r="O387" s="151">
        <f>+IF(OR($Q387=Parametres!$G$2,$Q387=Parametres!$G$3),J387,D387)</f>
        <v>0</v>
      </c>
      <c r="P387" s="151">
        <f>+IF(OR($Q387=Parametres!$G$2,$Q387=Parametres!$G$3),K387,E387)</f>
        <v>213</v>
      </c>
      <c r="Q387" s="150" t="str">
        <f t="shared" si="32"/>
        <v>6-Coût des ventes</v>
      </c>
      <c r="R387" s="149" t="str">
        <f t="shared" si="33"/>
        <v>451</v>
      </c>
      <c r="S387" s="150" t="str">
        <f t="shared" si="34"/>
        <v>_</v>
      </c>
      <c r="T387" s="152" t="str">
        <f>+VLOOKUP($L387,Data_Validation!$A:$D,1,0)</f>
        <v>651</v>
      </c>
      <c r="U387" s="152" t="str">
        <f>+VLOOKUP($L387,Data_Validation!$A:$D,3,0)</f>
        <v>Véhicules usagés</v>
      </c>
      <c r="V387" s="152" t="str">
        <f>+VLOOKUP($L387,Data_Validation!$A:$D,4,0)</f>
        <v>Rev. Autres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2104</v>
      </c>
      <c r="B388" s="685" t="s">
        <v>2103</v>
      </c>
      <c r="C388" s="687">
        <v>2699.95</v>
      </c>
      <c r="D388" s="687">
        <v>0</v>
      </c>
      <c r="E388" s="687">
        <v>2699.95</v>
      </c>
      <c r="F388" s="685" t="s">
        <v>2014</v>
      </c>
      <c r="G388" s="685" t="s">
        <v>374</v>
      </c>
      <c r="H388" s="641" t="s">
        <v>3074</v>
      </c>
      <c r="I388" s="640"/>
      <c r="J388" s="640"/>
      <c r="K388" s="640"/>
      <c r="L388" s="149" t="str">
        <f t="shared" si="30"/>
        <v>651C</v>
      </c>
      <c r="M388" s="150" t="str">
        <f t="shared" si="31"/>
        <v>C/V - ACCESSOIRES USAGE AUTRE</v>
      </c>
      <c r="N388" s="151">
        <f>+IF(OR($Q388=Parametres!$G$2,$Q388=Parametres!$G$3),I388,C388)</f>
        <v>2699.95</v>
      </c>
      <c r="O388" s="151">
        <f>+IF(OR($Q388=Parametres!$G$2,$Q388=Parametres!$G$3),J388,D388)</f>
        <v>0</v>
      </c>
      <c r="P388" s="151">
        <f>+IF(OR($Q388=Parametres!$G$2,$Q388=Parametres!$G$3),K388,E388)</f>
        <v>2699.95</v>
      </c>
      <c r="Q388" s="150" t="str">
        <f t="shared" si="32"/>
        <v>6-Coût des ventes</v>
      </c>
      <c r="R388" s="149" t="str">
        <f t="shared" si="33"/>
        <v>451</v>
      </c>
      <c r="S388" s="150" t="str">
        <f t="shared" si="34"/>
        <v>_</v>
      </c>
      <c r="T388" s="152" t="str">
        <f>+VLOOKUP($L388,Data_Validation!$A:$D,1,0)</f>
        <v>651C</v>
      </c>
      <c r="U388" s="152" t="str">
        <f>+VLOOKUP($L388,Data_Validation!$A:$D,3,0)</f>
        <v>Véhicules usagés</v>
      </c>
      <c r="V388" s="152" t="str">
        <f>+VLOOKUP($L388,Data_Validation!$A:$D,4,0)</f>
        <v>Rev. Autres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3110</v>
      </c>
      <c r="B389" s="685" t="s">
        <v>1450</v>
      </c>
      <c r="C389" s="687">
        <v>851.21</v>
      </c>
      <c r="D389" s="687">
        <v>0</v>
      </c>
      <c r="E389" s="687">
        <v>851.21</v>
      </c>
      <c r="F389" s="685" t="s">
        <v>2014</v>
      </c>
      <c r="G389" s="685" t="s">
        <v>374</v>
      </c>
      <c r="H389" s="641" t="s">
        <v>3074</v>
      </c>
      <c r="I389" s="641"/>
      <c r="J389" s="641"/>
      <c r="K389" s="641"/>
      <c r="L389" s="149" t="str">
        <f t="shared" si="30"/>
        <v>651T</v>
      </c>
      <c r="M389" s="150" t="str">
        <f t="shared" si="31"/>
        <v>C/V - TRAITEMENT PROTECTION USAGE AUTRE</v>
      </c>
      <c r="N389" s="151">
        <f>+IF(OR($Q389=Parametres!$G$2,$Q389=Parametres!$G$3),I389,C389)</f>
        <v>851.21</v>
      </c>
      <c r="O389" s="151">
        <f>+IF(OR($Q389=Parametres!$G$2,$Q389=Parametres!$G$3),J389,D389)</f>
        <v>0</v>
      </c>
      <c r="P389" s="151">
        <f>+IF(OR($Q389=Parametres!$G$2,$Q389=Parametres!$G$3),K389,E389)</f>
        <v>851.21</v>
      </c>
      <c r="Q389" s="150" t="str">
        <f t="shared" si="32"/>
        <v>6-Coût des ventes</v>
      </c>
      <c r="R389" s="149" t="str">
        <f t="shared" si="33"/>
        <v>451</v>
      </c>
      <c r="S389" s="150" t="str">
        <f t="shared" si="34"/>
        <v>_</v>
      </c>
      <c r="T389" s="152" t="str">
        <f>+VLOOKUP($L389,Data_Validation!$A:$D,1,0)</f>
        <v>651T</v>
      </c>
      <c r="U389" s="152" t="str">
        <f>+VLOOKUP($L389,Data_Validation!$A:$D,3,0)</f>
        <v>Véhicules usagés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1815</v>
      </c>
      <c r="B390" s="685" t="s">
        <v>964</v>
      </c>
      <c r="C390" s="687">
        <v>49276</v>
      </c>
      <c r="D390" s="687">
        <v>3105</v>
      </c>
      <c r="E390" s="687">
        <v>52381</v>
      </c>
      <c r="F390" s="685" t="s">
        <v>2014</v>
      </c>
      <c r="G390" s="685" t="s">
        <v>368</v>
      </c>
      <c r="H390" s="641" t="s">
        <v>3074</v>
      </c>
      <c r="I390" s="640"/>
      <c r="J390" s="640"/>
      <c r="K390" s="640"/>
      <c r="L390" s="149" t="str">
        <f t="shared" si="30"/>
        <v>652</v>
      </c>
      <c r="M390" s="150" t="str">
        <f t="shared" si="31"/>
        <v>C/V - GAR PROL USAGE BMW CERT</v>
      </c>
      <c r="N390" s="151">
        <f>+IF(OR($Q390=Parametres!$G$2,$Q390=Parametres!$G$3),I390,C390)</f>
        <v>49276</v>
      </c>
      <c r="O390" s="151">
        <f>+IF(OR($Q390=Parametres!$G$2,$Q390=Parametres!$G$3),J390,D390)</f>
        <v>3105</v>
      </c>
      <c r="P390" s="151">
        <f>+IF(OR($Q390=Parametres!$G$2,$Q390=Parametres!$G$3),K390,E390)</f>
        <v>52381</v>
      </c>
      <c r="Q390" s="150" t="str">
        <f t="shared" si="32"/>
        <v>6-Coût des ventes</v>
      </c>
      <c r="R390" s="149" t="str">
        <f t="shared" si="33"/>
        <v>452</v>
      </c>
      <c r="S390" s="150" t="str">
        <f t="shared" si="34"/>
        <v>_</v>
      </c>
      <c r="T390" s="152" t="str">
        <f>+VLOOKUP($L390,Data_Validation!$A:$D,1,0)</f>
        <v>652</v>
      </c>
      <c r="U390" s="152" t="str">
        <f>+VLOOKUP($L390,Data_Validation!$A:$D,3,0)</f>
        <v>Véhicules usagés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1451</v>
      </c>
      <c r="B391" s="685" t="s">
        <v>670</v>
      </c>
      <c r="C391" s="687">
        <v>79307.199999999997</v>
      </c>
      <c r="D391" s="687">
        <v>0</v>
      </c>
      <c r="E391" s="687">
        <v>79307.199999999997</v>
      </c>
      <c r="F391" s="685" t="s">
        <v>2014</v>
      </c>
      <c r="G391" s="685" t="s">
        <v>631</v>
      </c>
      <c r="H391" s="641" t="s">
        <v>3074</v>
      </c>
      <c r="I391" s="640"/>
      <c r="J391" s="640"/>
      <c r="K391" s="640"/>
      <c r="L391" s="149" t="str">
        <f t="shared" si="30"/>
        <v>652A</v>
      </c>
      <c r="M391" s="150" t="str">
        <f t="shared" si="31"/>
        <v>C/V - Z4 30I XDR</v>
      </c>
      <c r="N391" s="151">
        <f>+IF(OR($Q391=Parametres!$G$2,$Q391=Parametres!$G$3),I391,C391)</f>
        <v>79307.199999999997</v>
      </c>
      <c r="O391" s="151">
        <f>+IF(OR($Q391=Parametres!$G$2,$Q391=Parametres!$G$3),J391,D391)</f>
        <v>0</v>
      </c>
      <c r="P391" s="151">
        <f>+IF(OR($Q391=Parametres!$G$2,$Q391=Parametres!$G$3),K391,E391)</f>
        <v>79307.199999999997</v>
      </c>
      <c r="Q391" s="150" t="str">
        <f t="shared" si="32"/>
        <v>6-Coût des ventes</v>
      </c>
      <c r="R391" s="149" t="str">
        <f t="shared" si="33"/>
        <v>452A</v>
      </c>
      <c r="S391" s="150" t="str">
        <f t="shared" si="34"/>
        <v>_</v>
      </c>
      <c r="T391" s="152" t="str">
        <f>+VLOOKUP($L391,Data_Validation!$A:$D,1,0)</f>
        <v>652A</v>
      </c>
      <c r="U391" s="152" t="str">
        <f>+VLOOKUP($L391,Data_Validation!$A:$D,3,0)</f>
        <v>Véhicules neufs</v>
      </c>
      <c r="V391" s="152" t="str">
        <f>+VLOOKUP($L391,Data_Validation!$A:$D,4,0)</f>
        <v>Autos détail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671</v>
      </c>
      <c r="B392" s="685" t="s">
        <v>672</v>
      </c>
      <c r="C392" s="687">
        <v>637144.98</v>
      </c>
      <c r="D392" s="687">
        <v>0</v>
      </c>
      <c r="E392" s="687">
        <v>637144.98</v>
      </c>
      <c r="F392" s="685" t="s">
        <v>2014</v>
      </c>
      <c r="G392" s="685" t="s">
        <v>633</v>
      </c>
      <c r="H392" s="641" t="s">
        <v>3074</v>
      </c>
      <c r="I392" s="640"/>
      <c r="J392" s="640"/>
      <c r="K392" s="640"/>
      <c r="L392" s="149" t="str">
        <f t="shared" si="30"/>
        <v>652B</v>
      </c>
      <c r="M392" s="150" t="str">
        <f t="shared" si="31"/>
        <v>C/V - Z4 M40I</v>
      </c>
      <c r="N392" s="151">
        <f>+IF(OR($Q392=Parametres!$G$2,$Q392=Parametres!$G$3),I392,C392)</f>
        <v>637144.98</v>
      </c>
      <c r="O392" s="151">
        <f>+IF(OR($Q392=Parametres!$G$2,$Q392=Parametres!$G$3),J392,D392)</f>
        <v>0</v>
      </c>
      <c r="P392" s="151">
        <f>+IF(OR($Q392=Parametres!$G$2,$Q392=Parametres!$G$3),K392,E392)</f>
        <v>637144.98</v>
      </c>
      <c r="Q392" s="150" t="str">
        <f t="shared" si="32"/>
        <v>6-Coût des ventes</v>
      </c>
      <c r="R392" s="149" t="str">
        <f t="shared" si="33"/>
        <v>452B</v>
      </c>
      <c r="S392" s="150" t="str">
        <f t="shared" si="34"/>
        <v>_</v>
      </c>
      <c r="T392" s="152" t="str">
        <f>+VLOOKUP($L392,Data_Validation!$A:$D,1,0)</f>
        <v>652B</v>
      </c>
      <c r="U392" s="152" t="str">
        <f>+VLOOKUP($L392,Data_Validation!$A:$D,3,0)</f>
        <v>Véhicules neufs</v>
      </c>
      <c r="V392" s="152" t="str">
        <f>+VLOOKUP($L392,Data_Validation!$A:$D,4,0)</f>
        <v>Autos détail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1988</v>
      </c>
      <c r="B393" s="685" t="s">
        <v>1989</v>
      </c>
      <c r="C393" s="687">
        <v>14263</v>
      </c>
      <c r="D393" s="687">
        <v>14407</v>
      </c>
      <c r="E393" s="687">
        <v>28670</v>
      </c>
      <c r="F393" s="685" t="s">
        <v>2014</v>
      </c>
      <c r="G393" s="685" t="s">
        <v>368</v>
      </c>
      <c r="H393" s="641" t="s">
        <v>3074</v>
      </c>
      <c r="I393" s="641"/>
      <c r="J393" s="641"/>
      <c r="K393" s="641"/>
      <c r="L393" s="149" t="str">
        <f t="shared" si="30"/>
        <v>652C</v>
      </c>
      <c r="M393" s="150" t="str">
        <f t="shared" si="31"/>
        <v>C/V - GAR PROL USAGE BMW NON-CERT</v>
      </c>
      <c r="N393" s="151">
        <f>+IF(OR($Q393=Parametres!$G$2,$Q393=Parametres!$G$3),I393,C393)</f>
        <v>14263</v>
      </c>
      <c r="O393" s="151">
        <f>+IF(OR($Q393=Parametres!$G$2,$Q393=Parametres!$G$3),J393,D393)</f>
        <v>14407</v>
      </c>
      <c r="P393" s="151">
        <f>+IF(OR($Q393=Parametres!$G$2,$Q393=Parametres!$G$3),K393,E393)</f>
        <v>28670</v>
      </c>
      <c r="Q393" s="150" t="str">
        <f t="shared" si="32"/>
        <v>6-Coût des ventes</v>
      </c>
      <c r="R393" s="149" t="str">
        <f t="shared" si="33"/>
        <v>452</v>
      </c>
      <c r="S393" s="150" t="str">
        <f t="shared" si="34"/>
        <v>_</v>
      </c>
      <c r="T393" s="152" t="str">
        <f>+VLOOKUP($L393,Data_Validation!$A:$D,1,0)</f>
        <v>652C</v>
      </c>
      <c r="U393" s="152" t="str">
        <f>+VLOOKUP($L393,Data_Validation!$A:$D,3,0)</f>
        <v>Véhicules usagés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2369</v>
      </c>
      <c r="B394" s="685" t="s">
        <v>2370</v>
      </c>
      <c r="C394" s="687">
        <v>12170</v>
      </c>
      <c r="D394" s="687">
        <v>0</v>
      </c>
      <c r="E394" s="687">
        <v>12170</v>
      </c>
      <c r="F394" s="685" t="s">
        <v>2014</v>
      </c>
      <c r="G394" s="685" t="s">
        <v>2359</v>
      </c>
      <c r="H394" s="641" t="s">
        <v>3074</v>
      </c>
      <c r="I394" s="640"/>
      <c r="J394" s="640"/>
      <c r="K394" s="640"/>
      <c r="L394" s="149" t="str">
        <f t="shared" si="30"/>
        <v>654</v>
      </c>
      <c r="M394" s="150" t="str">
        <f t="shared" si="31"/>
        <v>C/V - CONT ENTRET USAGE BMW CERT</v>
      </c>
      <c r="N394" s="151">
        <f>+IF(OR($Q394=Parametres!$G$2,$Q394=Parametres!$G$3),I394,C394)</f>
        <v>12170</v>
      </c>
      <c r="O394" s="151">
        <f>+IF(OR($Q394=Parametres!$G$2,$Q394=Parametres!$G$3),J394,D394)</f>
        <v>0</v>
      </c>
      <c r="P394" s="151">
        <f>+IF(OR($Q394=Parametres!$G$2,$Q394=Parametres!$G$3),K394,E394)</f>
        <v>12170</v>
      </c>
      <c r="Q394" s="150" t="str">
        <f t="shared" si="32"/>
        <v>6-Coût des ventes</v>
      </c>
      <c r="R394" s="149" t="str">
        <f t="shared" si="33"/>
        <v>454</v>
      </c>
      <c r="S394" s="150" t="str">
        <f t="shared" si="34"/>
        <v>_</v>
      </c>
      <c r="T394" s="152" t="str">
        <f>+VLOOKUP($L394,Data_Validation!$A:$D,1,0)</f>
        <v>654</v>
      </c>
      <c r="U394" s="152" t="str">
        <f>+VLOOKUP($L394,Data_Validation!$A:$D,3,0)</f>
        <v>Véhicules usagés</v>
      </c>
      <c r="V394" s="152" t="str">
        <f>+VLOOKUP($L394,Data_Validation!$A:$D,4,0)</f>
        <v>Rev. Protections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2149</v>
      </c>
      <c r="B395" s="639" t="s">
        <v>2150</v>
      </c>
      <c r="C395" s="640">
        <v>38143</v>
      </c>
      <c r="D395" s="640">
        <v>2433</v>
      </c>
      <c r="E395" s="640">
        <v>40576</v>
      </c>
      <c r="F395" s="639" t="s">
        <v>2014</v>
      </c>
      <c r="G395" s="639" t="s">
        <v>1012</v>
      </c>
      <c r="H395" s="634" t="s">
        <v>3074</v>
      </c>
      <c r="I395" s="633"/>
      <c r="J395" s="633"/>
      <c r="K395" s="633"/>
      <c r="L395" s="149" t="str">
        <f t="shared" si="30"/>
        <v>654A</v>
      </c>
      <c r="M395" s="150" t="str">
        <f t="shared" si="31"/>
        <v>C/V - CONT ENTRET USAGE BMW NON-CERT</v>
      </c>
      <c r="N395" s="151">
        <f>+IF(OR($Q395=Parametres!$G$2,$Q395=Parametres!$G$3),I395,C395)</f>
        <v>38143</v>
      </c>
      <c r="O395" s="151">
        <f>+IF(OR($Q395=Parametres!$G$2,$Q395=Parametres!$G$3),J395,D395)</f>
        <v>2433</v>
      </c>
      <c r="P395" s="151">
        <f>+IF(OR($Q395=Parametres!$G$2,$Q395=Parametres!$G$3),K395,E395)</f>
        <v>40576</v>
      </c>
      <c r="Q395" s="150" t="str">
        <f t="shared" si="32"/>
        <v>6-Coût des ventes</v>
      </c>
      <c r="R395" s="149" t="str">
        <f t="shared" si="33"/>
        <v>450</v>
      </c>
      <c r="S395" s="150" t="str">
        <f t="shared" si="34"/>
        <v>_</v>
      </c>
      <c r="T395" s="152" t="str">
        <f>+VLOOKUP($L395,Data_Validation!$A:$D,1,0)</f>
        <v>654A</v>
      </c>
      <c r="U395" s="152" t="str">
        <f>+VLOOKUP($L395,Data_Validation!$A:$D,3,0)</f>
        <v>Véhicules usagés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2132</v>
      </c>
      <c r="B396" s="685" t="s">
        <v>2133</v>
      </c>
      <c r="C396" s="1038">
        <v>1400</v>
      </c>
      <c r="D396" s="1038">
        <v>0</v>
      </c>
      <c r="E396" s="1038">
        <v>1400</v>
      </c>
      <c r="F396" s="685" t="s">
        <v>2014</v>
      </c>
      <c r="G396" s="685" t="s">
        <v>1012</v>
      </c>
      <c r="H396" s="686" t="s">
        <v>3074</v>
      </c>
      <c r="I396" s="687"/>
      <c r="J396" s="687"/>
      <c r="K396" s="687"/>
      <c r="L396" s="149" t="str">
        <f t="shared" si="30"/>
        <v>654C</v>
      </c>
      <c r="M396" s="150" t="str">
        <f t="shared" si="31"/>
        <v>C/V - ACCESSOIRES USAGE BMW NON-CERT</v>
      </c>
      <c r="N396" s="151">
        <f>+IF(OR($Q396=Parametres!$G$2,$Q396=Parametres!$G$3),I396,C396)</f>
        <v>1400</v>
      </c>
      <c r="O396" s="151">
        <f>+IF(OR($Q396=Parametres!$G$2,$Q396=Parametres!$G$3),J396,D396)</f>
        <v>0</v>
      </c>
      <c r="P396" s="151">
        <f>+IF(OR($Q396=Parametres!$G$2,$Q396=Parametres!$G$3),K396,E396)</f>
        <v>1400</v>
      </c>
      <c r="Q396" s="150" t="str">
        <f t="shared" si="32"/>
        <v>6-Coût des ventes</v>
      </c>
      <c r="R396" s="149" t="str">
        <f t="shared" si="33"/>
        <v>450</v>
      </c>
      <c r="S396" s="150" t="str">
        <f t="shared" si="34"/>
        <v>_</v>
      </c>
      <c r="T396" s="152" t="str">
        <f>+VLOOKUP($L396,Data_Validation!$A:$D,1,0)</f>
        <v>654C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1955</v>
      </c>
      <c r="B397" s="639" t="s">
        <v>1956</v>
      </c>
      <c r="C397" s="640">
        <v>142</v>
      </c>
      <c r="D397" s="640">
        <v>0</v>
      </c>
      <c r="E397" s="640">
        <v>142</v>
      </c>
      <c r="F397" s="639" t="s">
        <v>2014</v>
      </c>
      <c r="G397" s="639" t="s">
        <v>1012</v>
      </c>
      <c r="H397" s="634" t="s">
        <v>3074</v>
      </c>
      <c r="I397" s="633"/>
      <c r="J397" s="633"/>
      <c r="K397" s="633"/>
      <c r="L397" s="149" t="str">
        <f t="shared" si="30"/>
        <v>654M</v>
      </c>
      <c r="M397" s="150" t="str">
        <f t="shared" si="31"/>
        <v>C/V - MARQUAGE OTOPROTEC USAGE BMW NON-CERT</v>
      </c>
      <c r="N397" s="151">
        <f>+IF(OR($Q397=Parametres!$G$2,$Q397=Parametres!$G$3),I397,C397)</f>
        <v>142</v>
      </c>
      <c r="O397" s="151">
        <f>+IF(OR($Q397=Parametres!$G$2,$Q397=Parametres!$G$3),J397,D397)</f>
        <v>0</v>
      </c>
      <c r="P397" s="151">
        <f>+IF(OR($Q397=Parametres!$G$2,$Q397=Parametres!$G$3),K397,E397)</f>
        <v>142</v>
      </c>
      <c r="Q397" s="150" t="str">
        <f t="shared" si="32"/>
        <v>6-Coût des ventes</v>
      </c>
      <c r="R397" s="149" t="str">
        <f t="shared" si="33"/>
        <v>450</v>
      </c>
      <c r="S397" s="150" t="str">
        <f t="shared" si="34"/>
        <v>_</v>
      </c>
      <c r="T397" s="152" t="str">
        <f>+VLOOKUP($L397,Data_Validation!$A:$D,1,0)</f>
        <v>654M</v>
      </c>
      <c r="U397" s="152" t="str">
        <f>+VLOOKUP($L397,Data_Validation!$A:$D,3,0)</f>
        <v>Véhicules usagés</v>
      </c>
      <c r="V397" s="152" t="str">
        <f>+VLOOKUP($L397,Data_Validation!$A:$D,4,0)</f>
        <v>Rev. Protections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3111</v>
      </c>
      <c r="B398" s="685" t="s">
        <v>2847</v>
      </c>
      <c r="C398" s="687">
        <v>400</v>
      </c>
      <c r="D398" s="687">
        <v>0</v>
      </c>
      <c r="E398" s="687">
        <v>400</v>
      </c>
      <c r="F398" s="685" t="s">
        <v>2014</v>
      </c>
      <c r="G398" s="685" t="s">
        <v>1012</v>
      </c>
      <c r="H398" s="641" t="s">
        <v>3074</v>
      </c>
      <c r="I398" s="640"/>
      <c r="J398" s="640"/>
      <c r="K398" s="640"/>
      <c r="L398" s="149" t="str">
        <f t="shared" si="30"/>
        <v>654T</v>
      </c>
      <c r="M398" s="150" t="str">
        <f t="shared" si="31"/>
        <v>C/V - TRAITEMENT PROTECTION USAGE BMW NON-CER</v>
      </c>
      <c r="N398" s="151">
        <f>+IF(OR($Q398=Parametres!$G$2,$Q398=Parametres!$G$3),I398,C398)</f>
        <v>400</v>
      </c>
      <c r="O398" s="151">
        <f>+IF(OR($Q398=Parametres!$G$2,$Q398=Parametres!$G$3),J398,D398)</f>
        <v>0</v>
      </c>
      <c r="P398" s="151">
        <f>+IF(OR($Q398=Parametres!$G$2,$Q398=Parametres!$G$3),K398,E398)</f>
        <v>400</v>
      </c>
      <c r="Q398" s="150" t="str">
        <f t="shared" si="32"/>
        <v>6-Coût des ventes</v>
      </c>
      <c r="R398" s="149" t="str">
        <f t="shared" si="33"/>
        <v>450</v>
      </c>
      <c r="S398" s="150" t="str">
        <f t="shared" si="34"/>
        <v>_</v>
      </c>
      <c r="T398" s="152" t="str">
        <f>+VLOOKUP($L398,Data_Validation!$A:$D,1,0)</f>
        <v>654T</v>
      </c>
      <c r="U398" s="152" t="str">
        <f>+VLOOKUP($L398,Data_Validation!$A:$D,3,0)</f>
        <v>Véhicules usagés</v>
      </c>
      <c r="V398" s="152" t="str">
        <f>+VLOOKUP($L398,Data_Validation!$A:$D,4,0)</f>
        <v>Rev. Autres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1452</v>
      </c>
      <c r="B399" s="685" t="s">
        <v>673</v>
      </c>
      <c r="C399" s="687">
        <v>2565</v>
      </c>
      <c r="D399" s="687">
        <v>0</v>
      </c>
      <c r="E399" s="687">
        <v>2565</v>
      </c>
      <c r="F399" s="685" t="s">
        <v>2014</v>
      </c>
      <c r="G399" s="685" t="s">
        <v>366</v>
      </c>
      <c r="H399" s="641" t="s">
        <v>3074</v>
      </c>
      <c r="I399" s="640"/>
      <c r="J399" s="640"/>
      <c r="K399" s="640"/>
      <c r="L399" s="149" t="str">
        <f t="shared" si="30"/>
        <v>655</v>
      </c>
      <c r="M399" s="150" t="str">
        <f t="shared" si="31"/>
        <v>C/V - GAR PROL USAGE AUTRE</v>
      </c>
      <c r="N399" s="151">
        <f>+IF(OR($Q399=Parametres!$G$2,$Q399=Parametres!$G$3),I399,C399)</f>
        <v>2565</v>
      </c>
      <c r="O399" s="151">
        <f>+IF(OR($Q399=Parametres!$G$2,$Q399=Parametres!$G$3),J399,D399)</f>
        <v>0</v>
      </c>
      <c r="P399" s="151">
        <f>+IF(OR($Q399=Parametres!$G$2,$Q399=Parametres!$G$3),K399,E399)</f>
        <v>2565</v>
      </c>
      <c r="Q399" s="150" t="str">
        <f t="shared" si="32"/>
        <v>6-Coût des ventes</v>
      </c>
      <c r="R399" s="149" t="str">
        <f t="shared" si="33"/>
        <v>455</v>
      </c>
      <c r="S399" s="150" t="str">
        <f t="shared" si="34"/>
        <v>_</v>
      </c>
      <c r="T399" s="152" t="str">
        <f>+VLOOKUP($L399,Data_Validation!$A:$D,1,0)</f>
        <v>655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1696</v>
      </c>
      <c r="B400" s="685" t="s">
        <v>844</v>
      </c>
      <c r="C400" s="687">
        <v>14372.77</v>
      </c>
      <c r="D400" s="687">
        <v>972.85</v>
      </c>
      <c r="E400" s="687">
        <v>15345.62</v>
      </c>
      <c r="F400" s="685" t="s">
        <v>2014</v>
      </c>
      <c r="G400" s="685" t="s">
        <v>450</v>
      </c>
      <c r="H400" s="641" t="s">
        <v>3074</v>
      </c>
      <c r="I400" s="640"/>
      <c r="J400" s="640"/>
      <c r="K400" s="640"/>
      <c r="L400" s="149" t="str">
        <f t="shared" si="30"/>
        <v>659A</v>
      </c>
      <c r="M400" s="150" t="str">
        <f t="shared" si="31"/>
        <v>C/V - BMW SPA PROGRAMME</v>
      </c>
      <c r="N400" s="151">
        <f>+IF(OR($Q400=Parametres!$G$2,$Q400=Parametres!$G$3),I400,C400)</f>
        <v>14372.77</v>
      </c>
      <c r="O400" s="151">
        <f>+IF(OR($Q400=Parametres!$G$2,$Q400=Parametres!$G$3),J400,D400)</f>
        <v>972.85</v>
      </c>
      <c r="P400" s="151">
        <f>+IF(OR($Q400=Parametres!$G$2,$Q400=Parametres!$G$3),K400,E400)</f>
        <v>15345.62</v>
      </c>
      <c r="Q400" s="150" t="str">
        <f t="shared" si="32"/>
        <v>6-Coût des ventes</v>
      </c>
      <c r="R400" s="149" t="str">
        <f t="shared" si="33"/>
        <v>459A</v>
      </c>
      <c r="S400" s="150" t="str">
        <f t="shared" si="34"/>
        <v>_</v>
      </c>
      <c r="T400" s="152" t="str">
        <f>+VLOOKUP($L400,Data_Validation!$A:$D,1,0)</f>
        <v>659A</v>
      </c>
      <c r="U400" s="152" t="str">
        <f>+VLOOKUP($L400,Data_Validation!$A:$D,3,0)</f>
        <v>service</v>
      </c>
      <c r="V400" s="152" t="str">
        <f>+VLOOKUP($L400,Data_Validation!$A:$D,4,0)</f>
        <v>M/O Esthétique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2191</v>
      </c>
      <c r="B401" s="685" t="s">
        <v>2192</v>
      </c>
      <c r="C401" s="687">
        <v>2030.35</v>
      </c>
      <c r="D401" s="687">
        <v>0</v>
      </c>
      <c r="E401" s="687">
        <v>2030.35</v>
      </c>
      <c r="F401" s="685" t="s">
        <v>2014</v>
      </c>
      <c r="G401" s="685" t="s">
        <v>450</v>
      </c>
      <c r="H401" s="641" t="s">
        <v>3074</v>
      </c>
      <c r="I401" s="640"/>
      <c r="J401" s="640"/>
      <c r="K401" s="640"/>
      <c r="L401" s="149" t="str">
        <f t="shared" si="30"/>
        <v>659B</v>
      </c>
      <c r="M401" s="150" t="str">
        <f t="shared" si="31"/>
        <v>C/V - SUBLET ESTHETIQUE</v>
      </c>
      <c r="N401" s="151">
        <f>+IF(OR($Q401=Parametres!$G$2,$Q401=Parametres!$G$3),I401,C401)</f>
        <v>2030.35</v>
      </c>
      <c r="O401" s="151">
        <f>+IF(OR($Q401=Parametres!$G$2,$Q401=Parametres!$G$3),J401,D401)</f>
        <v>0</v>
      </c>
      <c r="P401" s="151">
        <f>+IF(OR($Q401=Parametres!$G$2,$Q401=Parametres!$G$3),K401,E401)</f>
        <v>2030.35</v>
      </c>
      <c r="Q401" s="150" t="str">
        <f t="shared" si="32"/>
        <v>6-Coût des ventes</v>
      </c>
      <c r="R401" s="149" t="str">
        <f t="shared" si="33"/>
        <v>459A</v>
      </c>
      <c r="S401" s="150" t="str">
        <f t="shared" si="34"/>
        <v>_</v>
      </c>
      <c r="T401" s="152" t="str">
        <f>+VLOOKUP($L401,Data_Validation!$A:$D,1,0)</f>
        <v>659B</v>
      </c>
      <c r="U401" s="152" t="str">
        <f>+VLOOKUP($L401,Data_Validation!$A:$D,3,0)</f>
        <v>Service</v>
      </c>
      <c r="V401" s="152" t="str">
        <f>+VLOOKUP($L401,Data_Validation!$A:$D,4,0)</f>
        <v>M/O Esthétique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1746</v>
      </c>
      <c r="B402" s="639" t="s">
        <v>1747</v>
      </c>
      <c r="C402" s="640">
        <v>36645</v>
      </c>
      <c r="D402" s="640">
        <v>10491.51</v>
      </c>
      <c r="E402" s="640">
        <v>47136.51</v>
      </c>
      <c r="F402" s="639" t="s">
        <v>2014</v>
      </c>
      <c r="G402" s="639" t="s">
        <v>1116</v>
      </c>
      <c r="H402" s="634" t="s">
        <v>3074</v>
      </c>
      <c r="I402" s="633"/>
      <c r="J402" s="633"/>
      <c r="K402" s="633"/>
      <c r="L402" s="149" t="str">
        <f t="shared" si="30"/>
        <v>660A</v>
      </c>
      <c r="M402" s="150" t="str">
        <f t="shared" si="31"/>
        <v>C/V - M/O CLIENT BMW AUTO</v>
      </c>
      <c r="N402" s="151">
        <f>+IF(OR($Q402=Parametres!$G$2,$Q402=Parametres!$G$3),I402,C402)</f>
        <v>36645</v>
      </c>
      <c r="O402" s="151">
        <f>+IF(OR($Q402=Parametres!$G$2,$Q402=Parametres!$G$3),J402,D402)</f>
        <v>10491.51</v>
      </c>
      <c r="P402" s="151">
        <f>+IF(OR($Q402=Parametres!$G$2,$Q402=Parametres!$G$3),K402,E402)</f>
        <v>47136.51</v>
      </c>
      <c r="Q402" s="150" t="str">
        <f t="shared" si="32"/>
        <v>6-Coût des ventes</v>
      </c>
      <c r="R402" s="149" t="str">
        <f t="shared" si="33"/>
        <v>460A</v>
      </c>
      <c r="S402" s="150" t="str">
        <f t="shared" si="34"/>
        <v>_</v>
      </c>
      <c r="T402" s="152" t="str">
        <f>+VLOOKUP($L402,Data_Validation!$A:$D,1,0)</f>
        <v>660A</v>
      </c>
      <c r="U402" s="152" t="str">
        <f>+VLOOKUP($L402,Data_Validation!$A:$D,3,0)</f>
        <v>service</v>
      </c>
      <c r="V402" s="152" t="str">
        <f>+VLOOKUP($L402,Data_Validation!$A:$D,4,0)</f>
        <v>M/O Client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1735</v>
      </c>
      <c r="B403" s="639" t="s">
        <v>967</v>
      </c>
      <c r="C403" s="640">
        <v>48962.79</v>
      </c>
      <c r="D403" s="640">
        <v>8335.7999999999993</v>
      </c>
      <c r="E403" s="640">
        <v>57298.59</v>
      </c>
      <c r="F403" s="639" t="s">
        <v>2014</v>
      </c>
      <c r="G403" s="639" t="s">
        <v>1116</v>
      </c>
      <c r="H403" s="634" t="s">
        <v>3074</v>
      </c>
      <c r="I403" s="633"/>
      <c r="J403" s="633"/>
      <c r="K403" s="633"/>
      <c r="L403" s="149" t="str">
        <f t="shared" si="30"/>
        <v>660B</v>
      </c>
      <c r="M403" s="150" t="str">
        <f t="shared" si="31"/>
        <v>C/V - M/O CLIENT BMW CAMION</v>
      </c>
      <c r="N403" s="151">
        <f>+IF(OR($Q403=Parametres!$G$2,$Q403=Parametres!$G$3),I403,C403)</f>
        <v>48962.79</v>
      </c>
      <c r="O403" s="151">
        <f>+IF(OR($Q403=Parametres!$G$2,$Q403=Parametres!$G$3),J403,D403)</f>
        <v>8335.7999999999993</v>
      </c>
      <c r="P403" s="151">
        <f>+IF(OR($Q403=Parametres!$G$2,$Q403=Parametres!$G$3),K403,E403)</f>
        <v>57298.59</v>
      </c>
      <c r="Q403" s="150" t="str">
        <f t="shared" si="32"/>
        <v>6-Coût des ventes</v>
      </c>
      <c r="R403" s="149" t="str">
        <f t="shared" si="33"/>
        <v>460A</v>
      </c>
      <c r="S403" s="150" t="str">
        <f t="shared" si="34"/>
        <v>_</v>
      </c>
      <c r="T403" s="152" t="str">
        <f>+VLOOKUP($L403,Data_Validation!$A:$D,1,0)</f>
        <v>660B</v>
      </c>
      <c r="U403" s="152" t="str">
        <f>+VLOOKUP($L403,Data_Validation!$A:$D,3,0)</f>
        <v>service</v>
      </c>
      <c r="V403" s="152" t="str">
        <f>+VLOOKUP($L403,Data_Validation!$A:$D,4,0)</f>
        <v>M/O Client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1058</v>
      </c>
      <c r="B404" s="685" t="s">
        <v>837</v>
      </c>
      <c r="C404" s="687">
        <v>7136.89</v>
      </c>
      <c r="D404" s="687">
        <v>2042.2</v>
      </c>
      <c r="E404" s="687">
        <v>9179.09</v>
      </c>
      <c r="F404" s="685" t="s">
        <v>2014</v>
      </c>
      <c r="G404" s="685" t="s">
        <v>1116</v>
      </c>
      <c r="H404" s="641" t="s">
        <v>3074</v>
      </c>
      <c r="I404" s="641"/>
      <c r="J404" s="641"/>
      <c r="K404" s="641"/>
      <c r="L404" s="149" t="str">
        <f t="shared" si="30"/>
        <v>660D</v>
      </c>
      <c r="M404" s="150" t="str">
        <f t="shared" si="31"/>
        <v>C/V - M/O CLIENT BMW I</v>
      </c>
      <c r="N404" s="151">
        <f>+IF(OR($Q404=Parametres!$G$2,$Q404=Parametres!$G$3),I404,C404)</f>
        <v>7136.89</v>
      </c>
      <c r="O404" s="496">
        <f>+IF(OR($Q404=Parametres!$G$2,$Q404=Parametres!$G$3),J404,D404)</f>
        <v>2042.2</v>
      </c>
      <c r="P404" s="151">
        <f>+IF(OR($Q404=Parametres!$G$2,$Q404=Parametres!$G$3),K404,E404)</f>
        <v>9179.09</v>
      </c>
      <c r="Q404" s="150" t="str">
        <f t="shared" si="32"/>
        <v>6-Coût des ventes</v>
      </c>
      <c r="R404" s="149" t="str">
        <f t="shared" si="33"/>
        <v>460A</v>
      </c>
      <c r="S404" s="150" t="str">
        <f t="shared" si="34"/>
        <v>_</v>
      </c>
      <c r="T404" s="152" t="str">
        <f>+VLOOKUP($L404,Data_Validation!$A:$D,1,0)</f>
        <v>660D</v>
      </c>
      <c r="U404" s="152" t="str">
        <f>+VLOOKUP($L404,Data_Validation!$A:$D,3,0)</f>
        <v>service</v>
      </c>
      <c r="V404" s="152" t="str">
        <f>+VLOOKUP($L404,Data_Validation!$A:$D,4,0)</f>
        <v>M/O Client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1768</v>
      </c>
      <c r="B405" s="685" t="s">
        <v>1769</v>
      </c>
      <c r="C405" s="687">
        <v>13204.93</v>
      </c>
      <c r="D405" s="687">
        <v>2916.52</v>
      </c>
      <c r="E405" s="687">
        <v>16121.45</v>
      </c>
      <c r="F405" s="685" t="s">
        <v>2014</v>
      </c>
      <c r="G405" s="685" t="s">
        <v>1110</v>
      </c>
      <c r="H405" s="595" t="s">
        <v>3074</v>
      </c>
      <c r="I405" s="594"/>
      <c r="J405" s="594"/>
      <c r="K405" s="594"/>
      <c r="L405" s="149" t="str">
        <f t="shared" si="30"/>
        <v>661A</v>
      </c>
      <c r="M405" s="150" t="str">
        <f t="shared" si="31"/>
        <v>C/V - M/O GARANTIE BMW AUTO</v>
      </c>
      <c r="N405" s="151">
        <f>+IF(OR($Q405=Parametres!$G$2,$Q405=Parametres!$G$3),I405,C405)</f>
        <v>13204.93</v>
      </c>
      <c r="O405" s="151">
        <f>+IF(OR($Q405=Parametres!$G$2,$Q405=Parametres!$G$3),J405,D405)</f>
        <v>2916.52</v>
      </c>
      <c r="P405" s="151">
        <f>+IF(OR($Q405=Parametres!$G$2,$Q405=Parametres!$G$3),K405,E405)</f>
        <v>16121.45</v>
      </c>
      <c r="Q405" s="150" t="str">
        <f t="shared" si="32"/>
        <v>6-Coût des ventes</v>
      </c>
      <c r="R405" s="149" t="str">
        <f t="shared" si="33"/>
        <v>461A</v>
      </c>
      <c r="S405" s="150" t="str">
        <f t="shared" si="34"/>
        <v>_</v>
      </c>
      <c r="T405" s="152" t="str">
        <f>+VLOOKUP($L405,Data_Validation!$A:$D,1,0)</f>
        <v>661A</v>
      </c>
      <c r="U405" s="152" t="str">
        <f>+VLOOKUP($L405,Data_Validation!$A:$D,3,0)</f>
        <v>service</v>
      </c>
      <c r="V405" s="152" t="str">
        <f>+VLOOKUP($L405,Data_Validation!$A:$D,4,0)</f>
        <v>M/O Garantie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1785</v>
      </c>
      <c r="B406" s="685" t="s">
        <v>912</v>
      </c>
      <c r="C406" s="687">
        <v>31500.06</v>
      </c>
      <c r="D406" s="687">
        <v>3237.67</v>
      </c>
      <c r="E406" s="687">
        <v>34737.730000000003</v>
      </c>
      <c r="F406" s="685" t="s">
        <v>2014</v>
      </c>
      <c r="G406" s="685" t="s">
        <v>1110</v>
      </c>
      <c r="H406" s="634" t="s">
        <v>3074</v>
      </c>
      <c r="I406" s="633"/>
      <c r="J406" s="633"/>
      <c r="K406" s="633"/>
      <c r="L406" s="149" t="str">
        <f t="shared" si="30"/>
        <v>661B</v>
      </c>
      <c r="M406" s="150" t="str">
        <f t="shared" si="31"/>
        <v>C/V - M/O GARANTIE BMW CAMION</v>
      </c>
      <c r="N406" s="151">
        <f>+IF(OR($Q406=Parametres!$G$2,$Q406=Parametres!$G$3),I406,C406)</f>
        <v>31500.06</v>
      </c>
      <c r="O406" s="151">
        <f>+IF(OR($Q406=Parametres!$G$2,$Q406=Parametres!$G$3),J406,D406)</f>
        <v>3237.67</v>
      </c>
      <c r="P406" s="151">
        <f>+IF(OR($Q406=Parametres!$G$2,$Q406=Parametres!$G$3),K406,E406)</f>
        <v>34737.730000000003</v>
      </c>
      <c r="Q406" s="150" t="str">
        <f t="shared" si="32"/>
        <v>6-Coût des ventes</v>
      </c>
      <c r="R406" s="149" t="str">
        <f t="shared" si="33"/>
        <v>461A</v>
      </c>
      <c r="S406" s="150" t="str">
        <f t="shared" si="34"/>
        <v>_</v>
      </c>
      <c r="T406" s="152" t="str">
        <f>+VLOOKUP($L406,Data_Validation!$A:$D,1,0)</f>
        <v>661B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1683</v>
      </c>
      <c r="B407" s="685" t="s">
        <v>886</v>
      </c>
      <c r="C407" s="1038">
        <v>5450.19</v>
      </c>
      <c r="D407" s="1038">
        <v>1706.11</v>
      </c>
      <c r="E407" s="1038">
        <v>7156.3</v>
      </c>
      <c r="F407" s="685" t="s">
        <v>2014</v>
      </c>
      <c r="G407" s="685" t="s">
        <v>441</v>
      </c>
      <c r="H407" s="686" t="s">
        <v>3074</v>
      </c>
      <c r="I407" s="687"/>
      <c r="J407" s="687"/>
      <c r="K407" s="687"/>
      <c r="L407" s="149" t="str">
        <f t="shared" si="30"/>
        <v>661D</v>
      </c>
      <c r="M407" s="150" t="str">
        <f t="shared" si="31"/>
        <v>C/V - M/O ENTRETIEN BMW AUTO</v>
      </c>
      <c r="N407" s="151">
        <f>+IF(OR($Q407=Parametres!$G$2,$Q407=Parametres!$G$3),I407,C407)</f>
        <v>5450.19</v>
      </c>
      <c r="O407" s="151">
        <f>+IF(OR($Q407=Parametres!$G$2,$Q407=Parametres!$G$3),J407,D407)</f>
        <v>1706.11</v>
      </c>
      <c r="P407" s="151">
        <f>+IF(OR($Q407=Parametres!$G$2,$Q407=Parametres!$G$3),K407,E407)</f>
        <v>7156.3</v>
      </c>
      <c r="Q407" s="150" t="str">
        <f t="shared" si="32"/>
        <v>6-Coût des ventes</v>
      </c>
      <c r="R407" s="149" t="str">
        <f t="shared" si="33"/>
        <v>461D</v>
      </c>
      <c r="S407" s="150" t="str">
        <f t="shared" si="34"/>
        <v>_</v>
      </c>
      <c r="T407" s="152" t="str">
        <f>+VLOOKUP($L407,Data_Validation!$A:$D,1,0)</f>
        <v>661D</v>
      </c>
      <c r="U407" s="152" t="str">
        <f>+VLOOKUP($L407,Data_Validation!$A:$D,3,0)</f>
        <v>service</v>
      </c>
      <c r="V407" s="152" t="str">
        <f>+VLOOKUP($L407,Data_Validation!$A:$D,4,0)</f>
        <v>M/O Garantie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1713</v>
      </c>
      <c r="B408" s="685" t="s">
        <v>905</v>
      </c>
      <c r="C408" s="687">
        <v>11858.19</v>
      </c>
      <c r="D408" s="687">
        <v>2627.4</v>
      </c>
      <c r="E408" s="687">
        <v>14485.59</v>
      </c>
      <c r="F408" s="685" t="s">
        <v>2014</v>
      </c>
      <c r="G408" s="685" t="s">
        <v>441</v>
      </c>
      <c r="H408" s="641" t="s">
        <v>3074</v>
      </c>
      <c r="I408" s="640"/>
      <c r="J408" s="640"/>
      <c r="K408" s="640"/>
      <c r="L408" s="149" t="str">
        <f t="shared" si="30"/>
        <v>661E</v>
      </c>
      <c r="M408" s="150" t="str">
        <f t="shared" si="31"/>
        <v>C/V - M/O ENTRETIEN BMW CAMION</v>
      </c>
      <c r="N408" s="151">
        <f>+IF(OR($Q408=Parametres!$G$2,$Q408=Parametres!$G$3),I408,C408)</f>
        <v>11858.19</v>
      </c>
      <c r="O408" s="151">
        <f>+IF(OR($Q408=Parametres!$G$2,$Q408=Parametres!$G$3),J408,D408)</f>
        <v>2627.4</v>
      </c>
      <c r="P408" s="151">
        <f>+IF(OR($Q408=Parametres!$G$2,$Q408=Parametres!$G$3),K408,E408)</f>
        <v>14485.59</v>
      </c>
      <c r="Q408" s="150" t="str">
        <f t="shared" si="32"/>
        <v>6-Coût des ventes</v>
      </c>
      <c r="R408" s="149" t="str">
        <f t="shared" si="33"/>
        <v>461D</v>
      </c>
      <c r="S408" s="150" t="str">
        <f t="shared" si="34"/>
        <v>_</v>
      </c>
      <c r="T408" s="152" t="str">
        <f>+VLOOKUP($L408,Data_Validation!$A:$D,1,0)</f>
        <v>661E</v>
      </c>
      <c r="U408" s="152" t="str">
        <f>+VLOOKUP($L408,Data_Validation!$A:$D,3,0)</f>
        <v>service</v>
      </c>
      <c r="V408" s="152" t="str">
        <f>+VLOOKUP($L408,Data_Validation!$A:$D,4,0)</f>
        <v>M/O Garantie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1620</v>
      </c>
      <c r="B409" s="685" t="s">
        <v>822</v>
      </c>
      <c r="C409" s="687">
        <v>1473.29</v>
      </c>
      <c r="D409" s="687">
        <v>193.58</v>
      </c>
      <c r="E409" s="687">
        <v>1666.87</v>
      </c>
      <c r="F409" s="685" t="s">
        <v>2014</v>
      </c>
      <c r="G409" s="685" t="s">
        <v>441</v>
      </c>
      <c r="H409" s="641" t="s">
        <v>3074</v>
      </c>
      <c r="I409" s="640"/>
      <c r="J409" s="640"/>
      <c r="K409" s="640"/>
      <c r="L409" s="149" t="str">
        <f t="shared" si="30"/>
        <v>661G</v>
      </c>
      <c r="M409" s="150" t="str">
        <f t="shared" si="31"/>
        <v>C/V - M/O ENTRETIEN BMW I</v>
      </c>
      <c r="N409" s="151">
        <f>+IF(OR($Q409=Parametres!$G$2,$Q409=Parametres!$G$3),I409,C409)</f>
        <v>1473.29</v>
      </c>
      <c r="O409" s="151">
        <f>+IF(OR($Q409=Parametres!$G$2,$Q409=Parametres!$G$3),J409,D409)</f>
        <v>193.58</v>
      </c>
      <c r="P409" s="151">
        <f>+IF(OR($Q409=Parametres!$G$2,$Q409=Parametres!$G$3),K409,E409)</f>
        <v>1666.87</v>
      </c>
      <c r="Q409" s="150" t="str">
        <f t="shared" si="32"/>
        <v>6-Coût des ventes</v>
      </c>
      <c r="R409" s="149" t="str">
        <f t="shared" si="33"/>
        <v>461D</v>
      </c>
      <c r="S409" s="150" t="str">
        <f t="shared" si="34"/>
        <v>_</v>
      </c>
      <c r="T409" s="152" t="str">
        <f>+VLOOKUP($L409,Data_Validation!$A:$D,1,0)</f>
        <v>661G</v>
      </c>
      <c r="U409" s="152" t="str">
        <f>+VLOOKUP($L409,Data_Validation!$A:$D,3,0)</f>
        <v>service</v>
      </c>
      <c r="V409" s="152" t="str">
        <f>+VLOOKUP($L409,Data_Validation!$A:$D,4,0)</f>
        <v>M/O Garantie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1033</v>
      </c>
      <c r="B410" s="685" t="s">
        <v>777</v>
      </c>
      <c r="C410" s="1038">
        <v>5632.75</v>
      </c>
      <c r="D410" s="1038">
        <v>364.01</v>
      </c>
      <c r="E410" s="1038">
        <v>5996.76</v>
      </c>
      <c r="F410" s="685" t="s">
        <v>2014</v>
      </c>
      <c r="G410" s="685" t="s">
        <v>1110</v>
      </c>
      <c r="H410" s="686" t="s">
        <v>3074</v>
      </c>
      <c r="I410" s="687"/>
      <c r="J410" s="687"/>
      <c r="K410" s="687"/>
      <c r="L410" s="149" t="str">
        <f t="shared" si="30"/>
        <v>661H</v>
      </c>
      <c r="M410" s="150" t="str">
        <f t="shared" si="31"/>
        <v>C/V - M/O GARANTIE BMW I</v>
      </c>
      <c r="N410" s="151">
        <f>+IF(OR($Q410=Parametres!$G$2,$Q410=Parametres!$G$3),I410,C410)</f>
        <v>5632.75</v>
      </c>
      <c r="O410" s="151">
        <f>+IF(OR($Q410=Parametres!$G$2,$Q410=Parametres!$G$3),J410,D410)</f>
        <v>364.01</v>
      </c>
      <c r="P410" s="151">
        <f>+IF(OR($Q410=Parametres!$G$2,$Q410=Parametres!$G$3),K410,E410)</f>
        <v>5996.76</v>
      </c>
      <c r="Q410" s="150" t="str">
        <f t="shared" si="32"/>
        <v>6-Coût des ventes</v>
      </c>
      <c r="R410" s="149" t="str">
        <f t="shared" si="33"/>
        <v>461A</v>
      </c>
      <c r="S410" s="150" t="str">
        <f t="shared" si="34"/>
        <v>_</v>
      </c>
      <c r="T410" s="152" t="str">
        <f>+VLOOKUP($L410,Data_Validation!$A:$D,1,0)</f>
        <v>661H</v>
      </c>
      <c r="U410" s="152" t="str">
        <f>+VLOOKUP($L410,Data_Validation!$A:$D,3,0)</f>
        <v>service</v>
      </c>
      <c r="V410" s="152" t="str">
        <f>+VLOOKUP($L410,Data_Validation!$A:$D,4,0)</f>
        <v>M/O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1721</v>
      </c>
      <c r="B411" s="685" t="s">
        <v>1722</v>
      </c>
      <c r="C411" s="1038">
        <v>25645.05</v>
      </c>
      <c r="D411" s="1038">
        <v>3593.19</v>
      </c>
      <c r="E411" s="1038">
        <v>29238.240000000002</v>
      </c>
      <c r="F411" s="685" t="s">
        <v>2014</v>
      </c>
      <c r="G411" s="685" t="s">
        <v>1139</v>
      </c>
      <c r="H411" s="686" t="s">
        <v>3074</v>
      </c>
      <c r="I411" s="687"/>
      <c r="J411" s="687"/>
      <c r="K411" s="687"/>
      <c r="L411" s="149" t="str">
        <f t="shared" si="30"/>
        <v>662A</v>
      </c>
      <c r="M411" s="150" t="str">
        <f t="shared" si="31"/>
        <v>C/V - M/O INTERNE BMW AUTO</v>
      </c>
      <c r="N411" s="151">
        <f>+IF(OR($Q411=Parametres!$G$2,$Q411=Parametres!$G$3),I411,C411)</f>
        <v>25645.05</v>
      </c>
      <c r="O411" s="151">
        <f>+IF(OR($Q411=Parametres!$G$2,$Q411=Parametres!$G$3),J411,D411)</f>
        <v>3593.19</v>
      </c>
      <c r="P411" s="151">
        <f>+IF(OR($Q411=Parametres!$G$2,$Q411=Parametres!$G$3),K411,E411)</f>
        <v>29238.240000000002</v>
      </c>
      <c r="Q411" s="150" t="str">
        <f t="shared" si="32"/>
        <v>6-Coût des ventes</v>
      </c>
      <c r="R411" s="149" t="str">
        <f t="shared" si="33"/>
        <v>462A</v>
      </c>
      <c r="S411" s="150" t="str">
        <f t="shared" si="34"/>
        <v>_</v>
      </c>
      <c r="T411" s="152" t="str">
        <f>+VLOOKUP($L411,Data_Validation!$A:$D,1,0)</f>
        <v>662A</v>
      </c>
      <c r="U411" s="152" t="str">
        <f>+VLOOKUP($L411,Data_Validation!$A:$D,3,0)</f>
        <v>service</v>
      </c>
      <c r="V411" s="152" t="str">
        <f>+VLOOKUP($L411,Data_Validation!$A:$D,4,0)</f>
        <v>M/O Interne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1725</v>
      </c>
      <c r="B412" s="639" t="s">
        <v>923</v>
      </c>
      <c r="C412" s="640">
        <v>47513.7</v>
      </c>
      <c r="D412" s="640">
        <v>3732.31</v>
      </c>
      <c r="E412" s="640">
        <v>51246.01</v>
      </c>
      <c r="F412" s="639" t="s">
        <v>2014</v>
      </c>
      <c r="G412" s="639" t="s">
        <v>1139</v>
      </c>
      <c r="H412" s="634" t="s">
        <v>3074</v>
      </c>
      <c r="I412" s="633"/>
      <c r="J412" s="633"/>
      <c r="K412" s="633"/>
      <c r="L412" s="149" t="str">
        <f t="shared" si="30"/>
        <v>662B</v>
      </c>
      <c r="M412" s="150" t="str">
        <f t="shared" si="31"/>
        <v>C/V - M/O INTERNE BMW CAMION</v>
      </c>
      <c r="N412" s="151">
        <f>+IF(OR($Q412=Parametres!$G$2,$Q412=Parametres!$G$3),I412,C412)</f>
        <v>47513.7</v>
      </c>
      <c r="O412" s="151">
        <f>+IF(OR($Q412=Parametres!$G$2,$Q412=Parametres!$G$3),J412,D412)</f>
        <v>3732.31</v>
      </c>
      <c r="P412" s="151">
        <f>+IF(OR($Q412=Parametres!$G$2,$Q412=Parametres!$G$3),K412,E412)</f>
        <v>51246.01</v>
      </c>
      <c r="Q412" s="150" t="str">
        <f t="shared" si="32"/>
        <v>6-Coût des ventes</v>
      </c>
      <c r="R412" s="149" t="str">
        <f t="shared" si="33"/>
        <v>462A</v>
      </c>
      <c r="S412" s="150" t="str">
        <f t="shared" si="34"/>
        <v>_</v>
      </c>
      <c r="T412" s="152" t="str">
        <f>+VLOOKUP($L412,Data_Validation!$A:$D,1,0)</f>
        <v>662B</v>
      </c>
      <c r="U412" s="152" t="str">
        <f>+VLOOKUP($L412,Data_Validation!$A:$D,3,0)</f>
        <v>service</v>
      </c>
      <c r="V412" s="152" t="str">
        <f>+VLOOKUP($L412,Data_Validation!$A:$D,4,0)</f>
        <v>M/O Interne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1057</v>
      </c>
      <c r="B413" s="685" t="s">
        <v>780</v>
      </c>
      <c r="C413" s="687">
        <v>4277.1899999999996</v>
      </c>
      <c r="D413" s="687">
        <v>675.06</v>
      </c>
      <c r="E413" s="687">
        <v>4952.25</v>
      </c>
      <c r="F413" s="685" t="s">
        <v>2014</v>
      </c>
      <c r="G413" s="685" t="s">
        <v>1139</v>
      </c>
      <c r="H413" s="641" t="s">
        <v>3074</v>
      </c>
      <c r="I413" s="640"/>
      <c r="J413" s="640"/>
      <c r="K413" s="640"/>
      <c r="L413" s="149" t="str">
        <f t="shared" si="30"/>
        <v>662D</v>
      </c>
      <c r="M413" s="150" t="str">
        <f t="shared" si="31"/>
        <v>C/V - M/O INTERNE BMW I</v>
      </c>
      <c r="N413" s="151">
        <f>+IF(OR($Q413=Parametres!$G$2,$Q413=Parametres!$G$3),I413,C413)</f>
        <v>4277.1899999999996</v>
      </c>
      <c r="O413" s="151">
        <f>+IF(OR($Q413=Parametres!$G$2,$Q413=Parametres!$G$3),J413,D413)</f>
        <v>675.06</v>
      </c>
      <c r="P413" s="151">
        <f>+IF(OR($Q413=Parametres!$G$2,$Q413=Parametres!$G$3),K413,E413)</f>
        <v>4952.25</v>
      </c>
      <c r="Q413" s="150" t="str">
        <f t="shared" si="32"/>
        <v>6-Coût des ventes</v>
      </c>
      <c r="R413" s="149" t="str">
        <f t="shared" si="33"/>
        <v>462A</v>
      </c>
      <c r="S413" s="150" t="str">
        <f t="shared" si="34"/>
        <v>_</v>
      </c>
      <c r="T413" s="152" t="str">
        <f>+VLOOKUP($L413,Data_Validation!$A:$D,1,0)</f>
        <v>662D</v>
      </c>
      <c r="U413" s="152" t="str">
        <f>+VLOOKUP($L413,Data_Validation!$A:$D,3,0)</f>
        <v>service</v>
      </c>
      <c r="V413" s="152" t="str">
        <f>+VLOOKUP($L413,Data_Validation!$A:$D,4,0)</f>
        <v>M/O Interne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2177</v>
      </c>
      <c r="B414" s="685" t="s">
        <v>2178</v>
      </c>
      <c r="C414" s="687">
        <v>4470.7700000000004</v>
      </c>
      <c r="D414" s="687">
        <v>0</v>
      </c>
      <c r="E414" s="687">
        <v>4470.7700000000004</v>
      </c>
      <c r="F414" s="685" t="s">
        <v>2014</v>
      </c>
      <c r="G414" s="685" t="s">
        <v>1139</v>
      </c>
      <c r="H414" s="595" t="s">
        <v>3074</v>
      </c>
      <c r="I414" s="595"/>
      <c r="J414" s="595"/>
      <c r="K414" s="595"/>
      <c r="L414" s="149" t="str">
        <f t="shared" si="30"/>
        <v>662L</v>
      </c>
      <c r="M414" s="150" t="str">
        <f t="shared" si="31"/>
        <v>C/V - SUBLET INTERNE AUTO</v>
      </c>
      <c r="N414" s="151">
        <f>+IF(OR($Q414=Parametres!$G$2,$Q414=Parametres!$G$3),I414,C414)</f>
        <v>4470.7700000000004</v>
      </c>
      <c r="O414" s="151">
        <f>+IF(OR($Q414=Parametres!$G$2,$Q414=Parametres!$G$3),J414,D414)</f>
        <v>0</v>
      </c>
      <c r="P414" s="151">
        <f>+IF(OR($Q414=Parametres!$G$2,$Q414=Parametres!$G$3),K414,E414)</f>
        <v>4470.7700000000004</v>
      </c>
      <c r="Q414" s="150" t="str">
        <f t="shared" si="32"/>
        <v>6-Coût des ventes</v>
      </c>
      <c r="R414" s="149" t="str">
        <f t="shared" si="33"/>
        <v>462A</v>
      </c>
      <c r="S414" s="150" t="str">
        <f t="shared" si="34"/>
        <v>_</v>
      </c>
      <c r="T414" s="152" t="str">
        <f>+VLOOKUP($L414,Data_Validation!$A:$D,1,0)</f>
        <v>662L</v>
      </c>
      <c r="U414" s="152" t="str">
        <f>+VLOOKUP($L414,Data_Validation!$A:$D,3,0)</f>
        <v>Service</v>
      </c>
      <c r="V414" s="152" t="str">
        <f>+VLOOKUP($L414,Data_Validation!$A:$D,4,0)</f>
        <v>M/O Interne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2179</v>
      </c>
      <c r="B415" s="685" t="s">
        <v>2180</v>
      </c>
      <c r="C415" s="687">
        <v>6032.45</v>
      </c>
      <c r="D415" s="687">
        <v>0</v>
      </c>
      <c r="E415" s="687">
        <v>6032.45</v>
      </c>
      <c r="F415" s="685" t="s">
        <v>2014</v>
      </c>
      <c r="G415" s="685" t="s">
        <v>1139</v>
      </c>
      <c r="H415" s="634" t="s">
        <v>3074</v>
      </c>
      <c r="I415" s="633"/>
      <c r="J415" s="633"/>
      <c r="K415" s="633"/>
      <c r="L415" s="149" t="str">
        <f t="shared" si="30"/>
        <v>662M</v>
      </c>
      <c r="M415" s="150" t="str">
        <f t="shared" si="31"/>
        <v>C/V - SUBLET INTERNE CAMION</v>
      </c>
      <c r="N415" s="151">
        <f>+IF(OR($Q415=Parametres!$G$2,$Q415=Parametres!$G$3),I415,C415)</f>
        <v>6032.45</v>
      </c>
      <c r="O415" s="151">
        <f>+IF(OR($Q415=Parametres!$G$2,$Q415=Parametres!$G$3),J415,D415)</f>
        <v>0</v>
      </c>
      <c r="P415" s="151">
        <f>+IF(OR($Q415=Parametres!$G$2,$Q415=Parametres!$G$3),K415,E415)</f>
        <v>6032.45</v>
      </c>
      <c r="Q415" s="150" t="str">
        <f t="shared" si="32"/>
        <v>6-Coût des ventes</v>
      </c>
      <c r="R415" s="149" t="str">
        <f t="shared" si="33"/>
        <v>462A</v>
      </c>
      <c r="S415" s="150" t="str">
        <f t="shared" si="34"/>
        <v>_</v>
      </c>
      <c r="T415" s="152" t="str">
        <f>+VLOOKUP($L415,Data_Validation!$A:$D,1,0)</f>
        <v>662M</v>
      </c>
      <c r="U415" s="152" t="str">
        <f>+VLOOKUP($L415,Data_Validation!$A:$D,3,0)</f>
        <v>Service</v>
      </c>
      <c r="V415" s="152" t="str">
        <f>+VLOOKUP($L415,Data_Validation!$A:$D,4,0)</f>
        <v>M/O Interne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2240</v>
      </c>
      <c r="B416" s="685" t="s">
        <v>2239</v>
      </c>
      <c r="C416" s="687">
        <v>450.5</v>
      </c>
      <c r="D416" s="687">
        <v>0</v>
      </c>
      <c r="E416" s="687">
        <v>450.5</v>
      </c>
      <c r="F416" s="685" t="s">
        <v>2014</v>
      </c>
      <c r="G416" s="685" t="s">
        <v>1139</v>
      </c>
      <c r="H416" s="641" t="s">
        <v>3074</v>
      </c>
      <c r="I416" s="640"/>
      <c r="J416" s="640"/>
      <c r="K416" s="640"/>
      <c r="L416" s="149" t="str">
        <f t="shared" si="30"/>
        <v>662N</v>
      </c>
      <c r="M416" s="150" t="str">
        <f t="shared" si="31"/>
        <v>C/V - SUBLET INTERNE ELECTRIQUE</v>
      </c>
      <c r="N416" s="151">
        <f>+IF(OR($Q416=Parametres!$G$2,$Q416=Parametres!$G$3),I416,C416)</f>
        <v>450.5</v>
      </c>
      <c r="O416" s="151">
        <f>+IF(OR($Q416=Parametres!$G$2,$Q416=Parametres!$G$3),J416,D416)</f>
        <v>0</v>
      </c>
      <c r="P416" s="151">
        <f>+IF(OR($Q416=Parametres!$G$2,$Q416=Parametres!$G$3),K416,E416)</f>
        <v>450.5</v>
      </c>
      <c r="Q416" s="150" t="str">
        <f t="shared" si="32"/>
        <v>6-Coût des ventes</v>
      </c>
      <c r="R416" s="149" t="str">
        <f t="shared" si="33"/>
        <v>462A</v>
      </c>
      <c r="S416" s="150" t="str">
        <f t="shared" si="34"/>
        <v>_</v>
      </c>
      <c r="T416" s="152" t="str">
        <f>+VLOOKUP($L416,Data_Validation!$A:$D,1,0)</f>
        <v>662N</v>
      </c>
      <c r="U416" s="152" t="str">
        <f>+VLOOKUP($L416,Data_Validation!$A:$D,3,0)</f>
        <v>Service</v>
      </c>
      <c r="V416" s="152" t="str">
        <f>+VLOOKUP($L416,Data_Validation!$A:$D,4,0)</f>
        <v>M/O Interne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3054</v>
      </c>
      <c r="B417" s="685" t="s">
        <v>3055</v>
      </c>
      <c r="C417" s="1038">
        <v>3978.78</v>
      </c>
      <c r="D417" s="1038">
        <v>2876.25</v>
      </c>
      <c r="E417" s="1038">
        <v>6855.03</v>
      </c>
      <c r="F417" s="685" t="s">
        <v>2014</v>
      </c>
      <c r="G417" s="685" t="s">
        <v>1139</v>
      </c>
      <c r="H417" s="686" t="s">
        <v>3074</v>
      </c>
      <c r="I417" s="687"/>
      <c r="J417" s="687"/>
      <c r="K417" s="687"/>
      <c r="L417" s="149" t="str">
        <f t="shared" si="30"/>
        <v>662Q</v>
      </c>
      <c r="M417" s="150" t="str">
        <f t="shared" si="31"/>
        <v>C/V - M/O ESTHETIQUE INTERNE AUTO</v>
      </c>
      <c r="N417" s="151">
        <f>+IF(OR($Q417=Parametres!$G$2,$Q417=Parametres!$G$3),I417,C417)</f>
        <v>3978.78</v>
      </c>
      <c r="O417" s="151">
        <f>+IF(OR($Q417=Parametres!$G$2,$Q417=Parametres!$G$3),J417,D417)</f>
        <v>2876.25</v>
      </c>
      <c r="P417" s="151">
        <f>+IF(OR($Q417=Parametres!$G$2,$Q417=Parametres!$G$3),K417,E417)</f>
        <v>6855.03</v>
      </c>
      <c r="Q417" s="150" t="str">
        <f t="shared" si="32"/>
        <v>6-Coût des ventes</v>
      </c>
      <c r="R417" s="149" t="str">
        <f t="shared" si="33"/>
        <v>462A</v>
      </c>
      <c r="S417" s="150" t="str">
        <f t="shared" si="34"/>
        <v>_</v>
      </c>
      <c r="T417" s="152" t="str">
        <f>+VLOOKUP($L417,Data_Validation!$A:$D,1,0)</f>
        <v>662Q</v>
      </c>
      <c r="U417" s="152" t="str">
        <f>+VLOOKUP($L417,Data_Validation!$A:$D,3,0)</f>
        <v>service</v>
      </c>
      <c r="V417" s="152" t="str">
        <f>+VLOOKUP($L417,Data_Validation!$A:$D,4,0)</f>
        <v>M/O Interne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3056</v>
      </c>
      <c r="B418" s="685" t="s">
        <v>3057</v>
      </c>
      <c r="C418" s="1038">
        <v>4997.5200000000004</v>
      </c>
      <c r="D418" s="1038">
        <v>4499.6899999999996</v>
      </c>
      <c r="E418" s="1038">
        <v>9497.2099999999991</v>
      </c>
      <c r="F418" s="685" t="s">
        <v>2014</v>
      </c>
      <c r="G418" s="685" t="s">
        <v>1139</v>
      </c>
      <c r="H418" s="686" t="s">
        <v>3074</v>
      </c>
      <c r="I418" s="687"/>
      <c r="J418" s="687"/>
      <c r="K418" s="687"/>
      <c r="L418" s="149" t="str">
        <f t="shared" si="30"/>
        <v>662R</v>
      </c>
      <c r="M418" s="150" t="str">
        <f t="shared" si="31"/>
        <v>C/V - M/O ESTHETIQUE INTERNE CAMION</v>
      </c>
      <c r="N418" s="151">
        <f>+IF(OR($Q418=Parametres!$G$2,$Q418=Parametres!$G$3),I418,C418)</f>
        <v>4997.5200000000004</v>
      </c>
      <c r="O418" s="151">
        <f>+IF(OR($Q418=Parametres!$G$2,$Q418=Parametres!$G$3),J418,D418)</f>
        <v>4499.6899999999996</v>
      </c>
      <c r="P418" s="151">
        <f>+IF(OR($Q418=Parametres!$G$2,$Q418=Parametres!$G$3),K418,E418)</f>
        <v>9497.2099999999991</v>
      </c>
      <c r="Q418" s="150" t="str">
        <f t="shared" si="32"/>
        <v>6-Coût des ventes</v>
      </c>
      <c r="R418" s="149" t="str">
        <f t="shared" si="33"/>
        <v>462A</v>
      </c>
      <c r="S418" s="150" t="str">
        <f t="shared" si="34"/>
        <v>_</v>
      </c>
      <c r="T418" s="152" t="str">
        <f>+VLOOKUP($L418,Data_Validation!$A:$D,1,0)</f>
        <v>662R</v>
      </c>
      <c r="U418" s="152" t="str">
        <f>+VLOOKUP($L418,Data_Validation!$A:$D,3,0)</f>
        <v>service</v>
      </c>
      <c r="V418" s="152" t="str">
        <f>+VLOOKUP($L418,Data_Validation!$A:$D,4,0)</f>
        <v>M/O Interne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3052</v>
      </c>
      <c r="B419" s="685" t="s">
        <v>3053</v>
      </c>
      <c r="C419" s="687">
        <v>376.14</v>
      </c>
      <c r="D419" s="687">
        <v>218.51</v>
      </c>
      <c r="E419" s="687">
        <v>594.65</v>
      </c>
      <c r="F419" s="685" t="s">
        <v>2014</v>
      </c>
      <c r="G419" s="685" t="s">
        <v>1139</v>
      </c>
      <c r="H419" s="641" t="s">
        <v>3074</v>
      </c>
      <c r="I419" s="640"/>
      <c r="J419" s="640"/>
      <c r="K419" s="640"/>
      <c r="L419" s="149" t="str">
        <f t="shared" si="30"/>
        <v>662S</v>
      </c>
      <c r="M419" s="150" t="str">
        <f t="shared" si="31"/>
        <v>C/V - M/O ESTHETIEQUE INTERNE I</v>
      </c>
      <c r="N419" s="151">
        <f>+IF(OR($Q419=Parametres!$G$2,$Q419=Parametres!$G$3),I419,C419)</f>
        <v>376.14</v>
      </c>
      <c r="O419" s="151">
        <f>+IF(OR($Q419=Parametres!$G$2,$Q419=Parametres!$G$3),J419,D419)</f>
        <v>218.51</v>
      </c>
      <c r="P419" s="151">
        <f>+IF(OR($Q419=Parametres!$G$2,$Q419=Parametres!$G$3),K419,E419)</f>
        <v>594.65</v>
      </c>
      <c r="Q419" s="150" t="str">
        <f t="shared" si="32"/>
        <v>6-Coût des ventes</v>
      </c>
      <c r="R419" s="149" t="str">
        <f t="shared" si="33"/>
        <v>462A</v>
      </c>
      <c r="S419" s="150" t="str">
        <f t="shared" si="34"/>
        <v>_</v>
      </c>
      <c r="T419" s="152" t="str">
        <f>+VLOOKUP($L419,Data_Validation!$A:$D,1,0)</f>
        <v>662S</v>
      </c>
      <c r="U419" s="152" t="str">
        <f>+VLOOKUP($L419,Data_Validation!$A:$D,3,0)</f>
        <v>service</v>
      </c>
      <c r="V419" s="152" t="str">
        <f>+VLOOKUP($L419,Data_Validation!$A:$D,4,0)</f>
        <v>M/O Interne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1764</v>
      </c>
      <c r="B420" s="685" t="s">
        <v>1765</v>
      </c>
      <c r="C420" s="687">
        <v>15352.36</v>
      </c>
      <c r="D420" s="687">
        <v>1580</v>
      </c>
      <c r="E420" s="687">
        <v>16932.36</v>
      </c>
      <c r="F420" s="685" t="s">
        <v>2014</v>
      </c>
      <c r="G420" s="685" t="s">
        <v>1143</v>
      </c>
      <c r="H420" s="641" t="s">
        <v>3074</v>
      </c>
      <c r="I420" s="640"/>
      <c r="J420" s="640"/>
      <c r="K420" s="640"/>
      <c r="L420" s="149" t="str">
        <f t="shared" si="30"/>
        <v>663A</v>
      </c>
      <c r="M420" s="150" t="str">
        <f t="shared" si="31"/>
        <v>C/V - SOUS-TRAITANCE BMW AUTO</v>
      </c>
      <c r="N420" s="151">
        <f>+IF(OR($Q420=Parametres!$G$2,$Q420=Parametres!$G$3),I420,C420)</f>
        <v>15352.36</v>
      </c>
      <c r="O420" s="151">
        <f>+IF(OR($Q420=Parametres!$G$2,$Q420=Parametres!$G$3),J420,D420)</f>
        <v>1580</v>
      </c>
      <c r="P420" s="151">
        <f>+IF(OR($Q420=Parametres!$G$2,$Q420=Parametres!$G$3),K420,E420)</f>
        <v>16932.36</v>
      </c>
      <c r="Q420" s="150" t="str">
        <f t="shared" si="32"/>
        <v>6-Coût des ventes</v>
      </c>
      <c r="R420" s="149" t="str">
        <f t="shared" si="33"/>
        <v>463A</v>
      </c>
      <c r="S420" s="150" t="str">
        <f t="shared" si="34"/>
        <v>_</v>
      </c>
      <c r="T420" s="152" t="str">
        <f>+VLOOKUP($L420,Data_Validation!$A:$D,1,0)</f>
        <v>663A</v>
      </c>
      <c r="U420" s="152" t="str">
        <f>+VLOOKUP($L420,Data_Validation!$A:$D,3,0)</f>
        <v>service</v>
      </c>
      <c r="V420" s="152" t="str">
        <f>+VLOOKUP($L420,Data_Validation!$A:$D,4,0)</f>
        <v>Sous-traitement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1775</v>
      </c>
      <c r="B421" s="685" t="s">
        <v>898</v>
      </c>
      <c r="C421" s="1038">
        <v>20510.03</v>
      </c>
      <c r="D421" s="1038">
        <v>1251.45</v>
      </c>
      <c r="E421" s="1038">
        <v>21761.48</v>
      </c>
      <c r="F421" s="685" t="s">
        <v>2014</v>
      </c>
      <c r="G421" s="685" t="s">
        <v>1143</v>
      </c>
      <c r="H421" s="686" t="s">
        <v>3074</v>
      </c>
      <c r="I421" s="687"/>
      <c r="J421" s="687"/>
      <c r="K421" s="687"/>
      <c r="L421" s="149" t="str">
        <f t="shared" si="30"/>
        <v>663B</v>
      </c>
      <c r="M421" s="150" t="str">
        <f t="shared" si="31"/>
        <v>C/V - SOUS-TRAITANCE BMW CAMION</v>
      </c>
      <c r="N421" s="151">
        <f>+IF(OR($Q421=Parametres!$G$2,$Q421=Parametres!$G$3),I421,C421)</f>
        <v>20510.03</v>
      </c>
      <c r="O421" s="151">
        <f>+IF(OR($Q421=Parametres!$G$2,$Q421=Parametres!$G$3),J421,D421)</f>
        <v>1251.45</v>
      </c>
      <c r="P421" s="151">
        <f>+IF(OR($Q421=Parametres!$G$2,$Q421=Parametres!$G$3),K421,E421)</f>
        <v>21761.48</v>
      </c>
      <c r="Q421" s="150" t="str">
        <f t="shared" si="32"/>
        <v>6-Coût des ventes</v>
      </c>
      <c r="R421" s="149" t="str">
        <f t="shared" si="33"/>
        <v>463A</v>
      </c>
      <c r="S421" s="150" t="str">
        <f t="shared" si="34"/>
        <v>_</v>
      </c>
      <c r="T421" s="152" t="str">
        <f>+VLOOKUP($L421,Data_Validation!$A:$D,1,0)</f>
        <v>663B</v>
      </c>
      <c r="U421" s="152" t="str">
        <f>+VLOOKUP($L421,Data_Validation!$A:$D,3,0)</f>
        <v>service</v>
      </c>
      <c r="V421" s="152" t="str">
        <f>+VLOOKUP($L421,Data_Validation!$A:$D,4,0)</f>
        <v>Sous-traitement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674</v>
      </c>
      <c r="B422" s="685" t="s">
        <v>675</v>
      </c>
      <c r="C422" s="687">
        <v>398.43</v>
      </c>
      <c r="D422" s="687">
        <v>225</v>
      </c>
      <c r="E422" s="687">
        <v>623.42999999999995</v>
      </c>
      <c r="F422" s="685" t="s">
        <v>2014</v>
      </c>
      <c r="G422" s="685" t="s">
        <v>1143</v>
      </c>
      <c r="H422" s="641" t="s">
        <v>3074</v>
      </c>
      <c r="I422" s="640"/>
      <c r="J422" s="640"/>
      <c r="K422" s="640"/>
      <c r="L422" s="149" t="str">
        <f t="shared" si="30"/>
        <v>663D</v>
      </c>
      <c r="M422" s="150" t="str">
        <f t="shared" si="31"/>
        <v>C/V - SOUS-TRAITANCE BMW I</v>
      </c>
      <c r="N422" s="151">
        <f>+IF(OR($Q422=Parametres!$G$2,$Q422=Parametres!$G$3),I422,C422)</f>
        <v>398.43</v>
      </c>
      <c r="O422" s="496">
        <f>+IF(OR($Q422=Parametres!$G$2,$Q422=Parametres!$G$3),J422,D422)</f>
        <v>225</v>
      </c>
      <c r="P422" s="151">
        <f>+IF(OR($Q422=Parametres!$G$2,$Q422=Parametres!$G$3),K422,E422)</f>
        <v>623.42999999999995</v>
      </c>
      <c r="Q422" s="150" t="str">
        <f t="shared" si="32"/>
        <v>6-Coût des ventes</v>
      </c>
      <c r="R422" s="149" t="str">
        <f t="shared" si="33"/>
        <v>463A</v>
      </c>
      <c r="S422" s="150" t="str">
        <f t="shared" si="34"/>
        <v>_</v>
      </c>
      <c r="T422" s="152" t="str">
        <f>+VLOOKUP($L422,Data_Validation!$A:$D,1,0)</f>
        <v>663D</v>
      </c>
      <c r="U422" s="152" t="str">
        <f>+VLOOKUP($L422,Data_Validation!$A:$D,3,0)</f>
        <v>service</v>
      </c>
      <c r="V422" s="152" t="str">
        <f>+VLOOKUP($L422,Data_Validation!$A:$D,4,0)</f>
        <v>Sous-traitement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1652</v>
      </c>
      <c r="B423" s="685" t="s">
        <v>1653</v>
      </c>
      <c r="C423" s="687">
        <v>5831.21</v>
      </c>
      <c r="D423" s="687">
        <v>784.67</v>
      </c>
      <c r="E423" s="687">
        <v>6615.88</v>
      </c>
      <c r="F423" s="685" t="s">
        <v>2014</v>
      </c>
      <c r="G423" s="685" t="s">
        <v>2253</v>
      </c>
      <c r="H423" s="641" t="s">
        <v>3074</v>
      </c>
      <c r="I423" s="640"/>
      <c r="J423" s="640"/>
      <c r="K423" s="640"/>
      <c r="L423" s="149" t="str">
        <f t="shared" si="30"/>
        <v>664A</v>
      </c>
      <c r="M423" s="150" t="str">
        <f t="shared" si="31"/>
        <v>C/V - AJUST. M/O BMW AUTO</v>
      </c>
      <c r="N423" s="151">
        <f>+IF(OR($Q423=Parametres!$G$2,$Q423=Parametres!$G$3),I423,C423)</f>
        <v>5831.21</v>
      </c>
      <c r="O423" s="151">
        <f>+IF(OR($Q423=Parametres!$G$2,$Q423=Parametres!$G$3),J423,D423)</f>
        <v>784.67</v>
      </c>
      <c r="P423" s="151">
        <f>+IF(OR($Q423=Parametres!$G$2,$Q423=Parametres!$G$3),K423,E423)</f>
        <v>6615.88</v>
      </c>
      <c r="Q423" s="150" t="str">
        <f t="shared" si="32"/>
        <v>6-Coût des ventes</v>
      </c>
      <c r="R423" s="149" t="str">
        <f t="shared" si="33"/>
        <v>464</v>
      </c>
      <c r="S423" s="150" t="str">
        <f t="shared" si="34"/>
        <v>_</v>
      </c>
      <c r="T423" s="152" t="str">
        <f>+VLOOKUP($L423,Data_Validation!$A:$D,1,0)</f>
        <v>664A</v>
      </c>
      <c r="U423" s="152" t="str">
        <f>+VLOOKUP($L423,Data_Validation!$A:$D,3,0)</f>
        <v>service</v>
      </c>
      <c r="V423" s="152" t="str">
        <f>+VLOOKUP($L423,Data_Validation!$A:$D,4,0)</f>
        <v>Ajustement M/O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1635</v>
      </c>
      <c r="B424" s="685" t="s">
        <v>1636</v>
      </c>
      <c r="C424" s="687">
        <v>3887.48</v>
      </c>
      <c r="D424" s="687">
        <v>523.11</v>
      </c>
      <c r="E424" s="687">
        <v>4410.59</v>
      </c>
      <c r="F424" s="685" t="s">
        <v>2014</v>
      </c>
      <c r="G424" s="685" t="s">
        <v>2253</v>
      </c>
      <c r="H424" s="641" t="s">
        <v>3074</v>
      </c>
      <c r="I424" s="640"/>
      <c r="J424" s="640"/>
      <c r="K424" s="640"/>
      <c r="L424" s="149" t="str">
        <f t="shared" si="30"/>
        <v>664B</v>
      </c>
      <c r="M424" s="150" t="str">
        <f t="shared" si="31"/>
        <v>C/V - AJUST. M/O BMW CAMION</v>
      </c>
      <c r="N424" s="151">
        <f>+IF(OR($Q424=Parametres!$G$2,$Q424=Parametres!$G$3),I424,C424)</f>
        <v>3887.48</v>
      </c>
      <c r="O424" s="151">
        <f>+IF(OR($Q424=Parametres!$G$2,$Q424=Parametres!$G$3),J424,D424)</f>
        <v>523.11</v>
      </c>
      <c r="P424" s="151">
        <f>+IF(OR($Q424=Parametres!$G$2,$Q424=Parametres!$G$3),K424,E424)</f>
        <v>4410.59</v>
      </c>
      <c r="Q424" s="150" t="str">
        <f t="shared" si="32"/>
        <v>6-Coût des ventes</v>
      </c>
      <c r="R424" s="149" t="str">
        <f t="shared" si="33"/>
        <v>464</v>
      </c>
      <c r="S424" s="150" t="str">
        <f t="shared" si="34"/>
        <v>_</v>
      </c>
      <c r="T424" s="152" t="str">
        <f>+VLOOKUP($L424,Data_Validation!$A:$D,1,0)</f>
        <v>664B</v>
      </c>
      <c r="U424" s="152" t="str">
        <f>+VLOOKUP($L424,Data_Validation!$A:$D,3,0)</f>
        <v>service</v>
      </c>
      <c r="V424" s="152" t="str">
        <f>+VLOOKUP($L424,Data_Validation!$A:$D,4,0)</f>
        <v>Ajustement M/O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1803</v>
      </c>
      <c r="B425" s="685" t="s">
        <v>1804</v>
      </c>
      <c r="C425" s="1038">
        <v>78879.86</v>
      </c>
      <c r="D425" s="1038">
        <v>25234.86</v>
      </c>
      <c r="E425" s="1038">
        <v>104114.72</v>
      </c>
      <c r="F425" s="685" t="s">
        <v>2014</v>
      </c>
      <c r="G425" s="685" t="s">
        <v>1120</v>
      </c>
      <c r="H425" s="686" t="s">
        <v>3074</v>
      </c>
      <c r="I425" s="687"/>
      <c r="J425" s="687"/>
      <c r="K425" s="687"/>
      <c r="L425" s="149" t="str">
        <f t="shared" si="30"/>
        <v>670A</v>
      </c>
      <c r="M425" s="150" t="str">
        <f t="shared" si="31"/>
        <v>C/V - PIECES BT CLIENT BMW AUTO</v>
      </c>
      <c r="N425" s="151">
        <f>+IF(OR($Q425=Parametres!$G$2,$Q425=Parametres!$G$3),I425,C425)</f>
        <v>78879.86</v>
      </c>
      <c r="O425" s="151">
        <f>+IF(OR($Q425=Parametres!$G$2,$Q425=Parametres!$G$3),J425,D425)</f>
        <v>25234.86</v>
      </c>
      <c r="P425" s="151">
        <f>+IF(OR($Q425=Parametres!$G$2,$Q425=Parametres!$G$3),K425,E425)</f>
        <v>104114.72</v>
      </c>
      <c r="Q425" s="150" t="str">
        <f t="shared" si="32"/>
        <v>6-Coût des ventes</v>
      </c>
      <c r="R425" s="149" t="str">
        <f t="shared" si="33"/>
        <v>470A</v>
      </c>
      <c r="S425" s="150" t="str">
        <f t="shared" si="34"/>
        <v>_</v>
      </c>
      <c r="T425" s="152" t="str">
        <f>+VLOOKUP($L425,Data_Validation!$A:$D,1,0)</f>
        <v>670A</v>
      </c>
      <c r="U425" s="152" t="str">
        <f>+VLOOKUP($L425,Data_Validation!$A:$D,3,0)</f>
        <v>Pièces</v>
      </c>
      <c r="V425" s="152" t="str">
        <f>+VLOOKUP($L425,Data_Validation!$A:$D,4,0)</f>
        <v>Pièces Ro Clients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1784</v>
      </c>
      <c r="B426" s="685" t="s">
        <v>960</v>
      </c>
      <c r="C426" s="687">
        <v>169984.04</v>
      </c>
      <c r="D426" s="687">
        <v>38702.14</v>
      </c>
      <c r="E426" s="687">
        <v>208686.18</v>
      </c>
      <c r="F426" s="685" t="s">
        <v>2014</v>
      </c>
      <c r="G426" s="685" t="s">
        <v>1120</v>
      </c>
      <c r="H426" s="641" t="s">
        <v>3074</v>
      </c>
      <c r="I426" s="641"/>
      <c r="J426" s="641"/>
      <c r="K426" s="641"/>
      <c r="L426" s="149" t="str">
        <f t="shared" si="30"/>
        <v>670B</v>
      </c>
      <c r="M426" s="150" t="str">
        <f t="shared" si="31"/>
        <v>C/V - PIECES BT CLIENT BMW CAMION</v>
      </c>
      <c r="N426" s="151">
        <f>+IF(OR($Q426=Parametres!$G$2,$Q426=Parametres!$G$3),I426,C426)</f>
        <v>169984.04</v>
      </c>
      <c r="O426" s="151">
        <f>+IF(OR($Q426=Parametres!$G$2,$Q426=Parametres!$G$3),J426,D426)</f>
        <v>38702.14</v>
      </c>
      <c r="P426" s="151">
        <f>+IF(OR($Q426=Parametres!$G$2,$Q426=Parametres!$G$3),K426,E426)</f>
        <v>208686.18</v>
      </c>
      <c r="Q426" s="150" t="str">
        <f t="shared" si="32"/>
        <v>6-Coût des ventes</v>
      </c>
      <c r="R426" s="149" t="str">
        <f t="shared" si="33"/>
        <v>470A</v>
      </c>
      <c r="S426" s="150" t="str">
        <f t="shared" si="34"/>
        <v>_</v>
      </c>
      <c r="T426" s="152" t="str">
        <f>+VLOOKUP($L426,Data_Validation!$A:$D,1,0)</f>
        <v>670B</v>
      </c>
      <c r="U426" s="152" t="str">
        <f>+VLOOKUP($L426,Data_Validation!$A:$D,3,0)</f>
        <v>Pièces</v>
      </c>
      <c r="V426" s="152" t="str">
        <f>+VLOOKUP($L426,Data_Validation!$A:$D,4,0)</f>
        <v>Pièces Ro Clients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1606</v>
      </c>
      <c r="B427" s="685" t="s">
        <v>880</v>
      </c>
      <c r="C427" s="687">
        <v>24221.72</v>
      </c>
      <c r="D427" s="687">
        <v>3006.4</v>
      </c>
      <c r="E427" s="687">
        <v>27228.12</v>
      </c>
      <c r="F427" s="685" t="s">
        <v>2014</v>
      </c>
      <c r="G427" s="685" t="s">
        <v>1120</v>
      </c>
      <c r="H427" s="641" t="s">
        <v>3074</v>
      </c>
      <c r="I427" s="640"/>
      <c r="J427" s="640"/>
      <c r="K427" s="640"/>
      <c r="L427" s="149" t="str">
        <f t="shared" si="30"/>
        <v>670D</v>
      </c>
      <c r="M427" s="150" t="str">
        <f t="shared" si="31"/>
        <v>C/V - PIECES BT CLIENT BMW I</v>
      </c>
      <c r="N427" s="151">
        <f>+IF(OR($Q427=Parametres!$G$2,$Q427=Parametres!$G$3),I427,C427)</f>
        <v>24221.72</v>
      </c>
      <c r="O427" s="151">
        <f>+IF(OR($Q427=Parametres!$G$2,$Q427=Parametres!$G$3),J427,D427)</f>
        <v>3006.4</v>
      </c>
      <c r="P427" s="151">
        <f>+IF(OR($Q427=Parametres!$G$2,$Q427=Parametres!$G$3),K427,E427)</f>
        <v>27228.12</v>
      </c>
      <c r="Q427" s="150" t="str">
        <f t="shared" si="32"/>
        <v>6-Coût des ventes</v>
      </c>
      <c r="R427" s="149" t="str">
        <f t="shared" si="33"/>
        <v>470A</v>
      </c>
      <c r="S427" s="150" t="str">
        <f t="shared" si="34"/>
        <v>_</v>
      </c>
      <c r="T427" s="152" t="str">
        <f>+VLOOKUP($L427,Data_Validation!$A:$D,1,0)</f>
        <v>670D</v>
      </c>
      <c r="U427" s="152" t="str">
        <f>+VLOOKUP($L427,Data_Validation!$A:$D,3,0)</f>
        <v>Pièces</v>
      </c>
      <c r="V427" s="152" t="str">
        <f>+VLOOKUP($L427,Data_Validation!$A:$D,4,0)</f>
        <v>Pièces Ro Clients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1831</v>
      </c>
      <c r="B428" s="685" t="s">
        <v>1832</v>
      </c>
      <c r="C428" s="1038">
        <v>49311.69</v>
      </c>
      <c r="D428" s="1038">
        <v>10524.29</v>
      </c>
      <c r="E428" s="1038">
        <v>59835.98</v>
      </c>
      <c r="F428" s="685" t="s">
        <v>2014</v>
      </c>
      <c r="G428" s="685" t="s">
        <v>1096</v>
      </c>
      <c r="H428" s="686" t="s">
        <v>3074</v>
      </c>
      <c r="I428" s="687"/>
      <c r="J428" s="687"/>
      <c r="K428" s="687"/>
      <c r="L428" s="149" t="str">
        <f t="shared" si="30"/>
        <v>672A</v>
      </c>
      <c r="M428" s="150" t="str">
        <f t="shared" si="31"/>
        <v>C/V - PIECES GARANTIE BMW AUTO</v>
      </c>
      <c r="N428" s="151">
        <f>+IF(OR($Q428=Parametres!$G$2,$Q428=Parametres!$G$3),I428,C428)</f>
        <v>49311.69</v>
      </c>
      <c r="O428" s="151">
        <f>+IF(OR($Q428=Parametres!$G$2,$Q428=Parametres!$G$3),J428,D428)</f>
        <v>10524.29</v>
      </c>
      <c r="P428" s="151">
        <f>+IF(OR($Q428=Parametres!$G$2,$Q428=Parametres!$G$3),K428,E428)</f>
        <v>59835.98</v>
      </c>
      <c r="Q428" s="150" t="str">
        <f t="shared" si="32"/>
        <v>6-Coût des ventes</v>
      </c>
      <c r="R428" s="149" t="str">
        <f t="shared" si="33"/>
        <v>472A</v>
      </c>
      <c r="S428" s="150" t="str">
        <f t="shared" si="34"/>
        <v>_</v>
      </c>
      <c r="T428" s="152" t="str">
        <f>+VLOOKUP($L428,Data_Validation!$A:$D,1,0)</f>
        <v>672A</v>
      </c>
      <c r="U428" s="152" t="str">
        <f>+VLOOKUP($L428,Data_Validation!$A:$D,3,0)</f>
        <v>pièces</v>
      </c>
      <c r="V428" s="152" t="str">
        <f>+VLOOKUP($L428,Data_Validation!$A:$D,4,0)</f>
        <v>P/A Garantie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1826</v>
      </c>
      <c r="B429" s="685" t="s">
        <v>841</v>
      </c>
      <c r="C429" s="687">
        <v>114975.43</v>
      </c>
      <c r="D429" s="687">
        <v>12264.45</v>
      </c>
      <c r="E429" s="687">
        <v>127239.88</v>
      </c>
      <c r="F429" s="685" t="s">
        <v>2014</v>
      </c>
      <c r="G429" s="685" t="s">
        <v>1096</v>
      </c>
      <c r="H429" s="641" t="s">
        <v>3074</v>
      </c>
      <c r="I429" s="640"/>
      <c r="J429" s="640"/>
      <c r="K429" s="640"/>
      <c r="L429" s="149" t="str">
        <f t="shared" si="30"/>
        <v>672B</v>
      </c>
      <c r="M429" s="150" t="str">
        <f t="shared" si="31"/>
        <v>C/V - PIECES GARANTIE BMW CAMION</v>
      </c>
      <c r="N429" s="151">
        <f>+IF(OR($Q429=Parametres!$G$2,$Q429=Parametres!$G$3),I429,C429)</f>
        <v>114975.43</v>
      </c>
      <c r="O429" s="151">
        <f>+IF(OR($Q429=Parametres!$G$2,$Q429=Parametres!$G$3),J429,D429)</f>
        <v>12264.45</v>
      </c>
      <c r="P429" s="151">
        <f>+IF(OR($Q429=Parametres!$G$2,$Q429=Parametres!$G$3),K429,E429)</f>
        <v>127239.88</v>
      </c>
      <c r="Q429" s="150" t="str">
        <f t="shared" si="32"/>
        <v>6-Coût des ventes</v>
      </c>
      <c r="R429" s="149" t="str">
        <f t="shared" si="33"/>
        <v>472A</v>
      </c>
      <c r="S429" s="150" t="str">
        <f t="shared" si="34"/>
        <v>_</v>
      </c>
      <c r="T429" s="152" t="str">
        <f>+VLOOKUP($L429,Data_Validation!$A:$D,1,0)</f>
        <v>672B</v>
      </c>
      <c r="U429" s="152" t="str">
        <f>+VLOOKUP($L429,Data_Validation!$A:$D,3,0)</f>
        <v>pièces</v>
      </c>
      <c r="V429" s="152" t="str">
        <f>+VLOOKUP($L429,Data_Validation!$A:$D,4,0)</f>
        <v>P/A Garantie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1710</v>
      </c>
      <c r="B430" s="685" t="s">
        <v>954</v>
      </c>
      <c r="C430" s="1038">
        <v>10243.879999999999</v>
      </c>
      <c r="D430" s="1038">
        <v>3142.75</v>
      </c>
      <c r="E430" s="1038">
        <v>13386.63</v>
      </c>
      <c r="F430" s="685" t="s">
        <v>2014</v>
      </c>
      <c r="G430" s="685" t="s">
        <v>434</v>
      </c>
      <c r="H430" s="686" t="s">
        <v>3074</v>
      </c>
      <c r="I430" s="687"/>
      <c r="J430" s="687"/>
      <c r="K430" s="687"/>
      <c r="L430" s="149" t="str">
        <f t="shared" si="30"/>
        <v>672D</v>
      </c>
      <c r="M430" s="150" t="str">
        <f t="shared" si="31"/>
        <v>C/V - PIECES ENTRETIEN BMW AUTO</v>
      </c>
      <c r="N430" s="151">
        <f>+IF(OR($Q430=Parametres!$G$2,$Q430=Parametres!$G$3),I430,C430)</f>
        <v>10243.879999999999</v>
      </c>
      <c r="O430" s="151">
        <f>+IF(OR($Q430=Parametres!$G$2,$Q430=Parametres!$G$3),J430,D430)</f>
        <v>3142.75</v>
      </c>
      <c r="P430" s="151">
        <f>+IF(OR($Q430=Parametres!$G$2,$Q430=Parametres!$G$3),K430,E430)</f>
        <v>13386.63</v>
      </c>
      <c r="Q430" s="150" t="str">
        <f t="shared" si="32"/>
        <v>6-Coût des ventes</v>
      </c>
      <c r="R430" s="149" t="str">
        <f t="shared" si="33"/>
        <v>472D</v>
      </c>
      <c r="S430" s="150" t="str">
        <f t="shared" si="34"/>
        <v>_</v>
      </c>
      <c r="T430" s="152" t="str">
        <f>+VLOOKUP($L430,Data_Validation!$A:$D,1,0)</f>
        <v>672D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1759</v>
      </c>
      <c r="B431" s="685" t="s">
        <v>845</v>
      </c>
      <c r="C431" s="687">
        <v>28775.32</v>
      </c>
      <c r="D431" s="687">
        <v>6276.76</v>
      </c>
      <c r="E431" s="687">
        <v>35052.080000000002</v>
      </c>
      <c r="F431" s="685" t="s">
        <v>2014</v>
      </c>
      <c r="G431" s="685" t="s">
        <v>434</v>
      </c>
      <c r="H431" s="686" t="s">
        <v>3074</v>
      </c>
      <c r="I431" s="686"/>
      <c r="J431" s="686"/>
      <c r="K431" s="686"/>
      <c r="L431" s="149" t="str">
        <f t="shared" si="30"/>
        <v>672E</v>
      </c>
      <c r="M431" s="150" t="str">
        <f t="shared" si="31"/>
        <v>C/V - PIECES ENTRETIEN BMW CAMION</v>
      </c>
      <c r="N431" s="151">
        <f>+IF(OR($Q431=Parametres!$G$2,$Q431=Parametres!$G$3),I431,C431)</f>
        <v>28775.32</v>
      </c>
      <c r="O431" s="151">
        <f>+IF(OR($Q431=Parametres!$G$2,$Q431=Parametres!$G$3),J431,D431)</f>
        <v>6276.76</v>
      </c>
      <c r="P431" s="151">
        <f>+IF(OR($Q431=Parametres!$G$2,$Q431=Parametres!$G$3),K431,E431)</f>
        <v>35052.080000000002</v>
      </c>
      <c r="Q431" s="150" t="str">
        <f t="shared" si="32"/>
        <v>6-Coût des ventes</v>
      </c>
      <c r="R431" s="149" t="str">
        <f t="shared" si="33"/>
        <v>472D</v>
      </c>
      <c r="S431" s="150" t="str">
        <f t="shared" si="34"/>
        <v>_</v>
      </c>
      <c r="T431" s="152" t="str">
        <f>+VLOOKUP($L431,Data_Validation!$A:$D,1,0)</f>
        <v>672E</v>
      </c>
      <c r="U431" s="152" t="str">
        <f>+VLOOKUP($L431,Data_Validation!$A:$D,3,0)</f>
        <v>pièces</v>
      </c>
      <c r="V431" s="152" t="str">
        <f>+VLOOKUP($L431,Data_Validation!$A:$D,4,0)</f>
        <v>P/A Garantie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1614</v>
      </c>
      <c r="B432" s="685" t="s">
        <v>785</v>
      </c>
      <c r="C432" s="687">
        <v>2502.89</v>
      </c>
      <c r="D432" s="687">
        <v>484.15</v>
      </c>
      <c r="E432" s="687">
        <v>2987.04</v>
      </c>
      <c r="F432" s="685" t="s">
        <v>2014</v>
      </c>
      <c r="G432" s="685" t="s">
        <v>434</v>
      </c>
      <c r="H432" s="641" t="s">
        <v>3074</v>
      </c>
      <c r="I432" s="640"/>
      <c r="J432" s="640"/>
      <c r="K432" s="640"/>
      <c r="L432" s="149" t="str">
        <f t="shared" si="30"/>
        <v>672G</v>
      </c>
      <c r="M432" s="150" t="str">
        <f t="shared" si="31"/>
        <v>C/V - PIECES ENTRETIEN BMW I</v>
      </c>
      <c r="N432" s="151">
        <f>+IF(OR($Q432=Parametres!$G$2,$Q432=Parametres!$G$3),I432,C432)</f>
        <v>2502.89</v>
      </c>
      <c r="O432" s="151">
        <f>+IF(OR($Q432=Parametres!$G$2,$Q432=Parametres!$G$3),J432,D432)</f>
        <v>484.15</v>
      </c>
      <c r="P432" s="151">
        <f>+IF(OR($Q432=Parametres!$G$2,$Q432=Parametres!$G$3),K432,E432)</f>
        <v>2987.04</v>
      </c>
      <c r="Q432" s="150" t="str">
        <f t="shared" si="32"/>
        <v>6-Coût des ventes</v>
      </c>
      <c r="R432" s="149" t="str">
        <f t="shared" si="33"/>
        <v>472D</v>
      </c>
      <c r="S432" s="150" t="str">
        <f t="shared" si="34"/>
        <v>_</v>
      </c>
      <c r="T432" s="152" t="str">
        <f>+VLOOKUP($L432,Data_Validation!$A:$D,1,0)</f>
        <v>672G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1034</v>
      </c>
      <c r="B433" s="685" t="s">
        <v>676</v>
      </c>
      <c r="C433" s="687">
        <v>25404.959999999999</v>
      </c>
      <c r="D433" s="687">
        <v>270.7</v>
      </c>
      <c r="E433" s="687">
        <v>25675.66</v>
      </c>
      <c r="F433" s="685" t="s">
        <v>2014</v>
      </c>
      <c r="G433" s="685" t="s">
        <v>1096</v>
      </c>
      <c r="H433" s="641" t="s">
        <v>3074</v>
      </c>
      <c r="I433" s="640"/>
      <c r="J433" s="640"/>
      <c r="K433" s="640"/>
      <c r="L433" s="149" t="str">
        <f t="shared" si="30"/>
        <v>672H</v>
      </c>
      <c r="M433" s="150" t="str">
        <f t="shared" si="31"/>
        <v>C/V - PIECES GARANTIE BMW I</v>
      </c>
      <c r="N433" s="151">
        <f>+IF(OR($Q433=Parametres!$G$2,$Q433=Parametres!$G$3),I433,C433)</f>
        <v>25404.959999999999</v>
      </c>
      <c r="O433" s="151">
        <f>+IF(OR($Q433=Parametres!$G$2,$Q433=Parametres!$G$3),J433,D433)</f>
        <v>270.7</v>
      </c>
      <c r="P433" s="151">
        <f>+IF(OR($Q433=Parametres!$G$2,$Q433=Parametres!$G$3),K433,E433)</f>
        <v>25675.66</v>
      </c>
      <c r="Q433" s="150" t="str">
        <f t="shared" si="32"/>
        <v>6-Coût des ventes</v>
      </c>
      <c r="R433" s="149" t="str">
        <f t="shared" si="33"/>
        <v>472A</v>
      </c>
      <c r="S433" s="150" t="str">
        <f t="shared" si="34"/>
        <v>_</v>
      </c>
      <c r="T433" s="152" t="str">
        <f>+VLOOKUP($L433,Data_Validation!$A:$D,1,0)</f>
        <v>672H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1754</v>
      </c>
      <c r="B434" s="685" t="s">
        <v>1755</v>
      </c>
      <c r="C434" s="1038">
        <v>39449.410000000003</v>
      </c>
      <c r="D434" s="1038">
        <v>12352.98</v>
      </c>
      <c r="E434" s="1038">
        <v>51802.39</v>
      </c>
      <c r="F434" s="685" t="s">
        <v>2014</v>
      </c>
      <c r="G434" s="685" t="s">
        <v>1132</v>
      </c>
      <c r="H434" s="686" t="s">
        <v>3074</v>
      </c>
      <c r="I434" s="687"/>
      <c r="J434" s="687"/>
      <c r="K434" s="687"/>
      <c r="L434" s="149" t="str">
        <f t="shared" si="30"/>
        <v>673A</v>
      </c>
      <c r="M434" s="150" t="str">
        <f t="shared" si="31"/>
        <v>C/V - PIECES INTERNE BMW AUTO</v>
      </c>
      <c r="N434" s="151">
        <f>+IF(OR($Q434=Parametres!$G$2,$Q434=Parametres!$G$3),I434,C434)</f>
        <v>39449.410000000003</v>
      </c>
      <c r="O434" s="151">
        <f>+IF(OR($Q434=Parametres!$G$2,$Q434=Parametres!$G$3),J434,D434)</f>
        <v>12352.98</v>
      </c>
      <c r="P434" s="151">
        <f>+IF(OR($Q434=Parametres!$G$2,$Q434=Parametres!$G$3),K434,E434)</f>
        <v>51802.39</v>
      </c>
      <c r="Q434" s="150" t="str">
        <f t="shared" si="32"/>
        <v>6-Coût des ventes</v>
      </c>
      <c r="R434" s="149" t="str">
        <f t="shared" si="33"/>
        <v>473A</v>
      </c>
      <c r="S434" s="150" t="str">
        <f t="shared" si="34"/>
        <v>_</v>
      </c>
      <c r="T434" s="152" t="str">
        <f>+VLOOKUP($L434,Data_Validation!$A:$D,1,0)</f>
        <v>673A</v>
      </c>
      <c r="U434" s="152" t="str">
        <f>+VLOOKUP($L434,Data_Validation!$A:$D,3,0)</f>
        <v>pièces</v>
      </c>
      <c r="V434" s="152" t="str">
        <f>+VLOOKUP($L434,Data_Validation!$A:$D,4,0)</f>
        <v>Ventes Internes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1798</v>
      </c>
      <c r="B435" s="685" t="s">
        <v>909</v>
      </c>
      <c r="C435" s="687">
        <v>45489.16</v>
      </c>
      <c r="D435" s="687">
        <v>7766.24</v>
      </c>
      <c r="E435" s="687">
        <v>53255.4</v>
      </c>
      <c r="F435" s="685" t="s">
        <v>2014</v>
      </c>
      <c r="G435" s="685" t="s">
        <v>1132</v>
      </c>
      <c r="H435" s="641" t="s">
        <v>3074</v>
      </c>
      <c r="I435" s="640"/>
      <c r="J435" s="640"/>
      <c r="K435" s="640"/>
      <c r="L435" s="149" t="str">
        <f t="shared" si="30"/>
        <v>673B</v>
      </c>
      <c r="M435" s="150" t="str">
        <f t="shared" si="31"/>
        <v>C/V - PIECES INTERNE BMW CAMION</v>
      </c>
      <c r="N435" s="151">
        <f>+IF(OR($Q435=Parametres!$G$2,$Q435=Parametres!$G$3),I435,C435)</f>
        <v>45489.16</v>
      </c>
      <c r="O435" s="151">
        <f>+IF(OR($Q435=Parametres!$G$2,$Q435=Parametres!$G$3),J435,D435)</f>
        <v>7766.24</v>
      </c>
      <c r="P435" s="151">
        <f>+IF(OR($Q435=Parametres!$G$2,$Q435=Parametres!$G$3),K435,E435)</f>
        <v>53255.4</v>
      </c>
      <c r="Q435" s="150" t="str">
        <f t="shared" si="32"/>
        <v>6-Coût des ventes</v>
      </c>
      <c r="R435" s="149" t="str">
        <f t="shared" si="33"/>
        <v>473A</v>
      </c>
      <c r="S435" s="150" t="str">
        <f t="shared" si="34"/>
        <v>_</v>
      </c>
      <c r="T435" s="152" t="str">
        <f>+VLOOKUP($L435,Data_Validation!$A:$D,1,0)</f>
        <v>673B</v>
      </c>
      <c r="U435" s="152" t="str">
        <f>+VLOOKUP($L435,Data_Validation!$A:$D,3,0)</f>
        <v>pièces</v>
      </c>
      <c r="V435" s="152" t="str">
        <f>+VLOOKUP($L435,Data_Validation!$A:$D,4,0)</f>
        <v>Ventes Internes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677</v>
      </c>
      <c r="B436" s="685" t="s">
        <v>678</v>
      </c>
      <c r="C436" s="1038">
        <v>1269.92</v>
      </c>
      <c r="D436" s="1038">
        <v>192.61</v>
      </c>
      <c r="E436" s="1038">
        <v>1462.53</v>
      </c>
      <c r="F436" s="685" t="s">
        <v>2014</v>
      </c>
      <c r="G436" s="685" t="s">
        <v>1132</v>
      </c>
      <c r="H436" s="686" t="s">
        <v>3074</v>
      </c>
      <c r="I436" s="687"/>
      <c r="J436" s="687"/>
      <c r="K436" s="687"/>
      <c r="L436" s="149" t="str">
        <f t="shared" si="30"/>
        <v>673D</v>
      </c>
      <c r="M436" s="150" t="str">
        <f t="shared" si="31"/>
        <v>C/V - PIECES INTERNE BMW I</v>
      </c>
      <c r="N436" s="151">
        <f>+IF(OR($Q436=Parametres!$G$2,$Q436=Parametres!$G$3),I436,C436)</f>
        <v>1269.92</v>
      </c>
      <c r="O436" s="151">
        <f>+IF(OR($Q436=Parametres!$G$2,$Q436=Parametres!$G$3),J436,D436)</f>
        <v>192.61</v>
      </c>
      <c r="P436" s="151">
        <f>+IF(OR($Q436=Parametres!$G$2,$Q436=Parametres!$G$3),K436,E436)</f>
        <v>1462.53</v>
      </c>
      <c r="Q436" s="150" t="str">
        <f t="shared" si="32"/>
        <v>6-Coût des ventes</v>
      </c>
      <c r="R436" s="149" t="str">
        <f t="shared" si="33"/>
        <v>473A</v>
      </c>
      <c r="S436" s="150" t="str">
        <f t="shared" si="34"/>
        <v>_</v>
      </c>
      <c r="T436" s="152" t="str">
        <f>+VLOOKUP($L436,Data_Validation!$A:$D,1,0)</f>
        <v>673D</v>
      </c>
      <c r="U436" s="152" t="str">
        <f>+VLOOKUP($L436,Data_Validation!$A:$D,3,0)</f>
        <v>pièces</v>
      </c>
      <c r="V436" s="152" t="str">
        <f>+VLOOKUP($L436,Data_Validation!$A:$D,4,0)</f>
        <v>Ventes Internes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1807</v>
      </c>
      <c r="B437" s="685" t="s">
        <v>1808</v>
      </c>
      <c r="C437" s="687">
        <v>66843.22</v>
      </c>
      <c r="D437" s="687">
        <v>8201.26</v>
      </c>
      <c r="E437" s="687">
        <v>75044.479999999996</v>
      </c>
      <c r="F437" s="685" t="s">
        <v>2014</v>
      </c>
      <c r="G437" s="685" t="s">
        <v>1118</v>
      </c>
      <c r="H437" s="641" t="s">
        <v>3074</v>
      </c>
      <c r="I437" s="640"/>
      <c r="J437" s="640"/>
      <c r="K437" s="640"/>
      <c r="L437" s="149" t="str">
        <f t="shared" si="30"/>
        <v>674A</v>
      </c>
      <c r="M437" s="150" t="str">
        <f t="shared" si="31"/>
        <v>C/V - PIECES COMPTOIR BMW AUTO</v>
      </c>
      <c r="N437" s="151">
        <f>+IF(OR($Q437=Parametres!$G$2,$Q437=Parametres!$G$3),I437,C437)</f>
        <v>66843.22</v>
      </c>
      <c r="O437" s="151">
        <f>+IF(OR($Q437=Parametres!$G$2,$Q437=Parametres!$G$3),J437,D437)</f>
        <v>8201.26</v>
      </c>
      <c r="P437" s="151">
        <f>+IF(OR($Q437=Parametres!$G$2,$Q437=Parametres!$G$3),K437,E437)</f>
        <v>75044.479999999996</v>
      </c>
      <c r="Q437" s="150" t="str">
        <f t="shared" si="32"/>
        <v>6-Coût des ventes</v>
      </c>
      <c r="R437" s="149" t="str">
        <f t="shared" si="33"/>
        <v>474A</v>
      </c>
      <c r="S437" s="150" t="str">
        <f t="shared" si="34"/>
        <v>_</v>
      </c>
      <c r="T437" s="152" t="str">
        <f>+VLOOKUP($L437,Data_Validation!$A:$D,1,0)</f>
        <v>674A</v>
      </c>
      <c r="U437" s="152" t="str">
        <f>+VLOOKUP($L437,Data_Validation!$A:$D,3,0)</f>
        <v>pièces</v>
      </c>
      <c r="V437" s="152" t="str">
        <f>+VLOOKUP($L437,Data_Validation!$A:$D,4,0)</f>
        <v>Ventes Détails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1699</v>
      </c>
      <c r="B438" s="685" t="s">
        <v>874</v>
      </c>
      <c r="C438" s="1038">
        <v>4544.37</v>
      </c>
      <c r="D438" s="1038">
        <v>305.98</v>
      </c>
      <c r="E438" s="1038">
        <v>4850.3500000000004</v>
      </c>
      <c r="F438" s="685" t="s">
        <v>2014</v>
      </c>
      <c r="G438" s="685" t="s">
        <v>1118</v>
      </c>
      <c r="H438" s="686" t="s">
        <v>3074</v>
      </c>
      <c r="I438" s="687"/>
      <c r="J438" s="687"/>
      <c r="K438" s="687"/>
      <c r="L438" s="149" t="str">
        <f t="shared" si="30"/>
        <v>674D</v>
      </c>
      <c r="M438" s="150" t="str">
        <f t="shared" si="31"/>
        <v>C/V - PIECES COMP. BMW LIFESTYLE</v>
      </c>
      <c r="N438" s="151">
        <f>+IF(OR($Q438=Parametres!$G$2,$Q438=Parametres!$G$3),I438,C438)</f>
        <v>4544.37</v>
      </c>
      <c r="O438" s="151">
        <f>+IF(OR($Q438=Parametres!$G$2,$Q438=Parametres!$G$3),J438,D438)</f>
        <v>305.98</v>
      </c>
      <c r="P438" s="151">
        <f>+IF(OR($Q438=Parametres!$G$2,$Q438=Parametres!$G$3),K438,E438)</f>
        <v>4850.3500000000004</v>
      </c>
      <c r="Q438" s="150" t="str">
        <f t="shared" si="32"/>
        <v>6-Coût des ventes</v>
      </c>
      <c r="R438" s="149" t="str">
        <f t="shared" si="33"/>
        <v>474A</v>
      </c>
      <c r="S438" s="150" t="str">
        <f t="shared" si="34"/>
        <v>_</v>
      </c>
      <c r="T438" s="152" t="str">
        <f>+VLOOKUP($L438,Data_Validation!$A:$D,1,0)</f>
        <v>674D</v>
      </c>
      <c r="U438" s="152" t="str">
        <f>+VLOOKUP($L438,Data_Validation!$A:$D,3,0)</f>
        <v>pièces</v>
      </c>
      <c r="V438" s="152" t="str">
        <f>+VLOOKUP($L438,Data_Validation!$A:$D,4,0)</f>
        <v>Ventes Détails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1800</v>
      </c>
      <c r="B439" s="685" t="s">
        <v>969</v>
      </c>
      <c r="C439" s="687">
        <v>24774.45</v>
      </c>
      <c r="D439" s="687">
        <v>3617.71</v>
      </c>
      <c r="E439" s="687">
        <v>28392.16</v>
      </c>
      <c r="F439" s="685" t="s">
        <v>2014</v>
      </c>
      <c r="G439" s="685" t="s">
        <v>1118</v>
      </c>
      <c r="H439" s="641" t="s">
        <v>3074</v>
      </c>
      <c r="I439" s="640"/>
      <c r="J439" s="640"/>
      <c r="K439" s="640"/>
      <c r="L439" s="149" t="str">
        <f t="shared" si="30"/>
        <v>674E</v>
      </c>
      <c r="M439" s="150" t="str">
        <f t="shared" si="31"/>
        <v>C/V - PIECES COMP. BMW ACCESSOIRE</v>
      </c>
      <c r="N439" s="151">
        <f>+IF(OR($Q439=Parametres!$G$2,$Q439=Parametres!$G$3),I439,C439)</f>
        <v>24774.45</v>
      </c>
      <c r="O439" s="496">
        <f>+IF(OR($Q439=Parametres!$G$2,$Q439=Parametres!$G$3),J439,D439)</f>
        <v>3617.71</v>
      </c>
      <c r="P439" s="151">
        <f>+IF(OR($Q439=Parametres!$G$2,$Q439=Parametres!$G$3),K439,E439)</f>
        <v>28392.16</v>
      </c>
      <c r="Q439" s="150" t="str">
        <f t="shared" si="32"/>
        <v>6-Coût des ventes</v>
      </c>
      <c r="R439" s="149" t="str">
        <f t="shared" si="33"/>
        <v>474A</v>
      </c>
      <c r="S439" s="150" t="str">
        <f t="shared" si="34"/>
        <v>_</v>
      </c>
      <c r="T439" s="152" t="str">
        <f>+VLOOKUP($L439,Data_Validation!$A:$D,1,0)</f>
        <v>674E</v>
      </c>
      <c r="U439" s="152" t="str">
        <f>+VLOOKUP($L439,Data_Validation!$A:$D,3,0)</f>
        <v>pièces</v>
      </c>
      <c r="V439" s="152" t="str">
        <f>+VLOOKUP($L439,Data_Validation!$A:$D,4,0)</f>
        <v>Ventes Détails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1680</v>
      </c>
      <c r="B440" s="685" t="s">
        <v>1681</v>
      </c>
      <c r="C440" s="687">
        <v>346992.82</v>
      </c>
      <c r="D440" s="687">
        <v>16794.96</v>
      </c>
      <c r="E440" s="687">
        <v>363787.78</v>
      </c>
      <c r="F440" s="685" t="s">
        <v>2014</v>
      </c>
      <c r="G440" s="685" t="s">
        <v>1167</v>
      </c>
      <c r="H440" s="641" t="s">
        <v>3074</v>
      </c>
      <c r="I440" s="640"/>
      <c r="J440" s="640"/>
      <c r="K440" s="640"/>
      <c r="L440" s="149" t="str">
        <f t="shared" si="30"/>
        <v>675A</v>
      </c>
      <c r="M440" s="150" t="str">
        <f t="shared" si="31"/>
        <v>C/V - PIECES GROS BMW AUTO</v>
      </c>
      <c r="N440" s="151">
        <f>+IF(OR($Q440=Parametres!$G$2,$Q440=Parametres!$G$3),I440,C440)</f>
        <v>346992.82</v>
      </c>
      <c r="O440" s="151">
        <f>+IF(OR($Q440=Parametres!$G$2,$Q440=Parametres!$G$3),J440,D440)</f>
        <v>16794.96</v>
      </c>
      <c r="P440" s="151">
        <f>+IF(OR($Q440=Parametres!$G$2,$Q440=Parametres!$G$3),K440,E440)</f>
        <v>363787.78</v>
      </c>
      <c r="Q440" s="150" t="str">
        <f t="shared" si="32"/>
        <v>6-Coût des ventes</v>
      </c>
      <c r="R440" s="149" t="str">
        <f t="shared" si="33"/>
        <v>475A</v>
      </c>
      <c r="S440" s="150" t="str">
        <f t="shared" si="34"/>
        <v>_</v>
      </c>
      <c r="T440" s="152" t="str">
        <f>+VLOOKUP($L440,Data_Validation!$A:$D,1,0)</f>
        <v>675A</v>
      </c>
      <c r="U440" s="152" t="str">
        <f>+VLOOKUP($L440,Data_Validation!$A:$D,3,0)</f>
        <v>pièces</v>
      </c>
      <c r="V440" s="152" t="str">
        <f>+VLOOKUP($L440,Data_Validation!$A:$D,4,0)</f>
        <v>Ventes de Gros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2848</v>
      </c>
      <c r="B441" s="685" t="s">
        <v>2840</v>
      </c>
      <c r="C441" s="1038">
        <v>20686.91</v>
      </c>
      <c r="D441" s="1038">
        <v>4475.8</v>
      </c>
      <c r="E441" s="1038">
        <v>25162.71</v>
      </c>
      <c r="F441" s="685" t="s">
        <v>2014</v>
      </c>
      <c r="G441" s="685" t="s">
        <v>3112</v>
      </c>
      <c r="H441" s="686" t="s">
        <v>3074</v>
      </c>
      <c r="I441" s="687"/>
      <c r="J441" s="687"/>
      <c r="K441" s="687"/>
      <c r="L441" s="149" t="str">
        <f t="shared" si="30"/>
        <v>675L</v>
      </c>
      <c r="M441" s="150" t="str">
        <f t="shared" si="31"/>
        <v>C/V - RISTOURNES VENTES WHOLESALES</v>
      </c>
      <c r="N441" s="151">
        <f>+IF(OR($Q441=Parametres!$G$2,$Q441=Parametres!$G$3),I441,C441)</f>
        <v>20686.91</v>
      </c>
      <c r="O441" s="151">
        <f>+IF(OR($Q441=Parametres!$G$2,$Q441=Parametres!$G$3),J441,D441)</f>
        <v>4475.8</v>
      </c>
      <c r="P441" s="151">
        <f>+IF(OR($Q441=Parametres!$G$2,$Q441=Parametres!$G$3),K441,E441)</f>
        <v>25162.71</v>
      </c>
      <c r="Q441" s="150" t="str">
        <f t="shared" si="32"/>
        <v>6-Coût des ventes</v>
      </c>
      <c r="R441" s="149" t="str">
        <f t="shared" si="33"/>
        <v>675</v>
      </c>
      <c r="S441" s="150" t="str">
        <f t="shared" si="34"/>
        <v>_</v>
      </c>
      <c r="T441" s="152" t="str">
        <f>+VLOOKUP($L441,Data_Validation!$A:$D,1,0)</f>
        <v>675L</v>
      </c>
      <c r="U441" s="152" t="str">
        <f>+VLOOKUP($L441,Data_Validation!$A:$D,3,0)</f>
        <v>Pièces</v>
      </c>
      <c r="V441" s="152" t="str">
        <f>+VLOOKUP($L441,Data_Validation!$A:$D,4,0)</f>
        <v>Ventes de Gros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1204</v>
      </c>
      <c r="B442" s="685" t="s">
        <v>1205</v>
      </c>
      <c r="C442" s="687">
        <v>-31020.07</v>
      </c>
      <c r="D442" s="687">
        <v>-27763.54</v>
      </c>
      <c r="E442" s="687">
        <v>-58783.61</v>
      </c>
      <c r="F442" s="685" t="s">
        <v>2014</v>
      </c>
      <c r="G442" s="685" t="s">
        <v>2252</v>
      </c>
      <c r="H442" s="641" t="s">
        <v>3074</v>
      </c>
      <c r="I442" s="640"/>
      <c r="J442" s="640"/>
      <c r="K442" s="640"/>
      <c r="L442" s="149" t="str">
        <f t="shared" si="30"/>
        <v>677A</v>
      </c>
      <c r="M442" s="150" t="str">
        <f t="shared" si="31"/>
        <v>C/V - RABAIS ACHAT VOLUME BMW AUTO</v>
      </c>
      <c r="N442" s="151">
        <f>+IF(OR($Q442=Parametres!$G$2,$Q442=Parametres!$G$3),I442,C442)</f>
        <v>-31020.07</v>
      </c>
      <c r="O442" s="151">
        <f>+IF(OR($Q442=Parametres!$G$2,$Q442=Parametres!$G$3),J442,D442)</f>
        <v>-27763.54</v>
      </c>
      <c r="P442" s="151">
        <f>+IF(OR($Q442=Parametres!$G$2,$Q442=Parametres!$G$3),K442,E442)</f>
        <v>-58783.61</v>
      </c>
      <c r="Q442" s="150" t="str">
        <f t="shared" si="32"/>
        <v>6-Coût des ventes</v>
      </c>
      <c r="R442" s="149" t="str">
        <f t="shared" si="33"/>
        <v>477</v>
      </c>
      <c r="S442" s="150" t="str">
        <f t="shared" si="34"/>
        <v>_</v>
      </c>
      <c r="T442" s="152" t="str">
        <f>+VLOOKUP($L442,Data_Validation!$A:$D,1,0)</f>
        <v>677A</v>
      </c>
      <c r="U442" s="152" t="str">
        <f>+VLOOKUP($L442,Data_Validation!$A:$D,3,0)</f>
        <v>pièces</v>
      </c>
      <c r="V442" s="152" t="str">
        <f>+VLOOKUP($L442,Data_Validation!$A:$D,4,0)</f>
        <v>Escomptes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3033</v>
      </c>
      <c r="B443" s="685" t="s">
        <v>3034</v>
      </c>
      <c r="C443" s="687">
        <v>180906.53</v>
      </c>
      <c r="D443" s="687">
        <v>0</v>
      </c>
      <c r="E443" s="687">
        <v>180906.53</v>
      </c>
      <c r="F443" s="685" t="s">
        <v>2014</v>
      </c>
      <c r="G443" s="685" t="s">
        <v>3023</v>
      </c>
      <c r="H443" s="641" t="s">
        <v>3074</v>
      </c>
      <c r="I443" s="640"/>
      <c r="J443" s="640"/>
      <c r="K443" s="640"/>
      <c r="L443" s="149" t="str">
        <f t="shared" si="30"/>
        <v>680B</v>
      </c>
      <c r="M443" s="150" t="str">
        <f t="shared" si="31"/>
        <v>C/V - ALPINA XB7</v>
      </c>
      <c r="N443" s="151">
        <f>+IF(OR($Q443=Parametres!$G$2,$Q443=Parametres!$G$3),I443,C443)</f>
        <v>180906.53</v>
      </c>
      <c r="O443" s="151">
        <f>+IF(OR($Q443=Parametres!$G$2,$Q443=Parametres!$G$3),J443,D443)</f>
        <v>0</v>
      </c>
      <c r="P443" s="151">
        <f>+IF(OR($Q443=Parametres!$G$2,$Q443=Parametres!$G$3),K443,E443)</f>
        <v>180906.53</v>
      </c>
      <c r="Q443" s="150" t="str">
        <f t="shared" si="32"/>
        <v>6-Coût des ventes</v>
      </c>
      <c r="R443" s="149" t="str">
        <f t="shared" si="33"/>
        <v>480B</v>
      </c>
      <c r="S443" s="150" t="str">
        <f t="shared" si="34"/>
        <v>_</v>
      </c>
      <c r="T443" s="152" t="str">
        <f>+VLOOKUP($L443,Data_Validation!$A:$D,1,0)</f>
        <v>680B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2517</v>
      </c>
      <c r="B444" s="685" t="s">
        <v>2521</v>
      </c>
      <c r="C444" s="687">
        <v>193432.55</v>
      </c>
      <c r="D444" s="687">
        <v>0</v>
      </c>
      <c r="E444" s="687">
        <v>193432.55</v>
      </c>
      <c r="F444" s="685" t="s">
        <v>2014</v>
      </c>
      <c r="G444" s="685" t="s">
        <v>2521</v>
      </c>
      <c r="H444" s="641" t="s">
        <v>3074</v>
      </c>
      <c r="I444" s="640"/>
      <c r="J444" s="640"/>
      <c r="K444" s="640"/>
      <c r="L444" s="149" t="str">
        <f t="shared" si="30"/>
        <v>681</v>
      </c>
      <c r="M444" s="150" t="str">
        <f t="shared" si="31"/>
        <v>XM</v>
      </c>
      <c r="N444" s="151">
        <f>+IF(OR($Q444=Parametres!$G$2,$Q444=Parametres!$G$3),I444,C444)</f>
        <v>193432.55</v>
      </c>
      <c r="O444" s="151">
        <f>+IF(OR($Q444=Parametres!$G$2,$Q444=Parametres!$G$3),J444,D444)</f>
        <v>0</v>
      </c>
      <c r="P444" s="151">
        <f>+IF(OR($Q444=Parametres!$G$2,$Q444=Parametres!$G$3),K444,E444)</f>
        <v>193432.55</v>
      </c>
      <c r="Q444" s="150" t="str">
        <f t="shared" si="32"/>
        <v>6-Coût des ventes</v>
      </c>
      <c r="R444" s="149" t="str">
        <f t="shared" si="33"/>
        <v>681</v>
      </c>
      <c r="S444" s="150" t="str">
        <f t="shared" si="34"/>
        <v>_</v>
      </c>
      <c r="T444" s="152" t="str">
        <f>+VLOOKUP($L444,Data_Validation!$A:$D,1,0)</f>
        <v>681</v>
      </c>
      <c r="U444" s="152" t="str">
        <f>+VLOOKUP($L444,Data_Validation!$A:$D,3,0)</f>
        <v>Véhicules neufs</v>
      </c>
      <c r="V444" s="152" t="str">
        <f>+VLOOKUP($L444,Data_Validation!$A:$D,4,0)</f>
        <v>Camions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970</v>
      </c>
      <c r="B445" s="685" t="s">
        <v>972</v>
      </c>
      <c r="C445" s="1038">
        <v>285436.7</v>
      </c>
      <c r="D445" s="1038">
        <v>29321.43</v>
      </c>
      <c r="E445" s="1038">
        <v>314758.13</v>
      </c>
      <c r="F445" s="685" t="s">
        <v>2014</v>
      </c>
      <c r="G445" s="685" t="s">
        <v>417</v>
      </c>
      <c r="H445" s="686" t="s">
        <v>3074</v>
      </c>
      <c r="I445" s="687"/>
      <c r="J445" s="687"/>
      <c r="K445" s="687"/>
      <c r="L445" s="149" t="str">
        <f t="shared" si="30"/>
        <v>688A</v>
      </c>
      <c r="M445" s="150" t="str">
        <f t="shared" si="31"/>
        <v>C/V - PNEUS</v>
      </c>
      <c r="N445" s="151">
        <f>+IF(OR($Q445=Parametres!$G$2,$Q445=Parametres!$G$3),I445,C445)</f>
        <v>285436.7</v>
      </c>
      <c r="O445" s="151">
        <f>+IF(OR($Q445=Parametres!$G$2,$Q445=Parametres!$G$3),J445,D445)</f>
        <v>29321.43</v>
      </c>
      <c r="P445" s="151">
        <f>+IF(OR($Q445=Parametres!$G$2,$Q445=Parametres!$G$3),K445,E445)</f>
        <v>314758.13</v>
      </c>
      <c r="Q445" s="150" t="str">
        <f t="shared" si="32"/>
        <v>6-Coût des ventes</v>
      </c>
      <c r="R445" s="149" t="str">
        <f t="shared" si="33"/>
        <v>488A</v>
      </c>
      <c r="S445" s="150" t="str">
        <f t="shared" si="34"/>
        <v>_</v>
      </c>
      <c r="T445" s="152" t="str">
        <f>+VLOOKUP($L445,Data_Validation!$A:$D,1,0)</f>
        <v>688A</v>
      </c>
      <c r="U445" s="152" t="str">
        <f>+VLOOKUP($L445,Data_Validation!$A:$D,3,0)</f>
        <v>pièces</v>
      </c>
      <c r="V445" s="152" t="str">
        <f>+VLOOKUP($L445,Data_Validation!$A:$D,4,0)</f>
        <v>Ventes Pneus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1763</v>
      </c>
      <c r="B446" s="685" t="s">
        <v>927</v>
      </c>
      <c r="C446" s="687">
        <v>20653.259999999998</v>
      </c>
      <c r="D446" s="687">
        <v>6225.62</v>
      </c>
      <c r="E446" s="687">
        <v>26878.880000000001</v>
      </c>
      <c r="F446" s="685" t="s">
        <v>2014</v>
      </c>
      <c r="G446" s="685" t="s">
        <v>445</v>
      </c>
      <c r="H446" s="641" t="s">
        <v>3074</v>
      </c>
      <c r="I446" s="640"/>
      <c r="J446" s="640"/>
      <c r="K446" s="640"/>
      <c r="L446" s="149" t="str">
        <f t="shared" si="30"/>
        <v>689A</v>
      </c>
      <c r="M446" s="150" t="str">
        <f t="shared" si="31"/>
        <v>C/V - HUILES &amp; GRAISSES</v>
      </c>
      <c r="N446" s="151">
        <f>+IF(OR($Q446=Parametres!$G$2,$Q446=Parametres!$G$3),I446,C446)</f>
        <v>20653.259999999998</v>
      </c>
      <c r="O446" s="151">
        <f>+IF(OR($Q446=Parametres!$G$2,$Q446=Parametres!$G$3),J446,D446)</f>
        <v>6225.62</v>
      </c>
      <c r="P446" s="151">
        <f>+IF(OR($Q446=Parametres!$G$2,$Q446=Parametres!$G$3),K446,E446)</f>
        <v>26878.880000000001</v>
      </c>
      <c r="Q446" s="150" t="str">
        <f t="shared" si="32"/>
        <v>6-Coût des ventes</v>
      </c>
      <c r="R446" s="149" t="str">
        <f t="shared" si="33"/>
        <v>489A</v>
      </c>
      <c r="S446" s="150" t="str">
        <f t="shared" si="34"/>
        <v>_</v>
      </c>
      <c r="T446" s="152" t="str">
        <f>+VLOOKUP($L446,Data_Validation!$A:$D,1,0)</f>
        <v>689A</v>
      </c>
      <c r="U446" s="152" t="str">
        <f>+VLOOKUP($L446,Data_Validation!$A:$D,3,0)</f>
        <v>pièces</v>
      </c>
      <c r="V446" s="152" t="str">
        <f>+VLOOKUP($L446,Data_Validation!$A:$D,4,0)</f>
        <v>Huiles et Graisse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1751</v>
      </c>
      <c r="B447" s="685" t="s">
        <v>1752</v>
      </c>
      <c r="C447" s="687">
        <v>28460.41</v>
      </c>
      <c r="D447" s="687">
        <v>5976.6</v>
      </c>
      <c r="E447" s="687">
        <v>34437.01</v>
      </c>
      <c r="F447" s="685" t="s">
        <v>2014</v>
      </c>
      <c r="G447" s="685" t="s">
        <v>445</v>
      </c>
      <c r="H447" s="641" t="s">
        <v>3074</v>
      </c>
      <c r="I447" s="641"/>
      <c r="J447" s="641"/>
      <c r="K447" s="641"/>
      <c r="L447" s="149" t="str">
        <f t="shared" si="30"/>
        <v>689B</v>
      </c>
      <c r="M447" s="150" t="str">
        <f t="shared" si="31"/>
        <v>C/V - HUILE &amp; GRAISSE</v>
      </c>
      <c r="N447" s="151">
        <f>+IF(OR($Q447=Parametres!$G$2,$Q447=Parametres!$G$3),I447,C447)</f>
        <v>28460.41</v>
      </c>
      <c r="O447" s="151">
        <f>+IF(OR($Q447=Parametres!$G$2,$Q447=Parametres!$G$3),J447,D447)</f>
        <v>5976.6</v>
      </c>
      <c r="P447" s="151">
        <f>+IF(OR($Q447=Parametres!$G$2,$Q447=Parametres!$G$3),K447,E447)</f>
        <v>34437.01</v>
      </c>
      <c r="Q447" s="150" t="str">
        <f t="shared" si="32"/>
        <v>6-Coût des ventes</v>
      </c>
      <c r="R447" s="149" t="str">
        <f t="shared" si="33"/>
        <v>489A</v>
      </c>
      <c r="S447" s="150" t="str">
        <f t="shared" si="34"/>
        <v>_</v>
      </c>
      <c r="T447" s="152" t="str">
        <f>+VLOOKUP($L447,Data_Validation!$A:$D,1,0)</f>
        <v>689B</v>
      </c>
      <c r="U447" s="152" t="str">
        <f>+VLOOKUP($L447,Data_Validation!$A:$D,3,0)</f>
        <v>pièces</v>
      </c>
      <c r="V447" s="152" t="str">
        <f>+VLOOKUP($L447,Data_Validation!$A:$D,4,0)</f>
        <v>Huiles et Graisse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1820</v>
      </c>
      <c r="B448" s="685" t="s">
        <v>963</v>
      </c>
      <c r="C448" s="687">
        <v>163855.76999999999</v>
      </c>
      <c r="D448" s="687">
        <v>26017.69</v>
      </c>
      <c r="E448" s="687">
        <v>189873.46</v>
      </c>
      <c r="F448" s="685" t="s">
        <v>2228</v>
      </c>
      <c r="G448" s="685" t="s">
        <v>2297</v>
      </c>
      <c r="H448" s="641" t="s">
        <v>3074</v>
      </c>
      <c r="I448" s="640"/>
      <c r="J448" s="640"/>
      <c r="K448" s="640"/>
      <c r="L448" s="149" t="str">
        <f t="shared" si="30"/>
        <v>11A</v>
      </c>
      <c r="M448" s="150" t="str">
        <f t="shared" si="31"/>
        <v>COMM. VENDEURS - NEUF BMW</v>
      </c>
      <c r="N448" s="151">
        <f>+IF(OR($Q448=Parametres!$G$2,$Q448=Parametres!$G$3),I448,C448)</f>
        <v>163855.76999999999</v>
      </c>
      <c r="O448" s="151">
        <f>+IF(OR($Q448=Parametres!$G$2,$Q448=Parametres!$G$3),J448,D448)</f>
        <v>26017.69</v>
      </c>
      <c r="P448" s="151">
        <f>+IF(OR($Q448=Parametres!$G$2,$Q448=Parametres!$G$3),K448,E448)</f>
        <v>189873.46</v>
      </c>
      <c r="Q448" s="150" t="str">
        <f t="shared" si="32"/>
        <v>7-Dépenses</v>
      </c>
      <c r="R448" s="149" t="str">
        <f t="shared" si="33"/>
        <v>11</v>
      </c>
      <c r="S448" s="150" t="str">
        <f t="shared" si="34"/>
        <v>_</v>
      </c>
      <c r="T448" s="152" t="str">
        <f>+VLOOKUP($L448,Data_Validation!$A:$D,1,0)</f>
        <v>11A</v>
      </c>
      <c r="U448" s="152" t="str">
        <f>+VLOOKUP($L448,Data_Validation!$A:$D,3,0)</f>
        <v>Véhicules neufs</v>
      </c>
      <c r="V448" s="152" t="str">
        <f>+VLOOKUP($L448,Data_Validation!$A:$D,4,0)</f>
        <v>Comm. vendeurs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1787</v>
      </c>
      <c r="B449" s="685" t="s">
        <v>939</v>
      </c>
      <c r="C449" s="687">
        <v>84593.49</v>
      </c>
      <c r="D449" s="687">
        <v>25050.49</v>
      </c>
      <c r="E449" s="687">
        <v>109643.98</v>
      </c>
      <c r="F449" s="685" t="s">
        <v>2228</v>
      </c>
      <c r="G449" s="685" t="s">
        <v>2297</v>
      </c>
      <c r="H449" s="641" t="s">
        <v>3074</v>
      </c>
      <c r="I449" s="640"/>
      <c r="J449" s="640"/>
      <c r="K449" s="640"/>
      <c r="L449" s="149" t="str">
        <f t="shared" si="30"/>
        <v>11C</v>
      </c>
      <c r="M449" s="150" t="str">
        <f t="shared" si="31"/>
        <v>COMM. VENDEURS - USAGE BMW</v>
      </c>
      <c r="N449" s="151">
        <f>+IF(OR($Q449=Parametres!$G$2,$Q449=Parametres!$G$3),I449,C449)</f>
        <v>84593.49</v>
      </c>
      <c r="O449" s="151">
        <f>+IF(OR($Q449=Parametres!$G$2,$Q449=Parametres!$G$3),J449,D449)</f>
        <v>25050.49</v>
      </c>
      <c r="P449" s="151">
        <f>+IF(OR($Q449=Parametres!$G$2,$Q449=Parametres!$G$3),K449,E449)</f>
        <v>109643.98</v>
      </c>
      <c r="Q449" s="150" t="str">
        <f t="shared" si="32"/>
        <v>7-Dépenses</v>
      </c>
      <c r="R449" s="149" t="str">
        <f t="shared" si="33"/>
        <v>11</v>
      </c>
      <c r="S449" s="150" t="str">
        <f t="shared" si="34"/>
        <v>_</v>
      </c>
      <c r="T449" s="152" t="str">
        <f>+VLOOKUP($L449,Data_Validation!$A:$D,1,0)</f>
        <v>11C</v>
      </c>
      <c r="U449" s="152" t="str">
        <f>+VLOOKUP($L449,Data_Validation!$A:$D,3,0)</f>
        <v>Véhicules usagés</v>
      </c>
      <c r="V449" s="152" t="str">
        <f>+VLOOKUP($L449,Data_Validation!$A:$D,4,0)</f>
        <v>Comm. vendeurs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1778</v>
      </c>
      <c r="B450" s="685" t="s">
        <v>932</v>
      </c>
      <c r="C450" s="687">
        <v>45297.02</v>
      </c>
      <c r="D450" s="687">
        <v>2550.9499999999998</v>
      </c>
      <c r="E450" s="687">
        <v>47847.97</v>
      </c>
      <c r="F450" s="685" t="s">
        <v>2228</v>
      </c>
      <c r="G450" s="685" t="s">
        <v>2296</v>
      </c>
      <c r="H450" s="641" t="s">
        <v>3074</v>
      </c>
      <c r="I450" s="640"/>
      <c r="J450" s="640"/>
      <c r="K450" s="640"/>
      <c r="L450" s="149" t="str">
        <f t="shared" ref="L450:L513" si="35">+B450</f>
        <v>12A</v>
      </c>
      <c r="M450" s="150" t="str">
        <f t="shared" ref="M450:M513" si="36">+A450</f>
        <v>COMM. F&amp;I - NEUF BMW</v>
      </c>
      <c r="N450" s="151">
        <f>+IF(OR($Q450=Parametres!$G$2,$Q450=Parametres!$G$3),I450,C450)</f>
        <v>45297.02</v>
      </c>
      <c r="O450" s="151">
        <f>+IF(OR($Q450=Parametres!$G$2,$Q450=Parametres!$G$3),J450,D450)</f>
        <v>2550.9499999999998</v>
      </c>
      <c r="P450" s="151">
        <f>+IF(OR($Q450=Parametres!$G$2,$Q450=Parametres!$G$3),K450,E450)</f>
        <v>47847.97</v>
      </c>
      <c r="Q450" s="150" t="str">
        <f t="shared" ref="Q450:Q513" si="37">+F450</f>
        <v>7-Dépenses</v>
      </c>
      <c r="R450" s="149" t="str">
        <f t="shared" ref="R450:R513" si="38">+G450</f>
        <v>12</v>
      </c>
      <c r="S450" s="150" t="str">
        <f t="shared" ref="S450:S513" si="39">+H450</f>
        <v>_</v>
      </c>
      <c r="T450" s="152" t="str">
        <f>+VLOOKUP($L450,Data_Validation!$A:$D,1,0)</f>
        <v>12A</v>
      </c>
      <c r="U450" s="152" t="str">
        <f>+VLOOKUP($L450,Data_Validation!$A:$D,3,0)</f>
        <v>Véhicules neufs</v>
      </c>
      <c r="V450" s="152" t="str">
        <f>+VLOOKUP($L450,Data_Validation!$A:$D,4,0)</f>
        <v>Comm. F&amp;I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1753</v>
      </c>
      <c r="B451" s="685" t="s">
        <v>943</v>
      </c>
      <c r="C451" s="687">
        <v>23580.71</v>
      </c>
      <c r="D451" s="687">
        <v>3265.09</v>
      </c>
      <c r="E451" s="687">
        <v>26845.8</v>
      </c>
      <c r="F451" s="685" t="s">
        <v>2228</v>
      </c>
      <c r="G451" s="685" t="s">
        <v>2296</v>
      </c>
      <c r="H451" s="641" t="s">
        <v>3074</v>
      </c>
      <c r="I451" s="640"/>
      <c r="J451" s="640"/>
      <c r="K451" s="640"/>
      <c r="L451" s="149" t="str">
        <f t="shared" si="35"/>
        <v>12C</v>
      </c>
      <c r="M451" s="150" t="str">
        <f t="shared" si="36"/>
        <v>COMM. F&amp;I - USAGE BMW</v>
      </c>
      <c r="N451" s="151">
        <f>+IF(OR($Q451=Parametres!$G$2,$Q451=Parametres!$G$3),I451,C451)</f>
        <v>23580.71</v>
      </c>
      <c r="O451" s="151">
        <f>+IF(OR($Q451=Parametres!$G$2,$Q451=Parametres!$G$3),J451,D451)</f>
        <v>3265.09</v>
      </c>
      <c r="P451" s="151">
        <f>+IF(OR($Q451=Parametres!$G$2,$Q451=Parametres!$G$3),K451,E451)</f>
        <v>26845.8</v>
      </c>
      <c r="Q451" s="150" t="str">
        <f t="shared" si="37"/>
        <v>7-Dépenses</v>
      </c>
      <c r="R451" s="149" t="str">
        <f t="shared" si="38"/>
        <v>12</v>
      </c>
      <c r="S451" s="150" t="str">
        <f t="shared" si="39"/>
        <v>_</v>
      </c>
      <c r="T451" s="152" t="str">
        <f>+VLOOKUP($L451,Data_Validation!$A:$D,1,0)</f>
        <v>12C</v>
      </c>
      <c r="U451" s="152" t="str">
        <f>+VLOOKUP($L451,Data_Validation!$A:$D,3,0)</f>
        <v>Véhicules usagés</v>
      </c>
      <c r="V451" s="152" t="str">
        <f>+VLOOKUP($L451,Data_Validation!$A:$D,4,0)</f>
        <v>Comm. F&amp;I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1741</v>
      </c>
      <c r="B452" s="685" t="s">
        <v>875</v>
      </c>
      <c r="C452" s="1038">
        <v>21213.52</v>
      </c>
      <c r="D452" s="1038">
        <v>7746</v>
      </c>
      <c r="E452" s="1038">
        <v>28959.52</v>
      </c>
      <c r="F452" s="685" t="s">
        <v>2228</v>
      </c>
      <c r="G452" s="685" t="s">
        <v>2291</v>
      </c>
      <c r="H452" s="686" t="s">
        <v>3074</v>
      </c>
      <c r="I452" s="687"/>
      <c r="J452" s="687"/>
      <c r="K452" s="687"/>
      <c r="L452" s="149" t="str">
        <f t="shared" si="35"/>
        <v>13A</v>
      </c>
      <c r="M452" s="150" t="str">
        <f t="shared" si="36"/>
        <v>FRAIS LIVRAISON - NEUF BMW</v>
      </c>
      <c r="N452" s="151">
        <f>+IF(OR($Q452=Parametres!$G$2,$Q452=Parametres!$G$3),I452,C452)</f>
        <v>21213.52</v>
      </c>
      <c r="O452" s="151">
        <f>+IF(OR($Q452=Parametres!$G$2,$Q452=Parametres!$G$3),J452,D452)</f>
        <v>7746</v>
      </c>
      <c r="P452" s="151">
        <f>+IF(OR($Q452=Parametres!$G$2,$Q452=Parametres!$G$3),K452,E452)</f>
        <v>28959.52</v>
      </c>
      <c r="Q452" s="150" t="str">
        <f t="shared" si="37"/>
        <v>7-Dépenses</v>
      </c>
      <c r="R452" s="149" t="str">
        <f t="shared" si="38"/>
        <v>13</v>
      </c>
      <c r="S452" s="150" t="str">
        <f t="shared" si="39"/>
        <v>_</v>
      </c>
      <c r="T452" s="152" t="str">
        <f>+VLOOKUP($L452,Data_Validation!$A:$D,1,0)</f>
        <v>13A</v>
      </c>
      <c r="U452" s="152" t="str">
        <f>+VLOOKUP($L452,Data_Validation!$A:$D,3,0)</f>
        <v>Véhicules neufs</v>
      </c>
      <c r="V452" s="152" t="str">
        <f>+VLOOKUP($L452,Data_Validation!$A:$D,4,0)</f>
        <v>Frais de livraison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1673</v>
      </c>
      <c r="B453" s="685" t="s">
        <v>857</v>
      </c>
      <c r="C453" s="687">
        <v>7412.63</v>
      </c>
      <c r="D453" s="687">
        <v>1267.6300000000001</v>
      </c>
      <c r="E453" s="687">
        <v>8680.26</v>
      </c>
      <c r="F453" s="685" t="s">
        <v>2228</v>
      </c>
      <c r="G453" s="685" t="s">
        <v>2291</v>
      </c>
      <c r="H453" s="641" t="s">
        <v>3074</v>
      </c>
      <c r="I453" s="640"/>
      <c r="J453" s="640"/>
      <c r="K453" s="640"/>
      <c r="L453" s="149" t="str">
        <f t="shared" si="35"/>
        <v>13C</v>
      </c>
      <c r="M453" s="150" t="str">
        <f t="shared" si="36"/>
        <v>FRAIS LIVRAISON - USAGE BMW</v>
      </c>
      <c r="N453" s="151">
        <f>+IF(OR($Q453=Parametres!$G$2,$Q453=Parametres!$G$3),I453,C453)</f>
        <v>7412.63</v>
      </c>
      <c r="O453" s="151">
        <f>+IF(OR($Q453=Parametres!$G$2,$Q453=Parametres!$G$3),J453,D453)</f>
        <v>1267.6300000000001</v>
      </c>
      <c r="P453" s="151">
        <f>+IF(OR($Q453=Parametres!$G$2,$Q453=Parametres!$G$3),K453,E453)</f>
        <v>8680.26</v>
      </c>
      <c r="Q453" s="150" t="str">
        <f t="shared" si="37"/>
        <v>7-Dépenses</v>
      </c>
      <c r="R453" s="149" t="str">
        <f t="shared" si="38"/>
        <v>13</v>
      </c>
      <c r="S453" s="150" t="str">
        <f t="shared" si="39"/>
        <v>_</v>
      </c>
      <c r="T453" s="152" t="str">
        <f>+VLOOKUP($L453,Data_Validation!$A:$D,1,0)</f>
        <v>13C</v>
      </c>
      <c r="U453" s="152" t="str">
        <f>+VLOOKUP($L453,Data_Validation!$A:$D,3,0)</f>
        <v>Véhicules usagés</v>
      </c>
      <c r="V453" s="152" t="str">
        <f>+VLOOKUP($L453,Data_Validation!$A:$D,4,0)</f>
        <v>Frais de livraison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389</v>
      </c>
      <c r="B454" s="685" t="s">
        <v>890</v>
      </c>
      <c r="C454" s="687">
        <v>16458.29</v>
      </c>
      <c r="D454" s="687">
        <v>1970.45</v>
      </c>
      <c r="E454" s="687">
        <v>18428.740000000002</v>
      </c>
      <c r="F454" s="685" t="s">
        <v>2228</v>
      </c>
      <c r="G454" s="685" t="s">
        <v>2293</v>
      </c>
      <c r="H454" s="641" t="s">
        <v>3074</v>
      </c>
      <c r="I454" s="640"/>
      <c r="J454" s="640"/>
      <c r="K454" s="640"/>
      <c r="L454" s="149" t="str">
        <f t="shared" si="35"/>
        <v>14A</v>
      </c>
      <c r="M454" s="150" t="str">
        <f t="shared" si="36"/>
        <v>ENTRETIEN INVENTAIRE NEUF</v>
      </c>
      <c r="N454" s="151">
        <f>+IF(OR($Q454=Parametres!$G$2,$Q454=Parametres!$G$3),I454,C454)</f>
        <v>16458.29</v>
      </c>
      <c r="O454" s="151">
        <f>+IF(OR($Q454=Parametres!$G$2,$Q454=Parametres!$G$3),J454,D454)</f>
        <v>1970.45</v>
      </c>
      <c r="P454" s="151">
        <f>+IF(OR($Q454=Parametres!$G$2,$Q454=Parametres!$G$3),K454,E454)</f>
        <v>18428.740000000002</v>
      </c>
      <c r="Q454" s="150" t="str">
        <f t="shared" si="37"/>
        <v>7-Dépenses</v>
      </c>
      <c r="R454" s="149" t="str">
        <f t="shared" si="38"/>
        <v>14</v>
      </c>
      <c r="S454" s="150" t="str">
        <f t="shared" si="39"/>
        <v>_</v>
      </c>
      <c r="T454" s="152" t="str">
        <f>+VLOOKUP($L454,Data_Validation!$A:$D,1,0)</f>
        <v>14A</v>
      </c>
      <c r="U454" s="152" t="str">
        <f>+VLOOKUP($L454,Data_Validation!$A:$D,3,0)</f>
        <v>Véhicules neufs</v>
      </c>
      <c r="V454" s="152" t="str">
        <f>+VLOOKUP($L454,Data_Validation!$A:$D,4,0)</f>
        <v>Entretien stock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390</v>
      </c>
      <c r="B455" s="639" t="s">
        <v>925</v>
      </c>
      <c r="C455" s="640">
        <v>5313.4</v>
      </c>
      <c r="D455" s="640">
        <v>1289.93</v>
      </c>
      <c r="E455" s="640">
        <v>6603.33</v>
      </c>
      <c r="F455" s="639" t="s">
        <v>2228</v>
      </c>
      <c r="G455" s="639" t="s">
        <v>2293</v>
      </c>
      <c r="H455" s="634" t="s">
        <v>3074</v>
      </c>
      <c r="I455" s="633"/>
      <c r="J455" s="633"/>
      <c r="K455" s="633"/>
      <c r="L455" s="149" t="str">
        <f t="shared" si="35"/>
        <v>14C</v>
      </c>
      <c r="M455" s="150" t="str">
        <f t="shared" si="36"/>
        <v>ENTRETIEN INVENTAIRE USAGE</v>
      </c>
      <c r="N455" s="151">
        <f>+IF(OR($Q455=Parametres!$G$2,$Q455=Parametres!$G$3),I455,C455)</f>
        <v>5313.4</v>
      </c>
      <c r="O455" s="151">
        <f>+IF(OR($Q455=Parametres!$G$2,$Q455=Parametres!$G$3),J455,D455)</f>
        <v>1289.93</v>
      </c>
      <c r="P455" s="151">
        <f>+IF(OR($Q455=Parametres!$G$2,$Q455=Parametres!$G$3),K455,E455)</f>
        <v>6603.33</v>
      </c>
      <c r="Q455" s="150" t="str">
        <f t="shared" si="37"/>
        <v>7-Dépenses</v>
      </c>
      <c r="R455" s="149" t="str">
        <f t="shared" si="38"/>
        <v>14</v>
      </c>
      <c r="S455" s="150" t="str">
        <f t="shared" si="39"/>
        <v>_</v>
      </c>
      <c r="T455" s="152" t="str">
        <f>+VLOOKUP($L455,Data_Validation!$A:$D,1,0)</f>
        <v>14C</v>
      </c>
      <c r="U455" s="152" t="str">
        <f>+VLOOKUP($L455,Data_Validation!$A:$D,3,0)</f>
        <v>Véhicules usagés</v>
      </c>
      <c r="V455" s="152" t="str">
        <f>+VLOOKUP($L455,Data_Validation!$A:$D,4,0)</f>
        <v>Entretien stock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1134</v>
      </c>
      <c r="B456" s="685" t="s">
        <v>892</v>
      </c>
      <c r="C456" s="687">
        <v>61180.06</v>
      </c>
      <c r="D456" s="687">
        <v>6928.72</v>
      </c>
      <c r="E456" s="687">
        <v>68108.78</v>
      </c>
      <c r="F456" s="685" t="s">
        <v>2228</v>
      </c>
      <c r="G456" s="685" t="s">
        <v>2267</v>
      </c>
      <c r="H456" s="641" t="s">
        <v>3074</v>
      </c>
      <c r="I456" s="640"/>
      <c r="J456" s="640"/>
      <c r="K456" s="640"/>
      <c r="L456" s="149" t="str">
        <f t="shared" si="35"/>
        <v>16A</v>
      </c>
      <c r="M456" s="150" t="str">
        <f t="shared" si="36"/>
        <v>PUBLICITE - NEUF BMW</v>
      </c>
      <c r="N456" s="151">
        <f>+IF(OR($Q456=Parametres!$G$2,$Q456=Parametres!$G$3),I456,C456)</f>
        <v>61180.06</v>
      </c>
      <c r="O456" s="496">
        <f>+IF(OR($Q456=Parametres!$G$2,$Q456=Parametres!$G$3),J456,D456)</f>
        <v>6928.72</v>
      </c>
      <c r="P456" s="151">
        <f>+IF(OR($Q456=Parametres!$G$2,$Q456=Parametres!$G$3),K456,E456)</f>
        <v>68108.78</v>
      </c>
      <c r="Q456" s="150" t="str">
        <f t="shared" si="37"/>
        <v>7-Dépenses</v>
      </c>
      <c r="R456" s="149" t="str">
        <f t="shared" si="38"/>
        <v>16</v>
      </c>
      <c r="S456" s="150" t="str">
        <f t="shared" si="39"/>
        <v>_</v>
      </c>
      <c r="T456" s="152" t="str">
        <f>+VLOOKUP($L456,Data_Validation!$A:$D,1,0)</f>
        <v>16A</v>
      </c>
      <c r="U456" s="152" t="str">
        <f>+VLOOKUP($L456,Data_Validation!$A:$D,3,0)</f>
        <v>Véhicules neufs</v>
      </c>
      <c r="V456" s="152" t="str">
        <f>+VLOOKUP($L456,Data_Validation!$A:$D,4,0)</f>
        <v>Publicité 1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1189</v>
      </c>
      <c r="B457" s="685" t="s">
        <v>916</v>
      </c>
      <c r="C457" s="687">
        <v>15550.56</v>
      </c>
      <c r="D457" s="687">
        <v>2603.4499999999998</v>
      </c>
      <c r="E457" s="687">
        <v>18154.009999999998</v>
      </c>
      <c r="F457" s="685" t="s">
        <v>2228</v>
      </c>
      <c r="G457" s="685" t="s">
        <v>2267</v>
      </c>
      <c r="H457" s="641" t="s">
        <v>3074</v>
      </c>
      <c r="I457" s="640"/>
      <c r="J457" s="640"/>
      <c r="K457" s="640"/>
      <c r="L457" s="149" t="str">
        <f t="shared" si="35"/>
        <v>16C</v>
      </c>
      <c r="M457" s="150" t="str">
        <f t="shared" si="36"/>
        <v>PUBLICITE - USAGE BMW</v>
      </c>
      <c r="N457" s="151">
        <f>+IF(OR($Q457=Parametres!$G$2,$Q457=Parametres!$G$3),I457,C457)</f>
        <v>15550.56</v>
      </c>
      <c r="O457" s="151">
        <f>+IF(OR($Q457=Parametres!$G$2,$Q457=Parametres!$G$3),J457,D457)</f>
        <v>2603.4499999999998</v>
      </c>
      <c r="P457" s="151">
        <f>+IF(OR($Q457=Parametres!$G$2,$Q457=Parametres!$G$3),K457,E457)</f>
        <v>18154.009999999998</v>
      </c>
      <c r="Q457" s="150" t="str">
        <f t="shared" si="37"/>
        <v>7-Dépenses</v>
      </c>
      <c r="R457" s="149" t="str">
        <f t="shared" si="38"/>
        <v>16</v>
      </c>
      <c r="S457" s="150" t="str">
        <f t="shared" si="39"/>
        <v>_</v>
      </c>
      <c r="T457" s="152" t="str">
        <f>+VLOOKUP($L457,Data_Validation!$A:$D,1,0)</f>
        <v>16C</v>
      </c>
      <c r="U457" s="152" t="str">
        <f>+VLOOKUP($L457,Data_Validation!$A:$D,3,0)</f>
        <v>Véhicules usagés</v>
      </c>
      <c r="V457" s="152" t="str">
        <f>+VLOOKUP($L457,Data_Validation!$A:$D,4,0)</f>
        <v>Publicité 1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1767</v>
      </c>
      <c r="B458" s="685" t="s">
        <v>945</v>
      </c>
      <c r="C458" s="687">
        <v>10948.45</v>
      </c>
      <c r="D458" s="687">
        <v>673.44</v>
      </c>
      <c r="E458" s="687">
        <v>11621.89</v>
      </c>
      <c r="F458" s="685" t="s">
        <v>2228</v>
      </c>
      <c r="G458" s="685" t="s">
        <v>2267</v>
      </c>
      <c r="H458" s="641" t="s">
        <v>3074</v>
      </c>
      <c r="I458" s="640"/>
      <c r="J458" s="640"/>
      <c r="K458" s="640"/>
      <c r="L458" s="149" t="str">
        <f t="shared" si="35"/>
        <v>16E</v>
      </c>
      <c r="M458" s="150" t="str">
        <f t="shared" si="36"/>
        <v>PUBLICITE - SERV. BMW</v>
      </c>
      <c r="N458" s="151">
        <f>+IF(OR($Q458=Parametres!$G$2,$Q458=Parametres!$G$3),I458,C458)</f>
        <v>10948.45</v>
      </c>
      <c r="O458" s="151">
        <f>+IF(OR($Q458=Parametres!$G$2,$Q458=Parametres!$G$3),J458,D458)</f>
        <v>673.44</v>
      </c>
      <c r="P458" s="151">
        <f>+IF(OR($Q458=Parametres!$G$2,$Q458=Parametres!$G$3),K458,E458)</f>
        <v>11621.89</v>
      </c>
      <c r="Q458" s="150" t="str">
        <f t="shared" si="37"/>
        <v>7-Dépenses</v>
      </c>
      <c r="R458" s="149" t="str">
        <f t="shared" si="38"/>
        <v>16</v>
      </c>
      <c r="S458" s="150" t="str">
        <f t="shared" si="39"/>
        <v>_</v>
      </c>
      <c r="T458" s="152" t="str">
        <f>+VLOOKUP($L458,Data_Validation!$A:$D,1,0)</f>
        <v>16E</v>
      </c>
      <c r="U458" s="152" t="str">
        <f>+VLOOKUP($L458,Data_Validation!$A:$D,3,0)</f>
        <v>Service</v>
      </c>
      <c r="V458" s="152" t="str">
        <f>+VLOOKUP($L458,Data_Validation!$A:$D,4,0)</f>
        <v>Publicité 2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1723</v>
      </c>
      <c r="B459" s="685" t="s">
        <v>860</v>
      </c>
      <c r="C459" s="1038">
        <v>7628.89</v>
      </c>
      <c r="D459" s="1038">
        <v>448.96</v>
      </c>
      <c r="E459" s="1038">
        <v>8077.85</v>
      </c>
      <c r="F459" s="685" t="s">
        <v>2228</v>
      </c>
      <c r="G459" s="685" t="s">
        <v>2267</v>
      </c>
      <c r="H459" s="686" t="s">
        <v>3074</v>
      </c>
      <c r="I459" s="687"/>
      <c r="J459" s="687"/>
      <c r="K459" s="687"/>
      <c r="L459" s="149" t="str">
        <f t="shared" si="35"/>
        <v>16G</v>
      </c>
      <c r="M459" s="150" t="str">
        <f t="shared" si="36"/>
        <v>PUBLICITE - PIECE BMW</v>
      </c>
      <c r="N459" s="151">
        <f>+IF(OR($Q459=Parametres!$G$2,$Q459=Parametres!$G$3),I459,C459)</f>
        <v>7628.89</v>
      </c>
      <c r="O459" s="151">
        <f>+IF(OR($Q459=Parametres!$G$2,$Q459=Parametres!$G$3),J459,D459)</f>
        <v>448.96</v>
      </c>
      <c r="P459" s="151">
        <f>+IF(OR($Q459=Parametres!$G$2,$Q459=Parametres!$G$3),K459,E459)</f>
        <v>8077.85</v>
      </c>
      <c r="Q459" s="150" t="str">
        <f t="shared" si="37"/>
        <v>7-Dépenses</v>
      </c>
      <c r="R459" s="149" t="str">
        <f t="shared" si="38"/>
        <v>16</v>
      </c>
      <c r="S459" s="150" t="str">
        <f t="shared" si="39"/>
        <v>_</v>
      </c>
      <c r="T459" s="152" t="str">
        <f>+VLOOKUP($L459,Data_Validation!$A:$D,1,0)</f>
        <v>16G</v>
      </c>
      <c r="U459" s="152" t="str">
        <f>+VLOOKUP($L459,Data_Validation!$A:$D,3,0)</f>
        <v>Pièces</v>
      </c>
      <c r="V459" s="152" t="str">
        <f>+VLOOKUP($L459,Data_Validation!$A:$D,4,0)</f>
        <v>Publicité 2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1665</v>
      </c>
      <c r="B460" s="685" t="s">
        <v>930</v>
      </c>
      <c r="C460" s="1038">
        <v>-2820</v>
      </c>
      <c r="D460" s="1038">
        <v>1260</v>
      </c>
      <c r="E460" s="1038">
        <v>-1560</v>
      </c>
      <c r="F460" s="685" t="s">
        <v>2228</v>
      </c>
      <c r="G460" s="685" t="s">
        <v>2256</v>
      </c>
      <c r="H460" s="686" t="s">
        <v>3074</v>
      </c>
      <c r="I460" s="687"/>
      <c r="J460" s="687"/>
      <c r="K460" s="687"/>
      <c r="L460" s="149" t="str">
        <f t="shared" si="35"/>
        <v>17A</v>
      </c>
      <c r="M460" s="150" t="str">
        <f t="shared" si="36"/>
        <v>PUBLICITE GROUPE - NEUF BMW</v>
      </c>
      <c r="N460" s="151">
        <f>+IF(OR($Q460=Parametres!$G$2,$Q460=Parametres!$G$3),I460,C460)</f>
        <v>-2820</v>
      </c>
      <c r="O460" s="151">
        <f>+IF(OR($Q460=Parametres!$G$2,$Q460=Parametres!$G$3),J460,D460)</f>
        <v>1260</v>
      </c>
      <c r="P460" s="151">
        <f>+IF(OR($Q460=Parametres!$G$2,$Q460=Parametres!$G$3),K460,E460)</f>
        <v>-1560</v>
      </c>
      <c r="Q460" s="150" t="str">
        <f t="shared" si="37"/>
        <v>7-Dépenses</v>
      </c>
      <c r="R460" s="149" t="str">
        <f t="shared" si="38"/>
        <v>17</v>
      </c>
      <c r="S460" s="150" t="str">
        <f t="shared" si="39"/>
        <v>_</v>
      </c>
      <c r="T460" s="152" t="str">
        <f>+VLOOKUP($L460,Data_Validation!$A:$D,1,0)</f>
        <v>17A</v>
      </c>
      <c r="U460" s="152" t="str">
        <f>+VLOOKUP($L460,Data_Validation!$A:$D,3,0)</f>
        <v>Véhicules neufs</v>
      </c>
      <c r="V460" s="152" t="str">
        <f>+VLOOKUP($L460,Data_Validation!$A:$D,4,0)</f>
        <v>Publicité 1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1819</v>
      </c>
      <c r="B461" s="685" t="s">
        <v>941</v>
      </c>
      <c r="C461" s="1038">
        <v>125024.17</v>
      </c>
      <c r="D461" s="1038">
        <v>23810.33</v>
      </c>
      <c r="E461" s="1038">
        <v>148834.5</v>
      </c>
      <c r="F461" s="685" t="s">
        <v>2228</v>
      </c>
      <c r="G461" s="685" t="s">
        <v>2290</v>
      </c>
      <c r="H461" s="686" t="s">
        <v>3074</v>
      </c>
      <c r="I461" s="687"/>
      <c r="J461" s="687"/>
      <c r="K461" s="687"/>
      <c r="L461" s="149" t="str">
        <f t="shared" si="35"/>
        <v>18A</v>
      </c>
      <c r="M461" s="150" t="str">
        <f t="shared" si="36"/>
        <v>INT. FLOOR PLAN - NEUF BMW</v>
      </c>
      <c r="N461" s="151">
        <f>+IF(OR($Q461=Parametres!$G$2,$Q461=Parametres!$G$3),I461,C461)</f>
        <v>125024.17</v>
      </c>
      <c r="O461" s="151">
        <f>+IF(OR($Q461=Parametres!$G$2,$Q461=Parametres!$G$3),J461,D461)</f>
        <v>23810.33</v>
      </c>
      <c r="P461" s="151">
        <f>+IF(OR($Q461=Parametres!$G$2,$Q461=Parametres!$G$3),K461,E461)</f>
        <v>148834.5</v>
      </c>
      <c r="Q461" s="150" t="str">
        <f t="shared" si="37"/>
        <v>7-Dépenses</v>
      </c>
      <c r="R461" s="149" t="str">
        <f t="shared" si="38"/>
        <v>18</v>
      </c>
      <c r="S461" s="150" t="str">
        <f t="shared" si="39"/>
        <v>_</v>
      </c>
      <c r="T461" s="152" t="str">
        <f>+VLOOKUP($L461,Data_Validation!$A:$D,1,0)</f>
        <v>18A</v>
      </c>
      <c r="U461" s="152" t="str">
        <f>+VLOOKUP($L461,Data_Validation!$A:$D,3,0)</f>
        <v>Véhicules neufs</v>
      </c>
      <c r="V461" s="152" t="str">
        <f>+VLOOKUP($L461,Data_Validation!$A:$D,4,0)</f>
        <v>Intérêt de gros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1706</v>
      </c>
      <c r="B462" s="685" t="s">
        <v>787</v>
      </c>
      <c r="C462" s="687">
        <v>42263.57</v>
      </c>
      <c r="D462" s="687">
        <v>6408.47</v>
      </c>
      <c r="E462" s="687">
        <v>48672.04</v>
      </c>
      <c r="F462" s="685" t="s">
        <v>2228</v>
      </c>
      <c r="G462" s="685" t="s">
        <v>2290</v>
      </c>
      <c r="H462" s="641" t="s">
        <v>3074</v>
      </c>
      <c r="I462" s="640"/>
      <c r="J462" s="640"/>
      <c r="K462" s="640"/>
      <c r="L462" s="149" t="str">
        <f t="shared" si="35"/>
        <v>18C</v>
      </c>
      <c r="M462" s="150" t="str">
        <f t="shared" si="36"/>
        <v>INT. FLOOR PLAN - USAGE BMW</v>
      </c>
      <c r="N462" s="151">
        <f>+IF(OR($Q462=Parametres!$G$2,$Q462=Parametres!$G$3),I462,C462)</f>
        <v>42263.57</v>
      </c>
      <c r="O462" s="151">
        <f>+IF(OR($Q462=Parametres!$G$2,$Q462=Parametres!$G$3),J462,D462)</f>
        <v>6408.47</v>
      </c>
      <c r="P462" s="151">
        <f>+IF(OR($Q462=Parametres!$G$2,$Q462=Parametres!$G$3),K462,E462)</f>
        <v>48672.04</v>
      </c>
      <c r="Q462" s="150" t="str">
        <f t="shared" si="37"/>
        <v>7-Dépenses</v>
      </c>
      <c r="R462" s="149" t="str">
        <f t="shared" si="38"/>
        <v>18</v>
      </c>
      <c r="S462" s="150" t="str">
        <f t="shared" si="39"/>
        <v>_</v>
      </c>
      <c r="T462" s="152" t="str">
        <f>+VLOOKUP($L462,Data_Validation!$A:$D,1,0)</f>
        <v>18C</v>
      </c>
      <c r="U462" s="152" t="str">
        <f>+VLOOKUP($L462,Data_Validation!$A:$D,3,0)</f>
        <v>Véhicules usagés</v>
      </c>
      <c r="V462" s="152" t="str">
        <f>+VLOOKUP($L462,Data_Validation!$A:$D,4,0)</f>
        <v>Intérêt de gros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2850</v>
      </c>
      <c r="B463" s="685" t="s">
        <v>2851</v>
      </c>
      <c r="C463" s="687">
        <v>-22962.44</v>
      </c>
      <c r="D463" s="687">
        <v>-3142.47</v>
      </c>
      <c r="E463" s="687">
        <v>-26104.91</v>
      </c>
      <c r="F463" s="685" t="s">
        <v>2228</v>
      </c>
      <c r="G463" s="685" t="s">
        <v>2290</v>
      </c>
      <c r="H463" s="641" t="s">
        <v>3074</v>
      </c>
      <c r="I463" s="640"/>
      <c r="J463" s="640"/>
      <c r="K463" s="640"/>
      <c r="L463" s="149" t="str">
        <f t="shared" si="35"/>
        <v>18L</v>
      </c>
      <c r="M463" s="150" t="str">
        <f t="shared" si="36"/>
        <v>CREDIT INT FLOOR PLAN</v>
      </c>
      <c r="N463" s="151">
        <f>+IF(OR($Q463=Parametres!$G$2,$Q463=Parametres!$G$3),I463,C463)</f>
        <v>-22962.44</v>
      </c>
      <c r="O463" s="151">
        <f>+IF(OR($Q463=Parametres!$G$2,$Q463=Parametres!$G$3),J463,D463)</f>
        <v>-3142.47</v>
      </c>
      <c r="P463" s="151">
        <f>+IF(OR($Q463=Parametres!$G$2,$Q463=Parametres!$G$3),K463,E463)</f>
        <v>-26104.91</v>
      </c>
      <c r="Q463" s="150" t="str">
        <f t="shared" si="37"/>
        <v>7-Dépenses</v>
      </c>
      <c r="R463" s="149" t="str">
        <f t="shared" si="38"/>
        <v>18</v>
      </c>
      <c r="S463" s="150" t="str">
        <f t="shared" si="39"/>
        <v>_</v>
      </c>
      <c r="T463" s="152" t="str">
        <f>+VLOOKUP($L463,Data_Validation!$A:$D,1,0)</f>
        <v>18L</v>
      </c>
      <c r="U463" s="152" t="str">
        <f>+VLOOKUP($L463,Data_Validation!$A:$D,3,0)</f>
        <v>Autres</v>
      </c>
      <c r="V463" s="152" t="str">
        <f>+VLOOKUP($L463,Data_Validation!$A:$D,4,0)</f>
        <v>Revenus d'intérêts floor plan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1181</v>
      </c>
      <c r="B464" s="685" t="s">
        <v>461</v>
      </c>
      <c r="C464" s="687">
        <v>-31064.89</v>
      </c>
      <c r="D464" s="687">
        <v>-3758.1</v>
      </c>
      <c r="E464" s="687">
        <v>-34822.99</v>
      </c>
      <c r="F464" s="685" t="s">
        <v>2228</v>
      </c>
      <c r="G464" s="685" t="s">
        <v>2255</v>
      </c>
      <c r="H464" s="641" t="s">
        <v>3074</v>
      </c>
      <c r="I464" s="640"/>
      <c r="J464" s="640"/>
      <c r="K464" s="640"/>
      <c r="L464" s="149" t="str">
        <f t="shared" si="35"/>
        <v>19A</v>
      </c>
      <c r="M464" s="150" t="str">
        <f t="shared" si="36"/>
        <v>RECOUV. PUBLICITE - NEUF BMW</v>
      </c>
      <c r="N464" s="151">
        <f>+IF(OR($Q464=Parametres!$G$2,$Q464=Parametres!$G$3),I464,C464)</f>
        <v>-31064.89</v>
      </c>
      <c r="O464" s="151">
        <f>+IF(OR($Q464=Parametres!$G$2,$Q464=Parametres!$G$3),J464,D464)</f>
        <v>-3758.1</v>
      </c>
      <c r="P464" s="151">
        <f>+IF(OR($Q464=Parametres!$G$2,$Q464=Parametres!$G$3),K464,E464)</f>
        <v>-34822.99</v>
      </c>
      <c r="Q464" s="150" t="str">
        <f t="shared" si="37"/>
        <v>7-Dépenses</v>
      </c>
      <c r="R464" s="149" t="str">
        <f t="shared" si="38"/>
        <v>19</v>
      </c>
      <c r="S464" s="150" t="str">
        <f t="shared" si="39"/>
        <v>_</v>
      </c>
      <c r="T464" s="152" t="str">
        <f>+VLOOKUP($L464,Data_Validation!$A:$D,1,0)</f>
        <v>19A</v>
      </c>
      <c r="U464" s="152" t="str">
        <f>+VLOOKUP($L464,Data_Validation!$A:$D,3,0)</f>
        <v>Véhicules neufs</v>
      </c>
      <c r="V464" s="152" t="str">
        <f>+VLOOKUP($L464,Data_Validation!$A:$D,4,0)</f>
        <v>Publicité 1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1200</v>
      </c>
      <c r="B465" s="685" t="s">
        <v>463</v>
      </c>
      <c r="C465" s="1038">
        <v>-9458.34</v>
      </c>
      <c r="D465" s="1038">
        <v>-2318.34</v>
      </c>
      <c r="E465" s="1038">
        <v>-11776.68</v>
      </c>
      <c r="F465" s="685" t="s">
        <v>2228</v>
      </c>
      <c r="G465" s="685" t="s">
        <v>2255</v>
      </c>
      <c r="H465" s="686" t="s">
        <v>3074</v>
      </c>
      <c r="I465" s="687"/>
      <c r="J465" s="687"/>
      <c r="K465" s="687"/>
      <c r="L465" s="149" t="str">
        <f t="shared" si="35"/>
        <v>19C</v>
      </c>
      <c r="M465" s="150" t="str">
        <f t="shared" si="36"/>
        <v>RECOUV. PUBLICITE - USAGE BMW</v>
      </c>
      <c r="N465" s="151">
        <f>+IF(OR($Q465=Parametres!$G$2,$Q465=Parametres!$G$3),I465,C465)</f>
        <v>-9458.34</v>
      </c>
      <c r="O465" s="151">
        <f>+IF(OR($Q465=Parametres!$G$2,$Q465=Parametres!$G$3),J465,D465)</f>
        <v>-2318.34</v>
      </c>
      <c r="P465" s="151">
        <f>+IF(OR($Q465=Parametres!$G$2,$Q465=Parametres!$G$3),K465,E465)</f>
        <v>-11776.68</v>
      </c>
      <c r="Q465" s="150" t="str">
        <f t="shared" si="37"/>
        <v>7-Dépenses</v>
      </c>
      <c r="R465" s="149" t="str">
        <f t="shared" si="38"/>
        <v>19</v>
      </c>
      <c r="S465" s="150" t="str">
        <f t="shared" si="39"/>
        <v>_</v>
      </c>
      <c r="T465" s="152" t="str">
        <f>+VLOOKUP($L465,Data_Validation!$A:$D,1,0)</f>
        <v>19C</v>
      </c>
      <c r="U465" s="152" t="str">
        <f>+VLOOKUP($L465,Data_Validation!$A:$D,3,0)</f>
        <v>Véhicules usagés</v>
      </c>
      <c r="V465" s="152" t="str">
        <f>+VLOOKUP($L465,Data_Validation!$A:$D,4,0)</f>
        <v>Publicité 1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1822</v>
      </c>
      <c r="B466" s="685" t="s">
        <v>942</v>
      </c>
      <c r="C466" s="1038">
        <v>39364.76</v>
      </c>
      <c r="D466" s="1038">
        <v>7180.03</v>
      </c>
      <c r="E466" s="1038">
        <v>46544.79</v>
      </c>
      <c r="F466" s="685" t="s">
        <v>2228</v>
      </c>
      <c r="G466" s="685" t="s">
        <v>2288</v>
      </c>
      <c r="H466" s="686" t="s">
        <v>3074</v>
      </c>
      <c r="I466" s="687"/>
      <c r="J466" s="687"/>
      <c r="K466" s="687"/>
      <c r="L466" s="149" t="str">
        <f t="shared" si="35"/>
        <v>20A</v>
      </c>
      <c r="M466" s="150" t="str">
        <f t="shared" si="36"/>
        <v>SAL. PROPRIETAIRE - NEUF BMW</v>
      </c>
      <c r="N466" s="151">
        <f>+IF(OR($Q466=Parametres!$G$2,$Q466=Parametres!$G$3),I466,C466)</f>
        <v>39364.76</v>
      </c>
      <c r="O466" s="151">
        <f>+IF(OR($Q466=Parametres!$G$2,$Q466=Parametres!$G$3),J466,D466)</f>
        <v>7180.03</v>
      </c>
      <c r="P466" s="151">
        <f>+IF(OR($Q466=Parametres!$G$2,$Q466=Parametres!$G$3),K466,E466)</f>
        <v>46544.79</v>
      </c>
      <c r="Q466" s="150" t="str">
        <f t="shared" si="37"/>
        <v>7-Dépenses</v>
      </c>
      <c r="R466" s="149" t="str">
        <f t="shared" si="38"/>
        <v>20</v>
      </c>
      <c r="S466" s="150" t="str">
        <f t="shared" si="39"/>
        <v>_</v>
      </c>
      <c r="T466" s="152" t="str">
        <f>+VLOOKUP($L466,Data_Validation!$A:$D,1,0)</f>
        <v>20A</v>
      </c>
      <c r="U466" s="152" t="str">
        <f>+VLOOKUP($L466,Data_Validation!$A:$D,3,0)</f>
        <v>Véhicules neufs</v>
      </c>
      <c r="V466" s="152" t="str">
        <f>+VLOOKUP($L466,Data_Validation!$A:$D,4,0)</f>
        <v>Salaires propriétaire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1797</v>
      </c>
      <c r="B467" s="685" t="s">
        <v>907</v>
      </c>
      <c r="C467" s="687">
        <v>14761.79</v>
      </c>
      <c r="D467" s="687">
        <v>2692.51</v>
      </c>
      <c r="E467" s="687">
        <v>17454.3</v>
      </c>
      <c r="F467" s="685" t="s">
        <v>2228</v>
      </c>
      <c r="G467" s="685" t="s">
        <v>2288</v>
      </c>
      <c r="H467" s="641" t="s">
        <v>3074</v>
      </c>
      <c r="I467" s="640"/>
      <c r="J467" s="640"/>
      <c r="K467" s="640"/>
      <c r="L467" s="149" t="str">
        <f t="shared" si="35"/>
        <v>20C</v>
      </c>
      <c r="M467" s="150" t="str">
        <f t="shared" si="36"/>
        <v>SAL. PROPRIETAIRE - USAGE BMW</v>
      </c>
      <c r="N467" s="151">
        <f>+IF(OR($Q467=Parametres!$G$2,$Q467=Parametres!$G$3),I467,C467)</f>
        <v>14761.79</v>
      </c>
      <c r="O467" s="151">
        <f>+IF(OR($Q467=Parametres!$G$2,$Q467=Parametres!$G$3),J467,D467)</f>
        <v>2692.51</v>
      </c>
      <c r="P467" s="151">
        <f>+IF(OR($Q467=Parametres!$G$2,$Q467=Parametres!$G$3),K467,E467)</f>
        <v>17454.3</v>
      </c>
      <c r="Q467" s="150" t="str">
        <f t="shared" si="37"/>
        <v>7-Dépenses</v>
      </c>
      <c r="R467" s="149" t="str">
        <f t="shared" si="38"/>
        <v>20</v>
      </c>
      <c r="S467" s="150" t="str">
        <f t="shared" si="39"/>
        <v>_</v>
      </c>
      <c r="T467" s="152" t="str">
        <f>+VLOOKUP($L467,Data_Validation!$A:$D,1,0)</f>
        <v>20C</v>
      </c>
      <c r="U467" s="152" t="str">
        <f>+VLOOKUP($L467,Data_Validation!$A:$D,3,0)</f>
        <v>Véhicules usagés</v>
      </c>
      <c r="V467" s="152" t="str">
        <f>+VLOOKUP($L467,Data_Validation!$A:$D,4,0)</f>
        <v>Salaires propriétaire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1783</v>
      </c>
      <c r="B468" s="685" t="s">
        <v>897</v>
      </c>
      <c r="C468" s="687">
        <v>24602.98</v>
      </c>
      <c r="D468" s="687">
        <v>4487.5200000000004</v>
      </c>
      <c r="E468" s="687">
        <v>29090.5</v>
      </c>
      <c r="F468" s="685" t="s">
        <v>2228</v>
      </c>
      <c r="G468" s="685" t="s">
        <v>2288</v>
      </c>
      <c r="H468" s="641" t="s">
        <v>3074</v>
      </c>
      <c r="I468" s="640"/>
      <c r="J468" s="640"/>
      <c r="K468" s="640"/>
      <c r="L468" s="149" t="str">
        <f t="shared" si="35"/>
        <v>20E</v>
      </c>
      <c r="M468" s="150" t="str">
        <f t="shared" si="36"/>
        <v>SAL. PROPRIETAIRE - SERV. BMW</v>
      </c>
      <c r="N468" s="151">
        <f>+IF(OR($Q468=Parametres!$G$2,$Q468=Parametres!$G$3),I468,C468)</f>
        <v>24602.98</v>
      </c>
      <c r="O468" s="151">
        <f>+IF(OR($Q468=Parametres!$G$2,$Q468=Parametres!$G$3),J468,D468)</f>
        <v>4487.5200000000004</v>
      </c>
      <c r="P468" s="151">
        <f>+IF(OR($Q468=Parametres!$G$2,$Q468=Parametres!$G$3),K468,E468)</f>
        <v>29090.5</v>
      </c>
      <c r="Q468" s="150" t="str">
        <f t="shared" si="37"/>
        <v>7-Dépenses</v>
      </c>
      <c r="R468" s="149" t="str">
        <f t="shared" si="38"/>
        <v>20</v>
      </c>
      <c r="S468" s="150" t="str">
        <f t="shared" si="39"/>
        <v>_</v>
      </c>
      <c r="T468" s="152" t="str">
        <f>+VLOOKUP($L468,Data_Validation!$A:$D,1,0)</f>
        <v>20E</v>
      </c>
      <c r="U468" s="152" t="str">
        <f>+VLOOKUP($L468,Data_Validation!$A:$D,3,0)</f>
        <v>Service</v>
      </c>
      <c r="V468" s="152" t="str">
        <f>+VLOOKUP($L468,Data_Validation!$A:$D,4,0)</f>
        <v>Salaires propriétaire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1774</v>
      </c>
      <c r="B469" s="685" t="s">
        <v>887</v>
      </c>
      <c r="C469" s="687">
        <v>19682.14</v>
      </c>
      <c r="D469" s="687">
        <v>3589.97</v>
      </c>
      <c r="E469" s="687">
        <v>23272.11</v>
      </c>
      <c r="F469" s="685" t="s">
        <v>2228</v>
      </c>
      <c r="G469" s="685" t="s">
        <v>2288</v>
      </c>
      <c r="H469" s="641" t="s">
        <v>3074</v>
      </c>
      <c r="I469" s="640"/>
      <c r="J469" s="640"/>
      <c r="K469" s="640"/>
      <c r="L469" s="149" t="str">
        <f t="shared" si="35"/>
        <v>20G</v>
      </c>
      <c r="M469" s="150" t="str">
        <f t="shared" si="36"/>
        <v>SAL. PROPRIETAIRE - PIECE BMW</v>
      </c>
      <c r="N469" s="151">
        <f>+IF(OR($Q469=Parametres!$G$2,$Q469=Parametres!$G$3),I469,C469)</f>
        <v>19682.14</v>
      </c>
      <c r="O469" s="151">
        <f>+IF(OR($Q469=Parametres!$G$2,$Q469=Parametres!$G$3),J469,D469)</f>
        <v>3589.97</v>
      </c>
      <c r="P469" s="151">
        <f>+IF(OR($Q469=Parametres!$G$2,$Q469=Parametres!$G$3),K469,E469)</f>
        <v>23272.11</v>
      </c>
      <c r="Q469" s="150" t="str">
        <f t="shared" si="37"/>
        <v>7-Dépenses</v>
      </c>
      <c r="R469" s="149" t="str">
        <f t="shared" si="38"/>
        <v>20</v>
      </c>
      <c r="S469" s="150" t="str">
        <f t="shared" si="39"/>
        <v>_</v>
      </c>
      <c r="T469" s="152" t="str">
        <f>+VLOOKUP($L469,Data_Validation!$A:$D,1,0)</f>
        <v>20G</v>
      </c>
      <c r="U469" s="152" t="str">
        <f>+VLOOKUP($L469,Data_Validation!$A:$D,3,0)</f>
        <v>Pièces</v>
      </c>
      <c r="V469" s="152" t="str">
        <f>+VLOOKUP($L469,Data_Validation!$A:$D,4,0)</f>
        <v>Salaires propriétaire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1824</v>
      </c>
      <c r="B470" s="685" t="s">
        <v>961</v>
      </c>
      <c r="C470" s="1038">
        <v>58826.38</v>
      </c>
      <c r="D470" s="1038">
        <v>7464.12</v>
      </c>
      <c r="E470" s="1038">
        <v>66290.5</v>
      </c>
      <c r="F470" s="685" t="s">
        <v>2228</v>
      </c>
      <c r="G470" s="685" t="s">
        <v>2287</v>
      </c>
      <c r="H470" s="686" t="s">
        <v>3074</v>
      </c>
      <c r="I470" s="687"/>
      <c r="J470" s="687"/>
      <c r="K470" s="687"/>
      <c r="L470" s="149" t="str">
        <f t="shared" si="35"/>
        <v>21A</v>
      </c>
      <c r="M470" s="150" t="str">
        <f t="shared" si="36"/>
        <v>SAL. SUPERVISION - NEUF BMW</v>
      </c>
      <c r="N470" s="151">
        <f>+IF(OR($Q470=Parametres!$G$2,$Q470=Parametres!$G$3),I470,C470)</f>
        <v>58826.38</v>
      </c>
      <c r="O470" s="151">
        <f>+IF(OR($Q470=Parametres!$G$2,$Q470=Parametres!$G$3),J470,D470)</f>
        <v>7464.12</v>
      </c>
      <c r="P470" s="151">
        <f>+IF(OR($Q470=Parametres!$G$2,$Q470=Parametres!$G$3),K470,E470)</f>
        <v>66290.5</v>
      </c>
      <c r="Q470" s="150" t="str">
        <f t="shared" si="37"/>
        <v>7-Dépenses</v>
      </c>
      <c r="R470" s="149" t="str">
        <f t="shared" si="38"/>
        <v>21</v>
      </c>
      <c r="S470" s="150" t="str">
        <f t="shared" si="39"/>
        <v>_</v>
      </c>
      <c r="T470" s="152" t="str">
        <f>+VLOOKUP($L470,Data_Validation!$A:$D,1,0)</f>
        <v>21A</v>
      </c>
      <c r="U470" s="152" t="str">
        <f>+VLOOKUP($L470,Data_Validation!$A:$D,3,0)</f>
        <v>Véhicules neufs</v>
      </c>
      <c r="V470" s="152" t="str">
        <f>+VLOOKUP($L470,Data_Validation!$A:$D,4,0)</f>
        <v>Salaires cadres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1770</v>
      </c>
      <c r="B471" s="685" t="s">
        <v>922</v>
      </c>
      <c r="C471" s="687">
        <v>36609.32</v>
      </c>
      <c r="D471" s="687">
        <v>3562.79</v>
      </c>
      <c r="E471" s="687">
        <v>40172.11</v>
      </c>
      <c r="F471" s="685" t="s">
        <v>2228</v>
      </c>
      <c r="G471" s="685" t="s">
        <v>2287</v>
      </c>
      <c r="H471" s="686" t="s">
        <v>3074</v>
      </c>
      <c r="I471" s="686"/>
      <c r="J471" s="686"/>
      <c r="K471" s="686"/>
      <c r="L471" s="149" t="str">
        <f t="shared" si="35"/>
        <v>21C</v>
      </c>
      <c r="M471" s="150" t="str">
        <f t="shared" si="36"/>
        <v>SAL. SUPERVISION - USAGE BMW</v>
      </c>
      <c r="N471" s="151">
        <f>+IF(OR($Q471=Parametres!$G$2,$Q471=Parametres!$G$3),I471,C471)</f>
        <v>36609.32</v>
      </c>
      <c r="O471" s="151">
        <f>+IF(OR($Q471=Parametres!$G$2,$Q471=Parametres!$G$3),J471,D471)</f>
        <v>3562.79</v>
      </c>
      <c r="P471" s="151">
        <f>+IF(OR($Q471=Parametres!$G$2,$Q471=Parametres!$G$3),K471,E471)</f>
        <v>40172.11</v>
      </c>
      <c r="Q471" s="150" t="str">
        <f t="shared" si="37"/>
        <v>7-Dépenses</v>
      </c>
      <c r="R471" s="149" t="str">
        <f t="shared" si="38"/>
        <v>21</v>
      </c>
      <c r="S471" s="150" t="str">
        <f t="shared" si="39"/>
        <v>_</v>
      </c>
      <c r="T471" s="152" t="str">
        <f>+VLOOKUP($L471,Data_Validation!$A:$D,1,0)</f>
        <v>21C</v>
      </c>
      <c r="U471" s="152" t="str">
        <f>+VLOOKUP($L471,Data_Validation!$A:$D,3,0)</f>
        <v>Véhicules usagés</v>
      </c>
      <c r="V471" s="152" t="str">
        <f>+VLOOKUP($L471,Data_Validation!$A:$D,4,0)</f>
        <v>Salaires cadres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1806</v>
      </c>
      <c r="B472" s="685" t="s">
        <v>950</v>
      </c>
      <c r="C472" s="1038">
        <v>56093.55</v>
      </c>
      <c r="D472" s="1038">
        <v>5522.81</v>
      </c>
      <c r="E472" s="1038">
        <v>61616.36</v>
      </c>
      <c r="F472" s="685" t="s">
        <v>2228</v>
      </c>
      <c r="G472" s="685" t="s">
        <v>2287</v>
      </c>
      <c r="H472" s="686" t="s">
        <v>3074</v>
      </c>
      <c r="I472" s="687"/>
      <c r="J472" s="687"/>
      <c r="K472" s="687"/>
      <c r="L472" s="149" t="str">
        <f t="shared" si="35"/>
        <v>21E</v>
      </c>
      <c r="M472" s="150" t="str">
        <f t="shared" si="36"/>
        <v>SAL. SUPERVISION - SERV. BMW</v>
      </c>
      <c r="N472" s="151">
        <f>+IF(OR($Q472=Parametres!$G$2,$Q472=Parametres!$G$3),I472,C472)</f>
        <v>56093.55</v>
      </c>
      <c r="O472" s="151">
        <f>+IF(OR($Q472=Parametres!$G$2,$Q472=Parametres!$G$3),J472,D472)</f>
        <v>5522.81</v>
      </c>
      <c r="P472" s="151">
        <f>+IF(OR($Q472=Parametres!$G$2,$Q472=Parametres!$G$3),K472,E472)</f>
        <v>61616.36</v>
      </c>
      <c r="Q472" s="150" t="str">
        <f t="shared" si="37"/>
        <v>7-Dépenses</v>
      </c>
      <c r="R472" s="149" t="str">
        <f t="shared" si="38"/>
        <v>21</v>
      </c>
      <c r="S472" s="150" t="str">
        <f t="shared" si="39"/>
        <v>_</v>
      </c>
      <c r="T472" s="152" t="str">
        <f>+VLOOKUP($L472,Data_Validation!$A:$D,1,0)</f>
        <v>21E</v>
      </c>
      <c r="U472" s="152" t="str">
        <f>+VLOOKUP($L472,Data_Validation!$A:$D,3,0)</f>
        <v>Service</v>
      </c>
      <c r="V472" s="152" t="str">
        <f>+VLOOKUP($L472,Data_Validation!$A:$D,4,0)</f>
        <v>Salaires cadres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1805</v>
      </c>
      <c r="B473" s="685" t="s">
        <v>938</v>
      </c>
      <c r="C473" s="687">
        <v>20670.66</v>
      </c>
      <c r="D473" s="687">
        <v>1757.12</v>
      </c>
      <c r="E473" s="687">
        <v>22427.78</v>
      </c>
      <c r="F473" s="685" t="s">
        <v>2228</v>
      </c>
      <c r="G473" s="685" t="s">
        <v>2287</v>
      </c>
      <c r="H473" s="593" t="s">
        <v>3074</v>
      </c>
      <c r="I473" s="594"/>
      <c r="J473" s="594"/>
      <c r="K473" s="594"/>
      <c r="L473" s="149" t="str">
        <f t="shared" si="35"/>
        <v>21G</v>
      </c>
      <c r="M473" s="150" t="str">
        <f t="shared" si="36"/>
        <v>SAL. SUPERVISION - PIECE BMW</v>
      </c>
      <c r="N473" s="151">
        <f>+IF(OR($Q473=Parametres!$G$2,$Q473=Parametres!$G$3),I473,C473)</f>
        <v>20670.66</v>
      </c>
      <c r="O473" s="151">
        <f>+IF(OR($Q473=Parametres!$G$2,$Q473=Parametres!$G$3),J473,D473)</f>
        <v>1757.12</v>
      </c>
      <c r="P473" s="151">
        <f>+IF(OR($Q473=Parametres!$G$2,$Q473=Parametres!$G$3),K473,E473)</f>
        <v>22427.78</v>
      </c>
      <c r="Q473" s="150" t="str">
        <f t="shared" si="37"/>
        <v>7-Dépenses</v>
      </c>
      <c r="R473" s="149" t="str">
        <f t="shared" si="38"/>
        <v>21</v>
      </c>
      <c r="S473" s="150" t="str">
        <f t="shared" si="39"/>
        <v>_</v>
      </c>
      <c r="T473" s="152" t="str">
        <f>+VLOOKUP($L473,Data_Validation!$A:$D,1,0)</f>
        <v>21G</v>
      </c>
      <c r="U473" s="152" t="str">
        <f>+VLOOKUP($L473,Data_Validation!$A:$D,3,0)</f>
        <v>Pièces</v>
      </c>
      <c r="V473" s="152" t="str">
        <f>+VLOOKUP($L473,Data_Validation!$A:$D,4,0)</f>
        <v>Salaires cadres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1791</v>
      </c>
      <c r="B474" s="685" t="s">
        <v>924</v>
      </c>
      <c r="C474" s="1038">
        <v>27120.48</v>
      </c>
      <c r="D474" s="1038">
        <v>3371.29</v>
      </c>
      <c r="E474" s="1038">
        <v>30491.77</v>
      </c>
      <c r="F474" s="685" t="s">
        <v>2228</v>
      </c>
      <c r="G474" s="685" t="s">
        <v>2286</v>
      </c>
      <c r="H474" s="686" t="s">
        <v>3074</v>
      </c>
      <c r="I474" s="687"/>
      <c r="J474" s="687"/>
      <c r="K474" s="687"/>
      <c r="L474" s="149" t="str">
        <f t="shared" si="35"/>
        <v>22A</v>
      </c>
      <c r="M474" s="150" t="str">
        <f t="shared" si="36"/>
        <v>SAL. ADMIN. - NEUF BMW</v>
      </c>
      <c r="N474" s="151">
        <f>+IF(OR($Q474=Parametres!$G$2,$Q474=Parametres!$G$3),I474,C474)</f>
        <v>27120.48</v>
      </c>
      <c r="O474" s="151">
        <f>+IF(OR($Q474=Parametres!$G$2,$Q474=Parametres!$G$3),J474,D474)</f>
        <v>3371.29</v>
      </c>
      <c r="P474" s="151">
        <f>+IF(OR($Q474=Parametres!$G$2,$Q474=Parametres!$G$3),K474,E474)</f>
        <v>30491.77</v>
      </c>
      <c r="Q474" s="150" t="str">
        <f t="shared" si="37"/>
        <v>7-Dépenses</v>
      </c>
      <c r="R474" s="149" t="str">
        <f t="shared" si="38"/>
        <v>22</v>
      </c>
      <c r="S474" s="150" t="str">
        <f t="shared" si="39"/>
        <v>_</v>
      </c>
      <c r="T474" s="152" t="str">
        <f>+VLOOKUP($L474,Data_Validation!$A:$D,1,0)</f>
        <v>22A</v>
      </c>
      <c r="U474" s="152" t="str">
        <f>+VLOOKUP($L474,Data_Validation!$A:$D,3,0)</f>
        <v>Véhicules neufs</v>
      </c>
      <c r="V474" s="152" t="str">
        <f>+VLOOKUP($L474,Data_Validation!$A:$D,4,0)</f>
        <v>Salaires commis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1704</v>
      </c>
      <c r="B475" s="685" t="s">
        <v>861</v>
      </c>
      <c r="C475" s="687">
        <v>10834.66</v>
      </c>
      <c r="D475" s="687">
        <v>1264.24</v>
      </c>
      <c r="E475" s="687">
        <v>12098.9</v>
      </c>
      <c r="F475" s="685" t="s">
        <v>2228</v>
      </c>
      <c r="G475" s="685" t="s">
        <v>2286</v>
      </c>
      <c r="H475" s="634" t="s">
        <v>3074</v>
      </c>
      <c r="I475" s="633"/>
      <c r="J475" s="633"/>
      <c r="K475" s="633"/>
      <c r="L475" s="149" t="str">
        <f t="shared" si="35"/>
        <v>22C</v>
      </c>
      <c r="M475" s="150" t="str">
        <f t="shared" si="36"/>
        <v>SAL. ADMIN. - USAGE BMW</v>
      </c>
      <c r="N475" s="151">
        <f>+IF(OR($Q475=Parametres!$G$2,$Q475=Parametres!$G$3),I475,C475)</f>
        <v>10834.66</v>
      </c>
      <c r="O475" s="151">
        <f>+IF(OR($Q475=Parametres!$G$2,$Q475=Parametres!$G$3),J475,D475)</f>
        <v>1264.24</v>
      </c>
      <c r="P475" s="151">
        <f>+IF(OR($Q475=Parametres!$G$2,$Q475=Parametres!$G$3),K475,E475)</f>
        <v>12098.9</v>
      </c>
      <c r="Q475" s="150" t="str">
        <f t="shared" si="37"/>
        <v>7-Dépenses</v>
      </c>
      <c r="R475" s="149" t="str">
        <f t="shared" si="38"/>
        <v>22</v>
      </c>
      <c r="S475" s="150" t="str">
        <f t="shared" si="39"/>
        <v>_</v>
      </c>
      <c r="T475" s="152" t="str">
        <f>+VLOOKUP($L475,Data_Validation!$A:$D,1,0)</f>
        <v>22C</v>
      </c>
      <c r="U475" s="152" t="str">
        <f>+VLOOKUP($L475,Data_Validation!$A:$D,3,0)</f>
        <v>Véhicules usagés</v>
      </c>
      <c r="V475" s="152" t="str">
        <f>+VLOOKUP($L475,Data_Validation!$A:$D,4,0)</f>
        <v>Salaires commis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1772</v>
      </c>
      <c r="B476" s="685" t="s">
        <v>921</v>
      </c>
      <c r="C476" s="687">
        <v>16097.38</v>
      </c>
      <c r="D476" s="687">
        <v>2107.0700000000002</v>
      </c>
      <c r="E476" s="687">
        <v>18204.45</v>
      </c>
      <c r="F476" s="685" t="s">
        <v>2228</v>
      </c>
      <c r="G476" s="685" t="s">
        <v>2286</v>
      </c>
      <c r="H476" s="641" t="s">
        <v>3074</v>
      </c>
      <c r="I476" s="640"/>
      <c r="J476" s="640"/>
      <c r="K476" s="640"/>
      <c r="L476" s="149" t="str">
        <f t="shared" si="35"/>
        <v>22E</v>
      </c>
      <c r="M476" s="150" t="str">
        <f t="shared" si="36"/>
        <v>SAL. ADMIN. - SERV. BMW</v>
      </c>
      <c r="N476" s="151">
        <f>+IF(OR($Q476=Parametres!$G$2,$Q476=Parametres!$G$3),I476,C476)</f>
        <v>16097.38</v>
      </c>
      <c r="O476" s="151">
        <f>+IF(OR($Q476=Parametres!$G$2,$Q476=Parametres!$G$3),J476,D476)</f>
        <v>2107.0700000000002</v>
      </c>
      <c r="P476" s="151">
        <f>+IF(OR($Q476=Parametres!$G$2,$Q476=Parametres!$G$3),K476,E476)</f>
        <v>18204.45</v>
      </c>
      <c r="Q476" s="150" t="str">
        <f t="shared" si="37"/>
        <v>7-Dépenses</v>
      </c>
      <c r="R476" s="149" t="str">
        <f t="shared" si="38"/>
        <v>22</v>
      </c>
      <c r="S476" s="150" t="str">
        <f t="shared" si="39"/>
        <v>_</v>
      </c>
      <c r="T476" s="152" t="str">
        <f>+VLOOKUP($L476,Data_Validation!$A:$D,1,0)</f>
        <v>22E</v>
      </c>
      <c r="U476" s="152" t="str">
        <f>+VLOOKUP($L476,Data_Validation!$A:$D,3,0)</f>
        <v>Service</v>
      </c>
      <c r="V476" s="152" t="str">
        <f>+VLOOKUP($L476,Data_Validation!$A:$D,4,0)</f>
        <v>Salaires commis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1743</v>
      </c>
      <c r="B477" s="685" t="s">
        <v>906</v>
      </c>
      <c r="C477" s="687">
        <v>11527.81</v>
      </c>
      <c r="D477" s="687">
        <v>1685.64</v>
      </c>
      <c r="E477" s="687">
        <v>13213.45</v>
      </c>
      <c r="F477" s="685" t="s">
        <v>2228</v>
      </c>
      <c r="G477" s="685" t="s">
        <v>2286</v>
      </c>
      <c r="H477" s="641" t="s">
        <v>3074</v>
      </c>
      <c r="I477" s="640"/>
      <c r="J477" s="640"/>
      <c r="K477" s="640"/>
      <c r="L477" s="149" t="str">
        <f t="shared" si="35"/>
        <v>22G</v>
      </c>
      <c r="M477" s="150" t="str">
        <f t="shared" si="36"/>
        <v>SAL. ADMIN. - PIECE BMW</v>
      </c>
      <c r="N477" s="151">
        <f>+IF(OR($Q477=Parametres!$G$2,$Q477=Parametres!$G$3),I477,C477)</f>
        <v>11527.81</v>
      </c>
      <c r="O477" s="151">
        <f>+IF(OR($Q477=Parametres!$G$2,$Q477=Parametres!$G$3),J477,D477)</f>
        <v>1685.64</v>
      </c>
      <c r="P477" s="151">
        <f>+IF(OR($Q477=Parametres!$G$2,$Q477=Parametres!$G$3),K477,E477)</f>
        <v>13213.45</v>
      </c>
      <c r="Q477" s="150" t="str">
        <f t="shared" si="37"/>
        <v>7-Dépenses</v>
      </c>
      <c r="R477" s="149" t="str">
        <f t="shared" si="38"/>
        <v>22</v>
      </c>
      <c r="S477" s="150" t="str">
        <f t="shared" si="39"/>
        <v>_</v>
      </c>
      <c r="T477" s="152" t="str">
        <f>+VLOOKUP($L477,Data_Validation!$A:$D,1,0)</f>
        <v>22G</v>
      </c>
      <c r="U477" s="152" t="str">
        <f>+VLOOKUP($L477,Data_Validation!$A:$D,3,0)</f>
        <v>Pièces</v>
      </c>
      <c r="V477" s="152" t="str">
        <f>+VLOOKUP($L477,Data_Validation!$A:$D,4,0)</f>
        <v>Salaires commis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1670</v>
      </c>
      <c r="B478" s="685" t="s">
        <v>910</v>
      </c>
      <c r="C478" s="1038">
        <v>520</v>
      </c>
      <c r="D478" s="1038">
        <v>135</v>
      </c>
      <c r="E478" s="1038">
        <v>655</v>
      </c>
      <c r="F478" s="685" t="s">
        <v>2228</v>
      </c>
      <c r="G478" s="685" t="s">
        <v>2268</v>
      </c>
      <c r="H478" s="686" t="s">
        <v>3074</v>
      </c>
      <c r="I478" s="687"/>
      <c r="J478" s="687"/>
      <c r="K478" s="687"/>
      <c r="L478" s="149" t="str">
        <f t="shared" si="35"/>
        <v>23A</v>
      </c>
      <c r="M478" s="150" t="str">
        <f t="shared" si="36"/>
        <v>SAL. AUTRES - NEUF BMW</v>
      </c>
      <c r="N478" s="151">
        <f>+IF(OR($Q478=Parametres!$G$2,$Q478=Parametres!$G$3),I478,C478)</f>
        <v>520</v>
      </c>
      <c r="O478" s="151">
        <f>+IF(OR($Q478=Parametres!$G$2,$Q478=Parametres!$G$3),J478,D478)</f>
        <v>135</v>
      </c>
      <c r="P478" s="151">
        <f>+IF(OR($Q478=Parametres!$G$2,$Q478=Parametres!$G$3),K478,E478)</f>
        <v>655</v>
      </c>
      <c r="Q478" s="150" t="str">
        <f t="shared" si="37"/>
        <v>7-Dépenses</v>
      </c>
      <c r="R478" s="149" t="str">
        <f t="shared" si="38"/>
        <v>23</v>
      </c>
      <c r="S478" s="150" t="str">
        <f t="shared" si="39"/>
        <v>_</v>
      </c>
      <c r="T478" s="152" t="str">
        <f>+VLOOKUP($L478,Data_Validation!$A:$D,1,0)</f>
        <v>23A</v>
      </c>
      <c r="U478" s="152" t="str">
        <f>+VLOOKUP($L478,Data_Validation!$A:$D,3,0)</f>
        <v>Véhicules neufs</v>
      </c>
      <c r="V478" s="152" t="str">
        <f>+VLOOKUP($L478,Data_Validation!$A:$D,4,0)</f>
        <v>salaires autres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1215</v>
      </c>
      <c r="B479" s="685" t="s">
        <v>949</v>
      </c>
      <c r="C479" s="1038">
        <v>76249.22</v>
      </c>
      <c r="D479" s="1038">
        <v>12719.07</v>
      </c>
      <c r="E479" s="1038">
        <v>88968.29</v>
      </c>
      <c r="F479" s="685" t="s">
        <v>2228</v>
      </c>
      <c r="G479" s="685" t="s">
        <v>2268</v>
      </c>
      <c r="H479" s="686" t="s">
        <v>3074</v>
      </c>
      <c r="I479" s="687"/>
      <c r="J479" s="687"/>
      <c r="K479" s="687"/>
      <c r="L479" s="149" t="str">
        <f t="shared" si="35"/>
        <v>23E</v>
      </c>
      <c r="M479" s="150" t="str">
        <f t="shared" si="36"/>
        <v>SAL. AUTRES - SERV. BMW</v>
      </c>
      <c r="N479" s="151">
        <f>+IF(OR($Q479=Parametres!$G$2,$Q479=Parametres!$G$3),I479,C479)</f>
        <v>76249.22</v>
      </c>
      <c r="O479" s="151">
        <f>+IF(OR($Q479=Parametres!$G$2,$Q479=Parametres!$G$3),J479,D479)</f>
        <v>12719.07</v>
      </c>
      <c r="P479" s="151">
        <f>+IF(OR($Q479=Parametres!$G$2,$Q479=Parametres!$G$3),K479,E479)</f>
        <v>88968.29</v>
      </c>
      <c r="Q479" s="150" t="str">
        <f t="shared" si="37"/>
        <v>7-Dépenses</v>
      </c>
      <c r="R479" s="149" t="str">
        <f t="shared" si="38"/>
        <v>23</v>
      </c>
      <c r="S479" s="150" t="str">
        <f t="shared" si="39"/>
        <v>_</v>
      </c>
      <c r="T479" s="152" t="str">
        <f>+VLOOKUP($L479,Data_Validation!$A:$D,1,0)</f>
        <v>23E</v>
      </c>
      <c r="U479" s="152" t="str">
        <f>+VLOOKUP($L479,Data_Validation!$A:$D,3,0)</f>
        <v>Service</v>
      </c>
      <c r="V479" s="152" t="str">
        <f>+VLOOKUP($L479,Data_Validation!$A:$D,4,0)</f>
        <v>salaires autres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1740</v>
      </c>
      <c r="B480" s="685" t="s">
        <v>962</v>
      </c>
      <c r="C480" s="687">
        <v>95673.72</v>
      </c>
      <c r="D480" s="687">
        <v>16615.14</v>
      </c>
      <c r="E480" s="687">
        <v>112288.86</v>
      </c>
      <c r="F480" s="685" t="s">
        <v>2228</v>
      </c>
      <c r="G480" s="685" t="s">
        <v>2268</v>
      </c>
      <c r="H480" s="641" t="s">
        <v>3074</v>
      </c>
      <c r="I480" s="641"/>
      <c r="J480" s="641"/>
      <c r="K480" s="641"/>
      <c r="L480" s="149" t="str">
        <f t="shared" si="35"/>
        <v>23G</v>
      </c>
      <c r="M480" s="150" t="str">
        <f t="shared" si="36"/>
        <v>SAL. AUTRES - PIECE BMW</v>
      </c>
      <c r="N480" s="151">
        <f>+IF(OR($Q480=Parametres!$G$2,$Q480=Parametres!$G$3),I480,C480)</f>
        <v>95673.72</v>
      </c>
      <c r="O480" s="151">
        <f>+IF(OR($Q480=Parametres!$G$2,$Q480=Parametres!$G$3),J480,D480)</f>
        <v>16615.14</v>
      </c>
      <c r="P480" s="151">
        <f>+IF(OR($Q480=Parametres!$G$2,$Q480=Parametres!$G$3),K480,E480)</f>
        <v>112288.86</v>
      </c>
      <c r="Q480" s="150" t="str">
        <f t="shared" si="37"/>
        <v>7-Dépenses</v>
      </c>
      <c r="R480" s="149" t="str">
        <f t="shared" si="38"/>
        <v>23</v>
      </c>
      <c r="S480" s="150" t="str">
        <f t="shared" si="39"/>
        <v>_</v>
      </c>
      <c r="T480" s="152" t="str">
        <f>+VLOOKUP($L480,Data_Validation!$A:$D,1,0)</f>
        <v>23G</v>
      </c>
      <c r="U480" s="152" t="str">
        <f>+VLOOKUP($L480,Data_Validation!$A:$D,3,0)</f>
        <v>Pièces</v>
      </c>
      <c r="V480" s="152" t="str">
        <f>+VLOOKUP($L480,Data_Validation!$A:$D,4,0)</f>
        <v>salaires autres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1703</v>
      </c>
      <c r="B481" s="685" t="s">
        <v>918</v>
      </c>
      <c r="C481" s="687">
        <v>38007.300000000003</v>
      </c>
      <c r="D481" s="687">
        <v>7199.8</v>
      </c>
      <c r="E481" s="687">
        <v>45207.1</v>
      </c>
      <c r="F481" s="685" t="s">
        <v>2228</v>
      </c>
      <c r="G481" s="685" t="s">
        <v>2276</v>
      </c>
      <c r="H481" s="641" t="s">
        <v>3074</v>
      </c>
      <c r="I481" s="640"/>
      <c r="J481" s="640"/>
      <c r="K481" s="640"/>
      <c r="L481" s="149" t="str">
        <f t="shared" si="35"/>
        <v>24A</v>
      </c>
      <c r="M481" s="150" t="str">
        <f t="shared" si="36"/>
        <v>SAL. ABSENCE - NEUF BMW</v>
      </c>
      <c r="N481" s="151">
        <f>+IF(OR($Q481=Parametres!$G$2,$Q481=Parametres!$G$3),I481,C481)</f>
        <v>38007.300000000003</v>
      </c>
      <c r="O481" s="496">
        <f>+IF(OR($Q481=Parametres!$G$2,$Q481=Parametres!$G$3),J481,D481)</f>
        <v>7199.8</v>
      </c>
      <c r="P481" s="151">
        <f>+IF(OR($Q481=Parametres!$G$2,$Q481=Parametres!$G$3),K481,E481)</f>
        <v>45207.1</v>
      </c>
      <c r="Q481" s="150" t="str">
        <f t="shared" si="37"/>
        <v>7-Dépenses</v>
      </c>
      <c r="R481" s="149" t="str">
        <f t="shared" si="38"/>
        <v>24</v>
      </c>
      <c r="S481" s="150" t="str">
        <f t="shared" si="39"/>
        <v>_</v>
      </c>
      <c r="T481" s="152" t="str">
        <f>+VLOOKUP($L481,Data_Validation!$A:$D,1,0)</f>
        <v>24A</v>
      </c>
      <c r="U481" s="152" t="str">
        <f>+VLOOKUP($L481,Data_Validation!$A:$D,3,0)</f>
        <v>Véhicules neufs</v>
      </c>
      <c r="V481" s="152" t="str">
        <f>+VLOOKUP($L481,Data_Validation!$A:$D,4,0)</f>
        <v>Salaires en absences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1212</v>
      </c>
      <c r="B482" s="685" t="s">
        <v>858</v>
      </c>
      <c r="C482" s="687">
        <v>19423.490000000002</v>
      </c>
      <c r="D482" s="687">
        <v>3710.59</v>
      </c>
      <c r="E482" s="687">
        <v>23134.080000000002</v>
      </c>
      <c r="F482" s="685" t="s">
        <v>2228</v>
      </c>
      <c r="G482" s="685" t="s">
        <v>2276</v>
      </c>
      <c r="H482" s="595" t="s">
        <v>3074</v>
      </c>
      <c r="I482" s="595"/>
      <c r="J482" s="595"/>
      <c r="K482" s="595"/>
      <c r="L482" s="149" t="str">
        <f t="shared" si="35"/>
        <v>24C</v>
      </c>
      <c r="M482" s="150" t="str">
        <f t="shared" si="36"/>
        <v>SAL. ABSENCE - USAGE BMW</v>
      </c>
      <c r="N482" s="151">
        <f>+IF(OR($Q482=Parametres!$G$2,$Q482=Parametres!$G$3),I482,C482)</f>
        <v>19423.490000000002</v>
      </c>
      <c r="O482" s="151">
        <f>+IF(OR($Q482=Parametres!$G$2,$Q482=Parametres!$G$3),J482,D482)</f>
        <v>3710.59</v>
      </c>
      <c r="P482" s="151">
        <f>+IF(OR($Q482=Parametres!$G$2,$Q482=Parametres!$G$3),K482,E482)</f>
        <v>23134.080000000002</v>
      </c>
      <c r="Q482" s="150" t="str">
        <f t="shared" si="37"/>
        <v>7-Dépenses</v>
      </c>
      <c r="R482" s="149" t="str">
        <f t="shared" si="38"/>
        <v>24</v>
      </c>
      <c r="S482" s="150" t="str">
        <f t="shared" si="39"/>
        <v>_</v>
      </c>
      <c r="T482" s="152" t="str">
        <f>+VLOOKUP($L482,Data_Validation!$A:$D,1,0)</f>
        <v>24C</v>
      </c>
      <c r="U482" s="152" t="str">
        <f>+VLOOKUP($L482,Data_Validation!$A:$D,3,0)</f>
        <v>Véhicules usagés</v>
      </c>
      <c r="V482" s="152" t="str">
        <f>+VLOOKUP($L482,Data_Validation!$A:$D,4,0)</f>
        <v>Salaires en absences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1742</v>
      </c>
      <c r="B483" s="685" t="s">
        <v>952</v>
      </c>
      <c r="C483" s="1038">
        <v>71245.210000000006</v>
      </c>
      <c r="D483" s="1038">
        <v>12274.74</v>
      </c>
      <c r="E483" s="1038">
        <v>83519.95</v>
      </c>
      <c r="F483" s="685" t="s">
        <v>2228</v>
      </c>
      <c r="G483" s="685" t="s">
        <v>2276</v>
      </c>
      <c r="H483" s="686" t="s">
        <v>3074</v>
      </c>
      <c r="I483" s="687"/>
      <c r="J483" s="687"/>
      <c r="K483" s="687"/>
      <c r="L483" s="149" t="str">
        <f t="shared" si="35"/>
        <v>24E</v>
      </c>
      <c r="M483" s="150" t="str">
        <f t="shared" si="36"/>
        <v>SAL. ABSENCE - SERV. BMW</v>
      </c>
      <c r="N483" s="151">
        <f>+IF(OR($Q483=Parametres!$G$2,$Q483=Parametres!$G$3),I483,C483)</f>
        <v>71245.210000000006</v>
      </c>
      <c r="O483" s="151">
        <f>+IF(OR($Q483=Parametres!$G$2,$Q483=Parametres!$G$3),J483,D483)</f>
        <v>12274.74</v>
      </c>
      <c r="P483" s="151">
        <f>+IF(OR($Q483=Parametres!$G$2,$Q483=Parametres!$G$3),K483,E483)</f>
        <v>83519.95</v>
      </c>
      <c r="Q483" s="150" t="str">
        <f t="shared" si="37"/>
        <v>7-Dépenses</v>
      </c>
      <c r="R483" s="149" t="str">
        <f t="shared" si="38"/>
        <v>24</v>
      </c>
      <c r="S483" s="150" t="str">
        <f t="shared" si="39"/>
        <v>_</v>
      </c>
      <c r="T483" s="152" t="str">
        <f>+VLOOKUP($L483,Data_Validation!$A:$D,1,0)</f>
        <v>24E</v>
      </c>
      <c r="U483" s="152" t="str">
        <f>+VLOOKUP($L483,Data_Validation!$A:$D,3,0)</f>
        <v>Service</v>
      </c>
      <c r="V483" s="152" t="str">
        <f>+VLOOKUP($L483,Data_Validation!$A:$D,4,0)</f>
        <v>Salaires en absences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1218</v>
      </c>
      <c r="B484" s="685" t="s">
        <v>900</v>
      </c>
      <c r="C484" s="687">
        <v>17248.79</v>
      </c>
      <c r="D484" s="687">
        <v>3239.52</v>
      </c>
      <c r="E484" s="687">
        <v>20488.310000000001</v>
      </c>
      <c r="F484" s="685" t="s">
        <v>2228</v>
      </c>
      <c r="G484" s="685" t="s">
        <v>2276</v>
      </c>
      <c r="H484" s="641" t="s">
        <v>3074</v>
      </c>
      <c r="I484" s="641"/>
      <c r="J484" s="641"/>
      <c r="K484" s="641"/>
      <c r="L484" s="149" t="str">
        <f t="shared" si="35"/>
        <v>24G</v>
      </c>
      <c r="M484" s="500" t="str">
        <f t="shared" si="36"/>
        <v>SAL. ABSENCE - PIECE BMW</v>
      </c>
      <c r="N484" s="151">
        <f>+IF(OR($Q484=Parametres!$G$2,$Q484=Parametres!$G$3),I484,C484)</f>
        <v>17248.79</v>
      </c>
      <c r="O484" s="501">
        <f>+IF(OR($Q484=Parametres!$G$2,$Q484=Parametres!$G$3),J484,D484)</f>
        <v>3239.52</v>
      </c>
      <c r="P484" s="502">
        <f>+IF(OR($Q484=Parametres!$G$2,$Q484=Parametres!$G$3),K484,E484)</f>
        <v>20488.310000000001</v>
      </c>
      <c r="Q484" s="150" t="str">
        <f t="shared" si="37"/>
        <v>7-Dépenses</v>
      </c>
      <c r="R484" s="149" t="str">
        <f t="shared" si="38"/>
        <v>24</v>
      </c>
      <c r="S484" s="150" t="str">
        <f t="shared" si="39"/>
        <v>_</v>
      </c>
      <c r="T484" s="152" t="str">
        <f>+VLOOKUP($L484,Data_Validation!$A:$D,1,0)</f>
        <v>24G</v>
      </c>
      <c r="U484" s="152" t="str">
        <f>+VLOOKUP($L484,Data_Validation!$A:$D,3,0)</f>
        <v>Pièces</v>
      </c>
      <c r="V484" s="152" t="str">
        <f>+VLOOKUP($L484,Data_Validation!$A:$D,4,0)</f>
        <v>Salaires en absences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1793</v>
      </c>
      <c r="B485" s="685" t="s">
        <v>951</v>
      </c>
      <c r="C485" s="687">
        <v>46313.34</v>
      </c>
      <c r="D485" s="687">
        <v>8517.01</v>
      </c>
      <c r="E485" s="687">
        <v>54830.35</v>
      </c>
      <c r="F485" s="685" t="s">
        <v>2228</v>
      </c>
      <c r="G485" s="685" t="s">
        <v>2279</v>
      </c>
      <c r="H485" s="641" t="s">
        <v>3074</v>
      </c>
      <c r="I485" s="640"/>
      <c r="J485" s="640"/>
      <c r="K485" s="640"/>
      <c r="L485" s="149" t="str">
        <f t="shared" si="35"/>
        <v>25A</v>
      </c>
      <c r="M485" s="150" t="str">
        <f t="shared" si="36"/>
        <v>TAXES PAYE - NEUF BMW</v>
      </c>
      <c r="N485" s="151">
        <f>+IF(OR($Q485=Parametres!$G$2,$Q485=Parametres!$G$3),I485,C485)</f>
        <v>46313.34</v>
      </c>
      <c r="O485" s="151">
        <f>+IF(OR($Q485=Parametres!$G$2,$Q485=Parametres!$G$3),J485,D485)</f>
        <v>8517.01</v>
      </c>
      <c r="P485" s="151">
        <f>+IF(OR($Q485=Parametres!$G$2,$Q485=Parametres!$G$3),K485,E485)</f>
        <v>54830.35</v>
      </c>
      <c r="Q485" s="150" t="str">
        <f t="shared" si="37"/>
        <v>7-Dépenses</v>
      </c>
      <c r="R485" s="149" t="str">
        <f t="shared" si="38"/>
        <v>25</v>
      </c>
      <c r="S485" s="150" t="str">
        <f t="shared" si="39"/>
        <v>_</v>
      </c>
      <c r="T485" s="152" t="str">
        <f>+VLOOKUP($L485,Data_Validation!$A:$D,1,0)</f>
        <v>25A</v>
      </c>
      <c r="U485" s="152" t="str">
        <f>+VLOOKUP($L485,Data_Validation!$A:$D,3,0)</f>
        <v>Véhicules neufs</v>
      </c>
      <c r="V485" s="152" t="str">
        <f>+VLOOKUP($L485,Data_Validation!$A:$D,4,0)</f>
        <v>Déduction à la source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1709</v>
      </c>
      <c r="B486" s="685" t="s">
        <v>883</v>
      </c>
      <c r="C486" s="1038">
        <v>23448.06</v>
      </c>
      <c r="D486" s="1038">
        <v>4433.01</v>
      </c>
      <c r="E486" s="1038">
        <v>27881.07</v>
      </c>
      <c r="F486" s="685" t="s">
        <v>2228</v>
      </c>
      <c r="G486" s="685" t="s">
        <v>2279</v>
      </c>
      <c r="H486" s="686" t="s">
        <v>3074</v>
      </c>
      <c r="I486" s="687"/>
      <c r="J486" s="687"/>
      <c r="K486" s="687"/>
      <c r="L486" s="149" t="str">
        <f t="shared" si="35"/>
        <v>25C</v>
      </c>
      <c r="M486" s="150" t="str">
        <f t="shared" si="36"/>
        <v>TAXES PAYE - USAGE BMW</v>
      </c>
      <c r="N486" s="151">
        <f>+IF(OR($Q486=Parametres!$G$2,$Q486=Parametres!$G$3),I486,C486)</f>
        <v>23448.06</v>
      </c>
      <c r="O486" s="151">
        <f>+IF(OR($Q486=Parametres!$G$2,$Q486=Parametres!$G$3),J486,D486)</f>
        <v>4433.01</v>
      </c>
      <c r="P486" s="151">
        <f>+IF(OR($Q486=Parametres!$G$2,$Q486=Parametres!$G$3),K486,E486)</f>
        <v>27881.07</v>
      </c>
      <c r="Q486" s="150" t="str">
        <f t="shared" si="37"/>
        <v>7-Dépenses</v>
      </c>
      <c r="R486" s="149" t="str">
        <f t="shared" si="38"/>
        <v>25</v>
      </c>
      <c r="S486" s="150" t="str">
        <f t="shared" si="39"/>
        <v>_</v>
      </c>
      <c r="T486" s="152" t="str">
        <f>+VLOOKUP($L486,Data_Validation!$A:$D,1,0)</f>
        <v>25C</v>
      </c>
      <c r="U486" s="152" t="str">
        <f>+VLOOKUP($L486,Data_Validation!$A:$D,3,0)</f>
        <v>Véhicules usagés</v>
      </c>
      <c r="V486" s="152" t="str">
        <f>+VLOOKUP($L486,Data_Validation!$A:$D,4,0)</f>
        <v>Déduction à la source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1757</v>
      </c>
      <c r="B487" s="685" t="s">
        <v>947</v>
      </c>
      <c r="C487" s="687">
        <v>80174.63</v>
      </c>
      <c r="D487" s="687">
        <v>14970.13</v>
      </c>
      <c r="E487" s="687">
        <v>95144.76</v>
      </c>
      <c r="F487" s="685" t="s">
        <v>2228</v>
      </c>
      <c r="G487" s="685" t="s">
        <v>2279</v>
      </c>
      <c r="H487" s="634" t="s">
        <v>3074</v>
      </c>
      <c r="I487" s="633"/>
      <c r="J487" s="633"/>
      <c r="K487" s="633"/>
      <c r="L487" s="149" t="str">
        <f t="shared" si="35"/>
        <v>25E</v>
      </c>
      <c r="M487" s="150" t="str">
        <f t="shared" si="36"/>
        <v>TAXES PAYE - SERV. BMW</v>
      </c>
      <c r="N487" s="151">
        <f>+IF(OR($Q487=Parametres!$G$2,$Q487=Parametres!$G$3),I487,C487)</f>
        <v>80174.63</v>
      </c>
      <c r="O487" s="151">
        <f>+IF(OR($Q487=Parametres!$G$2,$Q487=Parametres!$G$3),J487,D487)</f>
        <v>14970.13</v>
      </c>
      <c r="P487" s="151">
        <f>+IF(OR($Q487=Parametres!$G$2,$Q487=Parametres!$G$3),K487,E487)</f>
        <v>95144.76</v>
      </c>
      <c r="Q487" s="150" t="str">
        <f t="shared" si="37"/>
        <v>7-Dépenses</v>
      </c>
      <c r="R487" s="149" t="str">
        <f t="shared" si="38"/>
        <v>25</v>
      </c>
      <c r="S487" s="150" t="str">
        <f t="shared" si="39"/>
        <v>_</v>
      </c>
      <c r="T487" s="152" t="str">
        <f>+VLOOKUP($L487,Data_Validation!$A:$D,1,0)</f>
        <v>25E</v>
      </c>
      <c r="U487" s="152" t="str">
        <f>+VLOOKUP($L487,Data_Validation!$A:$D,3,0)</f>
        <v>Service</v>
      </c>
      <c r="V487" s="152" t="str">
        <f>+VLOOKUP($L487,Data_Validation!$A:$D,4,0)</f>
        <v>Déduction à la source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1745</v>
      </c>
      <c r="B488" s="685" t="s">
        <v>902</v>
      </c>
      <c r="C488" s="687">
        <v>20134.73</v>
      </c>
      <c r="D488" s="687">
        <v>3168.96</v>
      </c>
      <c r="E488" s="687">
        <v>23303.69</v>
      </c>
      <c r="F488" s="685" t="s">
        <v>2228</v>
      </c>
      <c r="G488" s="685" t="s">
        <v>2279</v>
      </c>
      <c r="H488" s="641" t="s">
        <v>3074</v>
      </c>
      <c r="I488" s="640"/>
      <c r="J488" s="640"/>
      <c r="K488" s="640"/>
      <c r="L488" s="149" t="str">
        <f t="shared" si="35"/>
        <v>25G</v>
      </c>
      <c r="M488" s="150" t="str">
        <f t="shared" si="36"/>
        <v>TAXES PAYE - PIECE BMW</v>
      </c>
      <c r="N488" s="151">
        <f>+IF(OR($Q488=Parametres!$G$2,$Q488=Parametres!$G$3),I488,C488)</f>
        <v>20134.73</v>
      </c>
      <c r="O488" s="151">
        <f>+IF(OR($Q488=Parametres!$G$2,$Q488=Parametres!$G$3),J488,D488)</f>
        <v>3168.96</v>
      </c>
      <c r="P488" s="151">
        <f>+IF(OR($Q488=Parametres!$G$2,$Q488=Parametres!$G$3),K488,E488)</f>
        <v>23303.69</v>
      </c>
      <c r="Q488" s="150" t="str">
        <f t="shared" si="37"/>
        <v>7-Dépenses</v>
      </c>
      <c r="R488" s="149" t="str">
        <f t="shared" si="38"/>
        <v>25</v>
      </c>
      <c r="S488" s="150" t="str">
        <f t="shared" si="39"/>
        <v>_</v>
      </c>
      <c r="T488" s="152" t="str">
        <f>+VLOOKUP($L488,Data_Validation!$A:$D,1,0)</f>
        <v>25G</v>
      </c>
      <c r="U488" s="152" t="str">
        <f>+VLOOKUP($L488,Data_Validation!$A:$D,3,0)</f>
        <v>Pièces</v>
      </c>
      <c r="V488" s="152" t="str">
        <f>+VLOOKUP($L488,Data_Validation!$A:$D,4,0)</f>
        <v>Déduction à la source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1781</v>
      </c>
      <c r="B489" s="685" t="s">
        <v>955</v>
      </c>
      <c r="C489" s="687">
        <v>84757.89</v>
      </c>
      <c r="D489" s="687">
        <v>12723.46</v>
      </c>
      <c r="E489" s="687">
        <v>97481.35</v>
      </c>
      <c r="F489" s="685" t="s">
        <v>2228</v>
      </c>
      <c r="G489" s="685" t="s">
        <v>2294</v>
      </c>
      <c r="H489" s="634" t="s">
        <v>3074</v>
      </c>
      <c r="I489" s="633"/>
      <c r="J489" s="633"/>
      <c r="K489" s="633"/>
      <c r="L489" s="149" t="str">
        <f t="shared" si="35"/>
        <v>26E</v>
      </c>
      <c r="M489" s="150" t="str">
        <f t="shared" si="36"/>
        <v>SAL. SPECIALISTES - SERV. BMW</v>
      </c>
      <c r="N489" s="151">
        <f>+IF(OR($Q489=Parametres!$G$2,$Q489=Parametres!$G$3),I489,C489)</f>
        <v>84757.89</v>
      </c>
      <c r="O489" s="151">
        <f>+IF(OR($Q489=Parametres!$G$2,$Q489=Parametres!$G$3),J489,D489)</f>
        <v>12723.46</v>
      </c>
      <c r="P489" s="151">
        <f>+IF(OR($Q489=Parametres!$G$2,$Q489=Parametres!$G$3),K489,E489)</f>
        <v>97481.35</v>
      </c>
      <c r="Q489" s="150" t="str">
        <f t="shared" si="37"/>
        <v>7-Dépenses</v>
      </c>
      <c r="R489" s="149" t="str">
        <f t="shared" si="38"/>
        <v>26</v>
      </c>
      <c r="S489" s="150" t="str">
        <f t="shared" si="39"/>
        <v>_</v>
      </c>
      <c r="T489" s="152" t="str">
        <f>+VLOOKUP($L489,Data_Validation!$A:$D,1,0)</f>
        <v>26E</v>
      </c>
      <c r="U489" s="152" t="str">
        <f>+VLOOKUP($L489,Data_Validation!$A:$D,3,0)</f>
        <v>Service</v>
      </c>
      <c r="V489" s="152" t="str">
        <f>+VLOOKUP($L489,Data_Validation!$A:$D,4,0)</f>
        <v>Salaires spécialistes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1795</v>
      </c>
      <c r="B490" s="685" t="s">
        <v>914</v>
      </c>
      <c r="C490" s="687">
        <v>23249.74</v>
      </c>
      <c r="D490" s="687">
        <v>4625.8900000000003</v>
      </c>
      <c r="E490" s="687">
        <v>27875.63</v>
      </c>
      <c r="F490" s="685" t="s">
        <v>2228</v>
      </c>
      <c r="G490" s="685" t="s">
        <v>2273</v>
      </c>
      <c r="H490" s="641" t="s">
        <v>3074</v>
      </c>
      <c r="I490" s="640"/>
      <c r="J490" s="640"/>
      <c r="K490" s="640"/>
      <c r="L490" s="149" t="str">
        <f t="shared" si="35"/>
        <v>27A</v>
      </c>
      <c r="M490" s="150" t="str">
        <f t="shared" si="36"/>
        <v>AVANT. SOCIAUX - NEUF BMW</v>
      </c>
      <c r="N490" s="151">
        <f>+IF(OR($Q490=Parametres!$G$2,$Q490=Parametres!$G$3),I490,C490)</f>
        <v>23249.74</v>
      </c>
      <c r="O490" s="151">
        <f>+IF(OR($Q490=Parametres!$G$2,$Q490=Parametres!$G$3),J490,D490)</f>
        <v>4625.8900000000003</v>
      </c>
      <c r="P490" s="151">
        <f>+IF(OR($Q490=Parametres!$G$2,$Q490=Parametres!$G$3),K490,E490)</f>
        <v>27875.63</v>
      </c>
      <c r="Q490" s="150" t="str">
        <f t="shared" si="37"/>
        <v>7-Dépenses</v>
      </c>
      <c r="R490" s="149" t="str">
        <f t="shared" si="38"/>
        <v>27</v>
      </c>
      <c r="S490" s="150" t="str">
        <f t="shared" si="39"/>
        <v>_</v>
      </c>
      <c r="T490" s="152" t="str">
        <f>+VLOOKUP($L490,Data_Validation!$A:$D,1,0)</f>
        <v>27A</v>
      </c>
      <c r="U490" s="152" t="str">
        <f>+VLOOKUP($L490,Data_Validation!$A:$D,3,0)</f>
        <v>Véhicules neufs</v>
      </c>
      <c r="V490" s="152" t="str">
        <f>+VLOOKUP($L490,Data_Validation!$A:$D,4,0)</f>
        <v>Bénéfices marginaux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1712</v>
      </c>
      <c r="B491" s="685" t="s">
        <v>852</v>
      </c>
      <c r="C491" s="687">
        <v>11225.17</v>
      </c>
      <c r="D491" s="687">
        <v>2228.11</v>
      </c>
      <c r="E491" s="687">
        <v>13453.28</v>
      </c>
      <c r="F491" s="685" t="s">
        <v>2228</v>
      </c>
      <c r="G491" s="685" t="s">
        <v>2273</v>
      </c>
      <c r="H491" s="641" t="s">
        <v>3074</v>
      </c>
      <c r="I491" s="640"/>
      <c r="J491" s="640"/>
      <c r="K491" s="640"/>
      <c r="L491" s="149" t="str">
        <f t="shared" si="35"/>
        <v>27C</v>
      </c>
      <c r="M491" s="150" t="str">
        <f t="shared" si="36"/>
        <v>AVANT. SOCIAUX - USAGE BMW</v>
      </c>
      <c r="N491" s="151">
        <f>+IF(OR($Q491=Parametres!$G$2,$Q491=Parametres!$G$3),I491,C491)</f>
        <v>11225.17</v>
      </c>
      <c r="O491" s="151">
        <f>+IF(OR($Q491=Parametres!$G$2,$Q491=Parametres!$G$3),J491,D491)</f>
        <v>2228.11</v>
      </c>
      <c r="P491" s="151">
        <f>+IF(OR($Q491=Parametres!$G$2,$Q491=Parametres!$G$3),K491,E491)</f>
        <v>13453.28</v>
      </c>
      <c r="Q491" s="150" t="str">
        <f t="shared" si="37"/>
        <v>7-Dépenses</v>
      </c>
      <c r="R491" s="149" t="str">
        <f t="shared" si="38"/>
        <v>27</v>
      </c>
      <c r="S491" s="150" t="str">
        <f t="shared" si="39"/>
        <v>_</v>
      </c>
      <c r="T491" s="152" t="str">
        <f>+VLOOKUP($L491,Data_Validation!$A:$D,1,0)</f>
        <v>27C</v>
      </c>
      <c r="U491" s="152" t="str">
        <f>+VLOOKUP($L491,Data_Validation!$A:$D,3,0)</f>
        <v>Véhicules usagés</v>
      </c>
      <c r="V491" s="152" t="str">
        <f>+VLOOKUP($L491,Data_Validation!$A:$D,4,0)</f>
        <v>Bénéfices marginaux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1758</v>
      </c>
      <c r="B492" s="685" t="s">
        <v>948</v>
      </c>
      <c r="C492" s="1038">
        <v>35955.86</v>
      </c>
      <c r="D492" s="1038">
        <v>6452.88</v>
      </c>
      <c r="E492" s="1038">
        <v>42408.74</v>
      </c>
      <c r="F492" s="685" t="s">
        <v>2228</v>
      </c>
      <c r="G492" s="685" t="s">
        <v>2273</v>
      </c>
      <c r="H492" s="686" t="s">
        <v>3074</v>
      </c>
      <c r="I492" s="687"/>
      <c r="J492" s="687"/>
      <c r="K492" s="687"/>
      <c r="L492" s="149" t="str">
        <f t="shared" si="35"/>
        <v>27E</v>
      </c>
      <c r="M492" s="150" t="str">
        <f t="shared" si="36"/>
        <v>AVANT. SOCIAUX - SERV. BMW</v>
      </c>
      <c r="N492" s="151">
        <f>+IF(OR($Q492=Parametres!$G$2,$Q492=Parametres!$G$3),I492,C492)</f>
        <v>35955.86</v>
      </c>
      <c r="O492" s="151">
        <f>+IF(OR($Q492=Parametres!$G$2,$Q492=Parametres!$G$3),J492,D492)</f>
        <v>6452.88</v>
      </c>
      <c r="P492" s="151">
        <f>+IF(OR($Q492=Parametres!$G$2,$Q492=Parametres!$G$3),K492,E492)</f>
        <v>42408.74</v>
      </c>
      <c r="Q492" s="150" t="str">
        <f t="shared" si="37"/>
        <v>7-Dépenses</v>
      </c>
      <c r="R492" s="149" t="str">
        <f t="shared" si="38"/>
        <v>27</v>
      </c>
      <c r="S492" s="150" t="str">
        <f t="shared" si="39"/>
        <v>_</v>
      </c>
      <c r="T492" s="152" t="str">
        <f>+VLOOKUP($L492,Data_Validation!$A:$D,1,0)</f>
        <v>27E</v>
      </c>
      <c r="U492" s="152" t="str">
        <f>+VLOOKUP($L492,Data_Validation!$A:$D,3,0)</f>
        <v>Service</v>
      </c>
      <c r="V492" s="152" t="str">
        <f>+VLOOKUP($L492,Data_Validation!$A:$D,4,0)</f>
        <v>Bénéfices marginaux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1749</v>
      </c>
      <c r="B493" s="685" t="s">
        <v>904</v>
      </c>
      <c r="C493" s="687">
        <v>15093.88</v>
      </c>
      <c r="D493" s="687">
        <v>2797.91</v>
      </c>
      <c r="E493" s="687">
        <v>17891.79</v>
      </c>
      <c r="F493" s="685" t="s">
        <v>2228</v>
      </c>
      <c r="G493" s="685" t="s">
        <v>2273</v>
      </c>
      <c r="H493" s="634" t="s">
        <v>3074</v>
      </c>
      <c r="I493" s="633"/>
      <c r="J493" s="633"/>
      <c r="K493" s="633"/>
      <c r="L493" s="149" t="str">
        <f t="shared" si="35"/>
        <v>27G</v>
      </c>
      <c r="M493" s="150" t="str">
        <f t="shared" si="36"/>
        <v>AVANT. SOCIAUX - PIECE BMW</v>
      </c>
      <c r="N493" s="151">
        <f>+IF(OR($Q493=Parametres!$G$2,$Q493=Parametres!$G$3),I493,C493)</f>
        <v>15093.88</v>
      </c>
      <c r="O493" s="151">
        <f>+IF(OR($Q493=Parametres!$G$2,$Q493=Parametres!$G$3),J493,D493)</f>
        <v>2797.91</v>
      </c>
      <c r="P493" s="151">
        <f>+IF(OR($Q493=Parametres!$G$2,$Q493=Parametres!$G$3),K493,E493)</f>
        <v>17891.79</v>
      </c>
      <c r="Q493" s="150" t="str">
        <f t="shared" si="37"/>
        <v>7-Dépenses</v>
      </c>
      <c r="R493" s="149" t="str">
        <f t="shared" si="38"/>
        <v>27</v>
      </c>
      <c r="S493" s="150" t="str">
        <f t="shared" si="39"/>
        <v>_</v>
      </c>
      <c r="T493" s="152" t="str">
        <f>+VLOOKUP($L493,Data_Validation!$A:$D,1,0)</f>
        <v>27G</v>
      </c>
      <c r="U493" s="152" t="str">
        <f>+VLOOKUP($L493,Data_Validation!$A:$D,3,0)</f>
        <v>Pièces</v>
      </c>
      <c r="V493" s="152" t="str">
        <f>+VLOOKUP($L493,Data_Validation!$A:$D,4,0)</f>
        <v>Bénéfices marginaux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1786</v>
      </c>
      <c r="B494" s="685" t="s">
        <v>859</v>
      </c>
      <c r="C494" s="687">
        <v>7398.43</v>
      </c>
      <c r="D494" s="687">
        <v>1463.85</v>
      </c>
      <c r="E494" s="687">
        <v>8862.2800000000007</v>
      </c>
      <c r="F494" s="685" t="s">
        <v>2228</v>
      </c>
      <c r="G494" s="685" t="s">
        <v>2264</v>
      </c>
      <c r="H494" s="634" t="s">
        <v>3074</v>
      </c>
      <c r="I494" s="633"/>
      <c r="J494" s="633"/>
      <c r="K494" s="633"/>
      <c r="L494" s="149" t="str">
        <f t="shared" si="35"/>
        <v>29A</v>
      </c>
      <c r="M494" s="150" t="str">
        <f t="shared" si="36"/>
        <v>FONDS PENSIONS - NEUF BMW</v>
      </c>
      <c r="N494" s="151">
        <f>+IF(OR($Q494=Parametres!$G$2,$Q494=Parametres!$G$3),I494,C494)</f>
        <v>7398.43</v>
      </c>
      <c r="O494" s="151">
        <f>+IF(OR($Q494=Parametres!$G$2,$Q494=Parametres!$G$3),J494,D494)</f>
        <v>1463.85</v>
      </c>
      <c r="P494" s="151">
        <f>+IF(OR($Q494=Parametres!$G$2,$Q494=Parametres!$G$3),K494,E494)</f>
        <v>8862.2800000000007</v>
      </c>
      <c r="Q494" s="150" t="str">
        <f t="shared" si="37"/>
        <v>7-Dépenses</v>
      </c>
      <c r="R494" s="149" t="str">
        <f t="shared" si="38"/>
        <v>29</v>
      </c>
      <c r="S494" s="150" t="str">
        <f t="shared" si="39"/>
        <v>_</v>
      </c>
      <c r="T494" s="152" t="str">
        <f>+VLOOKUP($L494,Data_Validation!$A:$D,1,0)</f>
        <v>29A</v>
      </c>
      <c r="U494" s="152" t="str">
        <f>+VLOOKUP($L494,Data_Validation!$A:$D,3,0)</f>
        <v>Véhicules neufs</v>
      </c>
      <c r="V494" s="152" t="str">
        <f>+VLOOKUP($L494,Data_Validation!$A:$D,4,0)</f>
        <v>csst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1702</v>
      </c>
      <c r="B495" s="685" t="s">
        <v>815</v>
      </c>
      <c r="C495" s="687">
        <v>3630.7</v>
      </c>
      <c r="D495" s="687">
        <v>723.87</v>
      </c>
      <c r="E495" s="687">
        <v>4354.57</v>
      </c>
      <c r="F495" s="685" t="s">
        <v>2228</v>
      </c>
      <c r="G495" s="685" t="s">
        <v>2264</v>
      </c>
      <c r="H495" s="634" t="s">
        <v>3074</v>
      </c>
      <c r="I495" s="633"/>
      <c r="J495" s="633"/>
      <c r="K495" s="633"/>
      <c r="L495" s="149" t="str">
        <f t="shared" si="35"/>
        <v>29C</v>
      </c>
      <c r="M495" s="150" t="str">
        <f t="shared" si="36"/>
        <v>FONDS PENSIONS - USAGE BMW</v>
      </c>
      <c r="N495" s="151">
        <f>+IF(OR($Q495=Parametres!$G$2,$Q495=Parametres!$G$3),I495,C495)</f>
        <v>3630.7</v>
      </c>
      <c r="O495" s="151">
        <f>+IF(OR($Q495=Parametres!$G$2,$Q495=Parametres!$G$3),J495,D495)</f>
        <v>723.87</v>
      </c>
      <c r="P495" s="151">
        <f>+IF(OR($Q495=Parametres!$G$2,$Q495=Parametres!$G$3),K495,E495)</f>
        <v>4354.57</v>
      </c>
      <c r="Q495" s="150" t="str">
        <f t="shared" si="37"/>
        <v>7-Dépenses</v>
      </c>
      <c r="R495" s="149" t="str">
        <f t="shared" si="38"/>
        <v>29</v>
      </c>
      <c r="S495" s="150" t="str">
        <f t="shared" si="39"/>
        <v>_</v>
      </c>
      <c r="T495" s="152" t="str">
        <f>+VLOOKUP($L495,Data_Validation!$A:$D,1,0)</f>
        <v>29C</v>
      </c>
      <c r="U495" s="152" t="str">
        <f>+VLOOKUP($L495,Data_Validation!$A:$D,3,0)</f>
        <v>Véhicules usagés</v>
      </c>
      <c r="V495" s="152" t="str">
        <f>+VLOOKUP($L495,Data_Validation!$A:$D,4,0)</f>
        <v>csst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1744</v>
      </c>
      <c r="B496" s="685" t="s">
        <v>838</v>
      </c>
      <c r="C496" s="1038">
        <v>11822.5</v>
      </c>
      <c r="D496" s="1038">
        <v>1955.18</v>
      </c>
      <c r="E496" s="1038">
        <v>13777.68</v>
      </c>
      <c r="F496" s="685" t="s">
        <v>2228</v>
      </c>
      <c r="G496" s="685" t="s">
        <v>2264</v>
      </c>
      <c r="H496" s="686" t="s">
        <v>3074</v>
      </c>
      <c r="I496" s="687"/>
      <c r="J496" s="687"/>
      <c r="K496" s="687"/>
      <c r="L496" s="149" t="str">
        <f t="shared" si="35"/>
        <v>29E</v>
      </c>
      <c r="M496" s="150" t="str">
        <f t="shared" si="36"/>
        <v>FONDS PENSIONS - SERV. BMW</v>
      </c>
      <c r="N496" s="151">
        <f>+IF(OR($Q496=Parametres!$G$2,$Q496=Parametres!$G$3),I496,C496)</f>
        <v>11822.5</v>
      </c>
      <c r="O496" s="496">
        <f>+IF(OR($Q496=Parametres!$G$2,$Q496=Parametres!$G$3),J496,D496)</f>
        <v>1955.18</v>
      </c>
      <c r="P496" s="151">
        <f>+IF(OR($Q496=Parametres!$G$2,$Q496=Parametres!$G$3),K496,E496)</f>
        <v>13777.68</v>
      </c>
      <c r="Q496" s="150" t="str">
        <f t="shared" si="37"/>
        <v>7-Dépenses</v>
      </c>
      <c r="R496" s="149" t="str">
        <f t="shared" si="38"/>
        <v>29</v>
      </c>
      <c r="S496" s="150" t="str">
        <f t="shared" si="39"/>
        <v>_</v>
      </c>
      <c r="T496" s="152" t="str">
        <f>+VLOOKUP($L496,Data_Validation!$A:$D,1,0)</f>
        <v>29E</v>
      </c>
      <c r="U496" s="152" t="str">
        <f>+VLOOKUP($L496,Data_Validation!$A:$D,3,0)</f>
        <v>Service</v>
      </c>
      <c r="V496" s="152" t="str">
        <f>+VLOOKUP($L496,Data_Validation!$A:$D,4,0)</f>
        <v>csst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1739</v>
      </c>
      <c r="B497" s="685" t="s">
        <v>830</v>
      </c>
      <c r="C497" s="687">
        <v>3280.01</v>
      </c>
      <c r="D497" s="687">
        <v>525.44000000000005</v>
      </c>
      <c r="E497" s="687">
        <v>3805.45</v>
      </c>
      <c r="F497" s="685" t="s">
        <v>2228</v>
      </c>
      <c r="G497" s="685" t="s">
        <v>2264</v>
      </c>
      <c r="H497" s="593" t="s">
        <v>3074</v>
      </c>
      <c r="I497" s="594"/>
      <c r="J497" s="594"/>
      <c r="K497" s="594"/>
      <c r="L497" s="149" t="str">
        <f t="shared" si="35"/>
        <v>29G</v>
      </c>
      <c r="M497" s="150" t="str">
        <f t="shared" si="36"/>
        <v>FONDS PENSIONS - PIECE BMW</v>
      </c>
      <c r="N497" s="151">
        <f>+IF(OR($Q497=Parametres!$G$2,$Q497=Parametres!$G$3),I497,C497)</f>
        <v>3280.01</v>
      </c>
      <c r="O497" s="496">
        <f>+IF(OR($Q497=Parametres!$G$2,$Q497=Parametres!$G$3),J497,D497)</f>
        <v>525.44000000000005</v>
      </c>
      <c r="P497" s="151">
        <f>+IF(OR($Q497=Parametres!$G$2,$Q497=Parametres!$G$3),K497,E497)</f>
        <v>3805.45</v>
      </c>
      <c r="Q497" s="150" t="str">
        <f t="shared" si="37"/>
        <v>7-Dépenses</v>
      </c>
      <c r="R497" s="149" t="str">
        <f t="shared" si="38"/>
        <v>29</v>
      </c>
      <c r="S497" s="150" t="str">
        <f t="shared" si="39"/>
        <v>_</v>
      </c>
      <c r="T497" s="152" t="str">
        <f>+VLOOKUP($L497,Data_Validation!$A:$D,1,0)</f>
        <v>29G</v>
      </c>
      <c r="U497" s="152" t="str">
        <f>+VLOOKUP($L497,Data_Validation!$A:$D,3,0)</f>
        <v>Pièces</v>
      </c>
      <c r="V497" s="152" t="str">
        <f>+VLOOKUP($L497,Data_Validation!$A:$D,4,0)</f>
        <v>csst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1873</v>
      </c>
      <c r="B498" s="685" t="s">
        <v>781</v>
      </c>
      <c r="C498" s="687">
        <v>74.099999999999994</v>
      </c>
      <c r="D498" s="687">
        <v>186.48</v>
      </c>
      <c r="E498" s="687">
        <v>260.58</v>
      </c>
      <c r="F498" s="685" t="s">
        <v>2228</v>
      </c>
      <c r="G498" s="685" t="s">
        <v>2261</v>
      </c>
      <c r="H498" s="634" t="s">
        <v>3074</v>
      </c>
      <c r="I498" s="633"/>
      <c r="J498" s="633"/>
      <c r="K498" s="633"/>
      <c r="L498" s="149" t="str">
        <f t="shared" si="35"/>
        <v>51A</v>
      </c>
      <c r="M498" s="150" t="str">
        <f t="shared" si="36"/>
        <v>UNIFORMES - NEUF BMW</v>
      </c>
      <c r="N498" s="151">
        <f>+IF(OR($Q498=Parametres!$G$2,$Q498=Parametres!$G$3),I498,C498)</f>
        <v>74.099999999999994</v>
      </c>
      <c r="O498" s="151">
        <f>+IF(OR($Q498=Parametres!$G$2,$Q498=Parametres!$G$3),J498,D498)</f>
        <v>186.48</v>
      </c>
      <c r="P498" s="151">
        <f>+IF(OR($Q498=Parametres!$G$2,$Q498=Parametres!$G$3),K498,E498)</f>
        <v>260.58</v>
      </c>
      <c r="Q498" s="150" t="str">
        <f t="shared" si="37"/>
        <v>7-Dépenses</v>
      </c>
      <c r="R498" s="149" t="str">
        <f t="shared" si="38"/>
        <v>51</v>
      </c>
      <c r="S498" s="150" t="str">
        <f t="shared" si="39"/>
        <v>_</v>
      </c>
      <c r="T498" s="152" t="str">
        <f>+VLOOKUP($L498,Data_Validation!$A:$D,1,0)</f>
        <v>51A</v>
      </c>
      <c r="U498" s="152" t="str">
        <f>+VLOOKUP($L498,Data_Validation!$A:$D,3,0)</f>
        <v>Véhicules neufs</v>
      </c>
      <c r="V498" s="152" t="str">
        <f>+VLOOKUP($L498,Data_Validation!$A:$D,4,0)</f>
        <v>Uniformes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1874</v>
      </c>
      <c r="B499" s="685" t="s">
        <v>769</v>
      </c>
      <c r="C499" s="687">
        <v>39.9</v>
      </c>
      <c r="D499" s="687">
        <v>69.930000000000007</v>
      </c>
      <c r="E499" s="687">
        <v>109.83</v>
      </c>
      <c r="F499" s="685" t="s">
        <v>2228</v>
      </c>
      <c r="G499" s="685" t="s">
        <v>2261</v>
      </c>
      <c r="H499" s="593" t="s">
        <v>3074</v>
      </c>
      <c r="I499" s="594"/>
      <c r="J499" s="594"/>
      <c r="K499" s="594"/>
      <c r="L499" s="149" t="str">
        <f t="shared" si="35"/>
        <v>51C</v>
      </c>
      <c r="M499" s="150" t="str">
        <f t="shared" si="36"/>
        <v>UNIFORMES - USAGE BMW</v>
      </c>
      <c r="N499" s="151">
        <f>+IF(OR($Q499=Parametres!$G$2,$Q499=Parametres!$G$3),I499,C499)</f>
        <v>39.9</v>
      </c>
      <c r="O499" s="151">
        <f>+IF(OR($Q499=Parametres!$G$2,$Q499=Parametres!$G$3),J499,D499)</f>
        <v>69.930000000000007</v>
      </c>
      <c r="P499" s="151">
        <f>+IF(OR($Q499=Parametres!$G$2,$Q499=Parametres!$G$3),K499,E499)</f>
        <v>109.83</v>
      </c>
      <c r="Q499" s="150" t="str">
        <f t="shared" si="37"/>
        <v>7-Dépenses</v>
      </c>
      <c r="R499" s="149" t="str">
        <f t="shared" si="38"/>
        <v>51</v>
      </c>
      <c r="S499" s="150" t="str">
        <f t="shared" si="39"/>
        <v>_</v>
      </c>
      <c r="T499" s="152" t="str">
        <f>+VLOOKUP($L499,Data_Validation!$A:$D,1,0)</f>
        <v>51C</v>
      </c>
      <c r="U499" s="152" t="str">
        <f>+VLOOKUP($L499,Data_Validation!$A:$D,3,0)</f>
        <v>Véhicules usagés</v>
      </c>
      <c r="V499" s="152" t="str">
        <f>+VLOOKUP($L499,Data_Validation!$A:$D,4,0)</f>
        <v>Uniformes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1677</v>
      </c>
      <c r="B500" s="685" t="s">
        <v>908</v>
      </c>
      <c r="C500" s="687">
        <v>7706.38</v>
      </c>
      <c r="D500" s="687">
        <v>1008.43</v>
      </c>
      <c r="E500" s="687">
        <v>8714.81</v>
      </c>
      <c r="F500" s="685" t="s">
        <v>2228</v>
      </c>
      <c r="G500" s="685" t="s">
        <v>2261</v>
      </c>
      <c r="H500" s="686" t="s">
        <v>3074</v>
      </c>
      <c r="I500" s="686"/>
      <c r="J500" s="686"/>
      <c r="K500" s="686"/>
      <c r="L500" s="149" t="str">
        <f t="shared" si="35"/>
        <v>51E</v>
      </c>
      <c r="M500" s="150" t="str">
        <f t="shared" si="36"/>
        <v>UNIFORMES - SERV. BMW</v>
      </c>
      <c r="N500" s="151">
        <f>+IF(OR($Q500=Parametres!$G$2,$Q500=Parametres!$G$3),I500,C500)</f>
        <v>7706.38</v>
      </c>
      <c r="O500" s="151">
        <f>+IF(OR($Q500=Parametres!$G$2,$Q500=Parametres!$G$3),J500,D500)</f>
        <v>1008.43</v>
      </c>
      <c r="P500" s="151">
        <f>+IF(OR($Q500=Parametres!$G$2,$Q500=Parametres!$G$3),K500,E500)</f>
        <v>8714.81</v>
      </c>
      <c r="Q500" s="150" t="str">
        <f t="shared" si="37"/>
        <v>7-Dépenses</v>
      </c>
      <c r="R500" s="149" t="str">
        <f t="shared" si="38"/>
        <v>51</v>
      </c>
      <c r="S500" s="150" t="str">
        <f t="shared" si="39"/>
        <v>_</v>
      </c>
      <c r="T500" s="152" t="str">
        <f>+VLOOKUP($L500,Data_Validation!$A:$D,1,0)</f>
        <v>51E</v>
      </c>
      <c r="U500" s="152" t="str">
        <f>+VLOOKUP($L500,Data_Validation!$A:$D,3,0)</f>
        <v>Service</v>
      </c>
      <c r="V500" s="152" t="str">
        <f>+VLOOKUP($L500,Data_Validation!$A:$D,4,0)</f>
        <v>Uniformes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1664</v>
      </c>
      <c r="B501" s="685" t="s">
        <v>772</v>
      </c>
      <c r="C501" s="687">
        <v>147.88</v>
      </c>
      <c r="D501" s="687">
        <v>93.24</v>
      </c>
      <c r="E501" s="687">
        <v>241.12</v>
      </c>
      <c r="F501" s="685" t="s">
        <v>2228</v>
      </c>
      <c r="G501" s="685" t="s">
        <v>2261</v>
      </c>
      <c r="H501" s="686" t="s">
        <v>3074</v>
      </c>
      <c r="I501" s="686"/>
      <c r="J501" s="686"/>
      <c r="K501" s="686"/>
      <c r="L501" s="149" t="str">
        <f t="shared" si="35"/>
        <v>51G</v>
      </c>
      <c r="M501" s="150" t="str">
        <f t="shared" si="36"/>
        <v>UNIFOMRES - PIECE BMW</v>
      </c>
      <c r="N501" s="151">
        <f>+IF(OR($Q501=Parametres!$G$2,$Q501=Parametres!$G$3),I501,C501)</f>
        <v>147.88</v>
      </c>
      <c r="O501" s="151">
        <f>+IF(OR($Q501=Parametres!$G$2,$Q501=Parametres!$G$3),J501,D501)</f>
        <v>93.24</v>
      </c>
      <c r="P501" s="151">
        <f>+IF(OR($Q501=Parametres!$G$2,$Q501=Parametres!$G$3),K501,E501)</f>
        <v>241.12</v>
      </c>
      <c r="Q501" s="150" t="str">
        <f t="shared" si="37"/>
        <v>7-Dépenses</v>
      </c>
      <c r="R501" s="149" t="str">
        <f t="shared" si="38"/>
        <v>51</v>
      </c>
      <c r="S501" s="150" t="str">
        <f t="shared" si="39"/>
        <v>_</v>
      </c>
      <c r="T501" s="152" t="str">
        <f>+VLOOKUP($L501,Data_Validation!$A:$D,1,0)</f>
        <v>51G</v>
      </c>
      <c r="U501" s="152" t="str">
        <f>+VLOOKUP($L501,Data_Validation!$A:$D,3,0)</f>
        <v>pièces</v>
      </c>
      <c r="V501" s="152" t="str">
        <f>+VLOOKUP($L501,Data_Validation!$A:$D,4,0)</f>
        <v>Uniformes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1163</v>
      </c>
      <c r="B502" s="685" t="s">
        <v>877</v>
      </c>
      <c r="C502" s="687">
        <v>37703.46</v>
      </c>
      <c r="D502" s="687">
        <v>7509.54</v>
      </c>
      <c r="E502" s="687">
        <v>45213</v>
      </c>
      <c r="F502" s="685" t="s">
        <v>2228</v>
      </c>
      <c r="G502" s="685" t="s">
        <v>2295</v>
      </c>
      <c r="H502" s="593" t="s">
        <v>3074</v>
      </c>
      <c r="I502" s="595"/>
      <c r="J502" s="595"/>
      <c r="K502" s="595"/>
      <c r="L502" s="149" t="str">
        <f t="shared" si="35"/>
        <v>52E</v>
      </c>
      <c r="M502" s="150" t="str">
        <f t="shared" si="36"/>
        <v>DEP. VEHICULES PRETS - SERV. BMW</v>
      </c>
      <c r="N502" s="151">
        <f>+IF(OR($Q502=Parametres!$G$2,$Q502=Parametres!$G$3),I502,C502)</f>
        <v>37703.46</v>
      </c>
      <c r="O502" s="151">
        <f>+IF(OR($Q502=Parametres!$G$2,$Q502=Parametres!$G$3),J502,D502)</f>
        <v>7509.54</v>
      </c>
      <c r="P502" s="151">
        <f>+IF(OR($Q502=Parametres!$G$2,$Q502=Parametres!$G$3),K502,E502)</f>
        <v>45213</v>
      </c>
      <c r="Q502" s="150" t="str">
        <f t="shared" si="37"/>
        <v>7-Dépenses</v>
      </c>
      <c r="R502" s="149" t="str">
        <f t="shared" si="38"/>
        <v>52</v>
      </c>
      <c r="S502" s="150" t="str">
        <f t="shared" si="39"/>
        <v>_</v>
      </c>
      <c r="T502" s="152" t="str">
        <f>+VLOOKUP($L502,Data_Validation!$A:$D,1,0)</f>
        <v>52E</v>
      </c>
      <c r="U502" s="152" t="str">
        <f>+VLOOKUP($L502,Data_Validation!$A:$D,3,0)</f>
        <v>Service</v>
      </c>
      <c r="V502" s="152" t="str">
        <f>+VLOOKUP($L502,Data_Validation!$A:$D,4,0)</f>
        <v>Frais véhicules de cie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1161</v>
      </c>
      <c r="B503" s="685" t="s">
        <v>1162</v>
      </c>
      <c r="C503" s="687">
        <v>25915.27</v>
      </c>
      <c r="D503" s="687">
        <v>5006.3599999999997</v>
      </c>
      <c r="E503" s="687">
        <v>30921.63</v>
      </c>
      <c r="F503" s="685" t="s">
        <v>2228</v>
      </c>
      <c r="G503" s="685" t="s">
        <v>2295</v>
      </c>
      <c r="H503" s="641" t="s">
        <v>3074</v>
      </c>
      <c r="I503" s="640"/>
      <c r="J503" s="640"/>
      <c r="K503" s="640"/>
      <c r="L503" s="149" t="str">
        <f t="shared" si="35"/>
        <v>52G</v>
      </c>
      <c r="M503" s="150" t="str">
        <f t="shared" si="36"/>
        <v>DEP. VEHICULES PRETS - PIECE BMW</v>
      </c>
      <c r="N503" s="151">
        <f>+IF(OR($Q503=Parametres!$G$2,$Q503=Parametres!$G$3),I503,C503)</f>
        <v>25915.27</v>
      </c>
      <c r="O503" s="151">
        <f>+IF(OR($Q503=Parametres!$G$2,$Q503=Parametres!$G$3),J503,D503)</f>
        <v>5006.3599999999997</v>
      </c>
      <c r="P503" s="151">
        <f>+IF(OR($Q503=Parametres!$G$2,$Q503=Parametres!$G$3),K503,E503)</f>
        <v>30921.63</v>
      </c>
      <c r="Q503" s="150" t="str">
        <f t="shared" si="37"/>
        <v>7-Dépenses</v>
      </c>
      <c r="R503" s="149" t="str">
        <f t="shared" si="38"/>
        <v>52</v>
      </c>
      <c r="S503" s="150" t="str">
        <f t="shared" si="39"/>
        <v>_</v>
      </c>
      <c r="T503" s="152" t="str">
        <f>+VLOOKUP($L503,Data_Validation!$A:$D,1,0)</f>
        <v>52G</v>
      </c>
      <c r="U503" s="152" t="str">
        <f>+VLOOKUP($L503,Data_Validation!$A:$D,3,0)</f>
        <v>pièces</v>
      </c>
      <c r="V503" s="152" t="str">
        <f>+VLOOKUP($L503,Data_Validation!$A:$D,4,0)</f>
        <v>Frais véhicules de cie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1762</v>
      </c>
      <c r="B504" s="685" t="s">
        <v>936</v>
      </c>
      <c r="C504" s="687">
        <v>8217.7800000000007</v>
      </c>
      <c r="D504" s="687">
        <v>881.59</v>
      </c>
      <c r="E504" s="687">
        <v>9099.3700000000008</v>
      </c>
      <c r="F504" s="685" t="s">
        <v>2228</v>
      </c>
      <c r="G504" s="685" t="s">
        <v>2278</v>
      </c>
      <c r="H504" s="634" t="s">
        <v>3074</v>
      </c>
      <c r="I504" s="633"/>
      <c r="J504" s="633"/>
      <c r="K504" s="633"/>
      <c r="L504" s="149" t="str">
        <f t="shared" si="35"/>
        <v>53A</v>
      </c>
      <c r="M504" s="150" t="str">
        <f t="shared" si="36"/>
        <v>VEH. COMPAGNIE - NEUF BMW</v>
      </c>
      <c r="N504" s="151">
        <f>+IF(OR($Q504=Parametres!$G$2,$Q504=Parametres!$G$3),I504,C504)</f>
        <v>8217.7800000000007</v>
      </c>
      <c r="O504" s="151">
        <f>+IF(OR($Q504=Parametres!$G$2,$Q504=Parametres!$G$3),J504,D504)</f>
        <v>881.59</v>
      </c>
      <c r="P504" s="151">
        <f>+IF(OR($Q504=Parametres!$G$2,$Q504=Parametres!$G$3),K504,E504)</f>
        <v>9099.3700000000008</v>
      </c>
      <c r="Q504" s="150" t="str">
        <f t="shared" si="37"/>
        <v>7-Dépenses</v>
      </c>
      <c r="R504" s="149" t="str">
        <f t="shared" si="38"/>
        <v>53</v>
      </c>
      <c r="S504" s="150" t="str">
        <f t="shared" si="39"/>
        <v>_</v>
      </c>
      <c r="T504" s="152" t="str">
        <f>+VLOOKUP($L504,Data_Validation!$A:$D,1,0)</f>
        <v>53A</v>
      </c>
      <c r="U504" s="152" t="str">
        <f>+VLOOKUP($L504,Data_Validation!$A:$D,3,0)</f>
        <v>Véhicules neufs</v>
      </c>
      <c r="V504" s="152" t="str">
        <f>+VLOOKUP($L504,Data_Validation!$A:$D,4,0)</f>
        <v>Frais véhicules de cie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1705</v>
      </c>
      <c r="B505" s="685" t="s">
        <v>864</v>
      </c>
      <c r="C505" s="687">
        <v>3234.38</v>
      </c>
      <c r="D505" s="687">
        <v>280.79000000000002</v>
      </c>
      <c r="E505" s="687">
        <v>3515.17</v>
      </c>
      <c r="F505" s="685" t="s">
        <v>2228</v>
      </c>
      <c r="G505" s="685" t="s">
        <v>2278</v>
      </c>
      <c r="H505" s="593" t="s">
        <v>3074</v>
      </c>
      <c r="I505" s="595"/>
      <c r="J505" s="595"/>
      <c r="K505" s="595"/>
      <c r="L505" s="149" t="str">
        <f t="shared" si="35"/>
        <v>53C</v>
      </c>
      <c r="M505" s="150" t="str">
        <f t="shared" si="36"/>
        <v>VEH. COMPAGNIE - USAGE BMW</v>
      </c>
      <c r="N505" s="151">
        <f>+IF(OR($Q505=Parametres!$G$2,$Q505=Parametres!$G$3),I505,C505)</f>
        <v>3234.38</v>
      </c>
      <c r="O505" s="151">
        <f>+IF(OR($Q505=Parametres!$G$2,$Q505=Parametres!$G$3),J505,D505)</f>
        <v>280.79000000000002</v>
      </c>
      <c r="P505" s="151">
        <f>+IF(OR($Q505=Parametres!$G$2,$Q505=Parametres!$G$3),K505,E505)</f>
        <v>3515.17</v>
      </c>
      <c r="Q505" s="150" t="str">
        <f t="shared" si="37"/>
        <v>7-Dépenses</v>
      </c>
      <c r="R505" s="149" t="str">
        <f t="shared" si="38"/>
        <v>53</v>
      </c>
      <c r="S505" s="150" t="str">
        <f t="shared" si="39"/>
        <v>_</v>
      </c>
      <c r="T505" s="152" t="str">
        <f>+VLOOKUP($L505,Data_Validation!$A:$D,1,0)</f>
        <v>53C</v>
      </c>
      <c r="U505" s="152" t="str">
        <f>+VLOOKUP($L505,Data_Validation!$A:$D,3,0)</f>
        <v>Véhicules usagés</v>
      </c>
      <c r="V505" s="152" t="str">
        <f>+VLOOKUP($L505,Data_Validation!$A:$D,4,0)</f>
        <v>Frais véhicules de cie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1693</v>
      </c>
      <c r="B506" s="685" t="s">
        <v>895</v>
      </c>
      <c r="C506" s="687">
        <v>3619.2</v>
      </c>
      <c r="D506" s="687">
        <v>787.11</v>
      </c>
      <c r="E506" s="687">
        <v>4406.3100000000004</v>
      </c>
      <c r="F506" s="685" t="s">
        <v>2228</v>
      </c>
      <c r="G506" s="685" t="s">
        <v>2278</v>
      </c>
      <c r="H506" s="641" t="s">
        <v>3074</v>
      </c>
      <c r="I506" s="640"/>
      <c r="J506" s="640"/>
      <c r="K506" s="640"/>
      <c r="L506" s="149" t="str">
        <f t="shared" si="35"/>
        <v>53E</v>
      </c>
      <c r="M506" s="150" t="str">
        <f t="shared" si="36"/>
        <v>VEH. COMPAGNIE - SERV. BMW</v>
      </c>
      <c r="N506" s="151">
        <f>+IF(OR($Q506=Parametres!$G$2,$Q506=Parametres!$G$3),I506,C506)</f>
        <v>3619.2</v>
      </c>
      <c r="O506" s="151">
        <f>+IF(OR($Q506=Parametres!$G$2,$Q506=Parametres!$G$3),J506,D506)</f>
        <v>787.11</v>
      </c>
      <c r="P506" s="151">
        <f>+IF(OR($Q506=Parametres!$G$2,$Q506=Parametres!$G$3),K506,E506)</f>
        <v>4406.3100000000004</v>
      </c>
      <c r="Q506" s="150" t="str">
        <f t="shared" si="37"/>
        <v>7-Dépenses</v>
      </c>
      <c r="R506" s="149" t="str">
        <f t="shared" si="38"/>
        <v>53</v>
      </c>
      <c r="S506" s="150" t="str">
        <f t="shared" si="39"/>
        <v>_</v>
      </c>
      <c r="T506" s="152" t="str">
        <f>+VLOOKUP($L506,Data_Validation!$A:$D,1,0)</f>
        <v>53E</v>
      </c>
      <c r="U506" s="152" t="str">
        <f>+VLOOKUP($L506,Data_Validation!$A:$D,3,0)</f>
        <v>Service</v>
      </c>
      <c r="V506" s="152" t="str">
        <f>+VLOOKUP($L506,Data_Validation!$A:$D,4,0)</f>
        <v>Frais véhicules de cie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1666</v>
      </c>
      <c r="B507" s="685" t="s">
        <v>870</v>
      </c>
      <c r="C507" s="687">
        <v>2024.84</v>
      </c>
      <c r="D507" s="687">
        <v>181.38</v>
      </c>
      <c r="E507" s="687">
        <v>2206.2199999999998</v>
      </c>
      <c r="F507" s="685" t="s">
        <v>2228</v>
      </c>
      <c r="G507" s="685" t="s">
        <v>2278</v>
      </c>
      <c r="H507" s="641" t="s">
        <v>3074</v>
      </c>
      <c r="I507" s="641"/>
      <c r="J507" s="641"/>
      <c r="K507" s="641"/>
      <c r="L507" s="149" t="str">
        <f t="shared" si="35"/>
        <v>53G</v>
      </c>
      <c r="M507" s="150" t="str">
        <f t="shared" si="36"/>
        <v>VEH. COMPAGNIE - PIECE BMW</v>
      </c>
      <c r="N507" s="151">
        <f>+IF(OR($Q507=Parametres!$G$2,$Q507=Parametres!$G$3),I507,C507)</f>
        <v>2024.84</v>
      </c>
      <c r="O507" s="151">
        <f>+IF(OR($Q507=Parametres!$G$2,$Q507=Parametres!$G$3),J507,D507)</f>
        <v>181.38</v>
      </c>
      <c r="P507" s="151">
        <f>+IF(OR($Q507=Parametres!$G$2,$Q507=Parametres!$G$3),K507,E507)</f>
        <v>2206.2199999999998</v>
      </c>
      <c r="Q507" s="150" t="str">
        <f t="shared" si="37"/>
        <v>7-Dépenses</v>
      </c>
      <c r="R507" s="149" t="str">
        <f t="shared" si="38"/>
        <v>53</v>
      </c>
      <c r="S507" s="150" t="str">
        <f t="shared" si="39"/>
        <v>_</v>
      </c>
      <c r="T507" s="152" t="str">
        <f>+VLOOKUP($L507,Data_Validation!$A:$D,1,0)</f>
        <v>53G</v>
      </c>
      <c r="U507" s="152" t="str">
        <f>+VLOOKUP($L507,Data_Validation!$A:$D,3,0)</f>
        <v>pièces</v>
      </c>
      <c r="V507" s="152" t="str">
        <f>+VLOOKUP($L507,Data_Validation!$A:$D,4,0)</f>
        <v>Frais véhicules de cie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1691</v>
      </c>
      <c r="B508" s="685" t="s">
        <v>855</v>
      </c>
      <c r="C508" s="687">
        <v>3406.71</v>
      </c>
      <c r="D508" s="687">
        <v>531.85</v>
      </c>
      <c r="E508" s="687">
        <v>3938.56</v>
      </c>
      <c r="F508" s="685" t="s">
        <v>2228</v>
      </c>
      <c r="G508" s="685" t="s">
        <v>2269</v>
      </c>
      <c r="H508" s="595" t="s">
        <v>3074</v>
      </c>
      <c r="I508" s="595"/>
      <c r="J508" s="595"/>
      <c r="K508" s="595"/>
      <c r="L508" s="149" t="str">
        <f t="shared" si="35"/>
        <v>60A</v>
      </c>
      <c r="M508" s="150" t="str">
        <f t="shared" si="36"/>
        <v>FOURNITURES BUREAU - NEUF BMW</v>
      </c>
      <c r="N508" s="151">
        <f>+IF(OR($Q508=Parametres!$G$2,$Q508=Parametres!$G$3),I508,C508)</f>
        <v>3406.71</v>
      </c>
      <c r="O508" s="151">
        <f>+IF(OR($Q508=Parametres!$G$2,$Q508=Parametres!$G$3),J508,D508)</f>
        <v>531.85</v>
      </c>
      <c r="P508" s="151">
        <f>+IF(OR($Q508=Parametres!$G$2,$Q508=Parametres!$G$3),K508,E508)</f>
        <v>3938.56</v>
      </c>
      <c r="Q508" s="150" t="str">
        <f t="shared" si="37"/>
        <v>7-Dépenses</v>
      </c>
      <c r="R508" s="149" t="str">
        <f t="shared" si="38"/>
        <v>60</v>
      </c>
      <c r="S508" s="150" t="str">
        <f t="shared" si="39"/>
        <v>_</v>
      </c>
      <c r="T508" s="152" t="str">
        <f>+VLOOKUP($L508,Data_Validation!$A:$D,1,0)</f>
        <v>60A</v>
      </c>
      <c r="U508" s="152" t="str">
        <f>+VLOOKUP($L508,Data_Validation!$A:$D,3,0)</f>
        <v>Véhicules neufs</v>
      </c>
      <c r="V508" s="152" t="str">
        <f>+VLOOKUP($L508,Data_Validation!$A:$D,4,0)</f>
        <v>papeterie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1632</v>
      </c>
      <c r="B509" s="685" t="s">
        <v>812</v>
      </c>
      <c r="C509" s="687">
        <v>1433.27</v>
      </c>
      <c r="D509" s="687">
        <v>385.74</v>
      </c>
      <c r="E509" s="687">
        <v>1819.01</v>
      </c>
      <c r="F509" s="685" t="s">
        <v>2228</v>
      </c>
      <c r="G509" s="685" t="s">
        <v>2269</v>
      </c>
      <c r="H509" s="686" t="s">
        <v>3074</v>
      </c>
      <c r="I509" s="686"/>
      <c r="J509" s="686"/>
      <c r="K509" s="686"/>
      <c r="L509" s="149" t="str">
        <f t="shared" si="35"/>
        <v>60C</v>
      </c>
      <c r="M509" s="150" t="str">
        <f t="shared" si="36"/>
        <v>FOURNITURES BUREAU - USAGE BMW</v>
      </c>
      <c r="N509" s="151">
        <f>+IF(OR($Q509=Parametres!$G$2,$Q509=Parametres!$G$3),I509,C509)</f>
        <v>1433.27</v>
      </c>
      <c r="O509" s="151">
        <f>+IF(OR($Q509=Parametres!$G$2,$Q509=Parametres!$G$3),J509,D509)</f>
        <v>385.74</v>
      </c>
      <c r="P509" s="151">
        <f>+IF(OR($Q509=Parametres!$G$2,$Q509=Parametres!$G$3),K509,E509)</f>
        <v>1819.01</v>
      </c>
      <c r="Q509" s="150" t="str">
        <f t="shared" si="37"/>
        <v>7-Dépenses</v>
      </c>
      <c r="R509" s="149" t="str">
        <f t="shared" si="38"/>
        <v>60</v>
      </c>
      <c r="S509" s="150" t="str">
        <f t="shared" si="39"/>
        <v>_</v>
      </c>
      <c r="T509" s="152" t="str">
        <f>+VLOOKUP($L509,Data_Validation!$A:$D,1,0)</f>
        <v>60C</v>
      </c>
      <c r="U509" s="152" t="str">
        <f>+VLOOKUP($L509,Data_Validation!$A:$D,3,0)</f>
        <v>Véhicules usagés</v>
      </c>
      <c r="V509" s="152" t="str">
        <f>+VLOOKUP($L509,Data_Validation!$A:$D,4,0)</f>
        <v>papeterie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1668</v>
      </c>
      <c r="B510" s="685" t="s">
        <v>826</v>
      </c>
      <c r="C510" s="687">
        <v>3164.01</v>
      </c>
      <c r="D510" s="687">
        <v>862.19</v>
      </c>
      <c r="E510" s="687">
        <v>4026.2</v>
      </c>
      <c r="F510" s="685" t="s">
        <v>2228</v>
      </c>
      <c r="G510" s="685" t="s">
        <v>2269</v>
      </c>
      <c r="H510" s="641" t="s">
        <v>3074</v>
      </c>
      <c r="I510" s="640"/>
      <c r="J510" s="640"/>
      <c r="K510" s="640"/>
      <c r="L510" s="149" t="str">
        <f t="shared" si="35"/>
        <v>60E</v>
      </c>
      <c r="M510" s="150" t="str">
        <f t="shared" si="36"/>
        <v>FOURNITURES BUREAU - SERV. BMW</v>
      </c>
      <c r="N510" s="151">
        <f>+IF(OR($Q510=Parametres!$G$2,$Q510=Parametres!$G$3),I510,C510)</f>
        <v>3164.01</v>
      </c>
      <c r="O510" s="151">
        <f>+IF(OR($Q510=Parametres!$G$2,$Q510=Parametres!$G$3),J510,D510)</f>
        <v>862.19</v>
      </c>
      <c r="P510" s="151">
        <f>+IF(OR($Q510=Parametres!$G$2,$Q510=Parametres!$G$3),K510,E510)</f>
        <v>4026.2</v>
      </c>
      <c r="Q510" s="150" t="str">
        <f t="shared" si="37"/>
        <v>7-Dépenses</v>
      </c>
      <c r="R510" s="149" t="str">
        <f t="shared" si="38"/>
        <v>60</v>
      </c>
      <c r="S510" s="150" t="str">
        <f t="shared" si="39"/>
        <v>_</v>
      </c>
      <c r="T510" s="152" t="str">
        <f>+VLOOKUP($L510,Data_Validation!$A:$D,1,0)</f>
        <v>60E</v>
      </c>
      <c r="U510" s="152" t="str">
        <f>+VLOOKUP($L510,Data_Validation!$A:$D,3,0)</f>
        <v>Service</v>
      </c>
      <c r="V510" s="152" t="str">
        <f>+VLOOKUP($L510,Data_Validation!$A:$D,4,0)</f>
        <v>papeterie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1662</v>
      </c>
      <c r="B511" s="685" t="s">
        <v>829</v>
      </c>
      <c r="C511" s="687">
        <v>1427.26</v>
      </c>
      <c r="D511" s="687">
        <v>229.56</v>
      </c>
      <c r="E511" s="687">
        <v>1656.82</v>
      </c>
      <c r="F511" s="685" t="s">
        <v>2228</v>
      </c>
      <c r="G511" s="685" t="s">
        <v>2269</v>
      </c>
      <c r="H511" s="641" t="s">
        <v>3074</v>
      </c>
      <c r="I511" s="640"/>
      <c r="J511" s="640"/>
      <c r="K511" s="640"/>
      <c r="L511" s="149" t="str">
        <f t="shared" si="35"/>
        <v>60G</v>
      </c>
      <c r="M511" s="150" t="str">
        <f t="shared" si="36"/>
        <v>FOURNITURES BUREAU - PIECE BMW</v>
      </c>
      <c r="N511" s="151">
        <f>+IF(OR($Q511=Parametres!$G$2,$Q511=Parametres!$G$3),I511,C511)</f>
        <v>1427.26</v>
      </c>
      <c r="O511" s="151">
        <f>+IF(OR($Q511=Parametres!$G$2,$Q511=Parametres!$G$3),J511,D511)</f>
        <v>229.56</v>
      </c>
      <c r="P511" s="151">
        <f>+IF(OR($Q511=Parametres!$G$2,$Q511=Parametres!$G$3),K511,E511)</f>
        <v>1656.82</v>
      </c>
      <c r="Q511" s="150" t="str">
        <f t="shared" si="37"/>
        <v>7-Dépenses</v>
      </c>
      <c r="R511" s="149" t="str">
        <f t="shared" si="38"/>
        <v>60</v>
      </c>
      <c r="S511" s="150" t="str">
        <f t="shared" si="39"/>
        <v>_</v>
      </c>
      <c r="T511" s="152" t="str">
        <f>+VLOOKUP($L511,Data_Validation!$A:$D,1,0)</f>
        <v>60G</v>
      </c>
      <c r="U511" s="152" t="str">
        <f>+VLOOKUP($L511,Data_Validation!$A:$D,3,0)</f>
        <v>pièces</v>
      </c>
      <c r="V511" s="152" t="str">
        <f>+VLOOKUP($L511,Data_Validation!$A:$D,4,0)</f>
        <v>papeterie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1454</v>
      </c>
      <c r="B512" s="685" t="s">
        <v>682</v>
      </c>
      <c r="C512" s="687">
        <v>657.25</v>
      </c>
      <c r="D512" s="687">
        <v>182.09</v>
      </c>
      <c r="E512" s="687">
        <v>839.34</v>
      </c>
      <c r="F512" s="685" t="s">
        <v>2228</v>
      </c>
      <c r="G512" s="685" t="s">
        <v>2258</v>
      </c>
      <c r="H512" s="593" t="s">
        <v>3074</v>
      </c>
      <c r="I512" s="595"/>
      <c r="J512" s="595"/>
      <c r="K512" s="595"/>
      <c r="L512" s="149" t="str">
        <f t="shared" si="35"/>
        <v>61A</v>
      </c>
      <c r="M512" s="150" t="str">
        <f t="shared" si="36"/>
        <v>AUTRES FOURNITURES - NEUF BMW</v>
      </c>
      <c r="N512" s="151">
        <f>+IF(OR($Q512=Parametres!$G$2,$Q512=Parametres!$G$3),I512,C512)</f>
        <v>657.25</v>
      </c>
      <c r="O512" s="151">
        <f>+IF(OR($Q512=Parametres!$G$2,$Q512=Parametres!$G$3),J512,D512)</f>
        <v>182.09</v>
      </c>
      <c r="P512" s="151">
        <f>+IF(OR($Q512=Parametres!$G$2,$Q512=Parametres!$G$3),K512,E512)</f>
        <v>839.34</v>
      </c>
      <c r="Q512" s="150" t="str">
        <f t="shared" si="37"/>
        <v>7-Dépenses</v>
      </c>
      <c r="R512" s="149" t="str">
        <f t="shared" si="38"/>
        <v>61</v>
      </c>
      <c r="S512" s="150" t="str">
        <f t="shared" si="39"/>
        <v>_</v>
      </c>
      <c r="T512" s="152" t="str">
        <f>+VLOOKUP($L512,Data_Validation!$A:$D,1,0)</f>
        <v>61A</v>
      </c>
      <c r="U512" s="152" t="str">
        <f>+VLOOKUP($L512,Data_Validation!$A:$D,3,0)</f>
        <v>Véhicules neufs</v>
      </c>
      <c r="V512" s="152" t="str">
        <f>+VLOOKUP($L512,Data_Validation!$A:$D,4,0)</f>
        <v>fournitures autres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1455</v>
      </c>
      <c r="B513" s="685" t="s">
        <v>683</v>
      </c>
      <c r="C513" s="687">
        <v>240.48</v>
      </c>
      <c r="D513" s="687">
        <v>91.57</v>
      </c>
      <c r="E513" s="687">
        <v>332.05</v>
      </c>
      <c r="F513" s="685" t="s">
        <v>2228</v>
      </c>
      <c r="G513" s="685" t="s">
        <v>2258</v>
      </c>
      <c r="H513" s="641" t="s">
        <v>3074</v>
      </c>
      <c r="I513" s="640"/>
      <c r="J513" s="640"/>
      <c r="K513" s="640"/>
      <c r="L513" s="149" t="str">
        <f t="shared" si="35"/>
        <v>61C</v>
      </c>
      <c r="M513" s="150" t="str">
        <f t="shared" si="36"/>
        <v>AUTRES FOURNITURES - USAGE BMW</v>
      </c>
      <c r="N513" s="151">
        <f>+IF(OR($Q513=Parametres!$G$2,$Q513=Parametres!$G$3),I513,C513)</f>
        <v>240.48</v>
      </c>
      <c r="O513" s="151">
        <f>+IF(OR($Q513=Parametres!$G$2,$Q513=Parametres!$G$3),J513,D513)</f>
        <v>91.57</v>
      </c>
      <c r="P513" s="151">
        <f>+IF(OR($Q513=Parametres!$G$2,$Q513=Parametres!$G$3),K513,E513)</f>
        <v>332.05</v>
      </c>
      <c r="Q513" s="150" t="str">
        <f t="shared" si="37"/>
        <v>7-Dépenses</v>
      </c>
      <c r="R513" s="149" t="str">
        <f t="shared" si="38"/>
        <v>61</v>
      </c>
      <c r="S513" s="150" t="str">
        <f t="shared" si="39"/>
        <v>_</v>
      </c>
      <c r="T513" s="152" t="str">
        <f>+VLOOKUP($L513,Data_Validation!$A:$D,1,0)</f>
        <v>61C</v>
      </c>
      <c r="U513" s="152" t="str">
        <f>+VLOOKUP($L513,Data_Validation!$A:$D,3,0)</f>
        <v>Véhicules usagés</v>
      </c>
      <c r="V513" s="152" t="str">
        <f>+VLOOKUP($L513,Data_Validation!$A:$D,4,0)</f>
        <v>fournitures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1724</v>
      </c>
      <c r="B514" s="685" t="s">
        <v>791</v>
      </c>
      <c r="C514" s="687">
        <v>21087.87</v>
      </c>
      <c r="D514" s="687">
        <v>3158.42</v>
      </c>
      <c r="E514" s="687">
        <v>24246.29</v>
      </c>
      <c r="F514" s="685" t="s">
        <v>2228</v>
      </c>
      <c r="G514" s="685" t="s">
        <v>2258</v>
      </c>
      <c r="H514" s="641" t="s">
        <v>3074</v>
      </c>
      <c r="I514" s="640"/>
      <c r="J514" s="640"/>
      <c r="K514" s="640"/>
      <c r="L514" s="149" t="str">
        <f t="shared" ref="L514:L577" si="40">+B514</f>
        <v>61E</v>
      </c>
      <c r="M514" s="150" t="str">
        <f t="shared" ref="M514:M577" si="41">+A514</f>
        <v>AUTRES FOURNITURES - SERV. BMW</v>
      </c>
      <c r="N514" s="151">
        <f>+IF(OR($Q514=Parametres!$G$2,$Q514=Parametres!$G$3),I514,C514)</f>
        <v>21087.87</v>
      </c>
      <c r="O514" s="151">
        <f>+IF(OR($Q514=Parametres!$G$2,$Q514=Parametres!$G$3),J514,D514)</f>
        <v>3158.42</v>
      </c>
      <c r="P514" s="151">
        <f>+IF(OR($Q514=Parametres!$G$2,$Q514=Parametres!$G$3),K514,E514)</f>
        <v>24246.29</v>
      </c>
      <c r="Q514" s="150" t="str">
        <f t="shared" ref="Q514:Q577" si="42">+F514</f>
        <v>7-Dépenses</v>
      </c>
      <c r="R514" s="149" t="str">
        <f t="shared" ref="R514:R577" si="43">+G514</f>
        <v>61</v>
      </c>
      <c r="S514" s="150" t="str">
        <f t="shared" ref="S514:S577" si="44">+H514</f>
        <v>_</v>
      </c>
      <c r="T514" s="152" t="str">
        <f>+VLOOKUP($L514,Data_Validation!$A:$D,1,0)</f>
        <v>61E</v>
      </c>
      <c r="U514" s="152" t="str">
        <f>+VLOOKUP($L514,Data_Validation!$A:$D,3,0)</f>
        <v>Service</v>
      </c>
      <c r="V514" s="152" t="str">
        <f>+VLOOKUP($L514,Data_Validation!$A:$D,4,0)</f>
        <v>fournitures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1456</v>
      </c>
      <c r="B515" s="685" t="s">
        <v>684</v>
      </c>
      <c r="C515" s="687">
        <v>311.87</v>
      </c>
      <c r="D515" s="687">
        <v>213.77</v>
      </c>
      <c r="E515" s="687">
        <v>525.64</v>
      </c>
      <c r="F515" s="685" t="s">
        <v>2228</v>
      </c>
      <c r="G515" s="685" t="s">
        <v>2258</v>
      </c>
      <c r="H515" s="634" t="s">
        <v>3074</v>
      </c>
      <c r="I515" s="633"/>
      <c r="J515" s="633"/>
      <c r="K515" s="633"/>
      <c r="L515" s="149" t="str">
        <f t="shared" si="40"/>
        <v>61G</v>
      </c>
      <c r="M515" s="150" t="str">
        <f t="shared" si="41"/>
        <v>AUTRES FOURNITURES - PIECE BMW</v>
      </c>
      <c r="N515" s="151">
        <f>+IF(OR($Q515=Parametres!$G$2,$Q515=Parametres!$G$3),I515,C515)</f>
        <v>311.87</v>
      </c>
      <c r="O515" s="151">
        <f>+IF(OR($Q515=Parametres!$G$2,$Q515=Parametres!$G$3),J515,D515)</f>
        <v>213.77</v>
      </c>
      <c r="P515" s="151">
        <f>+IF(OR($Q515=Parametres!$G$2,$Q515=Parametres!$G$3),K515,E515)</f>
        <v>525.64</v>
      </c>
      <c r="Q515" s="150" t="str">
        <f t="shared" si="42"/>
        <v>7-Dépenses</v>
      </c>
      <c r="R515" s="149" t="str">
        <f t="shared" si="43"/>
        <v>61</v>
      </c>
      <c r="S515" s="150" t="str">
        <f t="shared" si="44"/>
        <v>_</v>
      </c>
      <c r="T515" s="152" t="str">
        <f>+VLOOKUP($L515,Data_Validation!$A:$D,1,0)</f>
        <v>61G</v>
      </c>
      <c r="U515" s="152" t="str">
        <f>+VLOOKUP($L515,Data_Validation!$A:$D,3,0)</f>
        <v>pièces</v>
      </c>
      <c r="V515" s="152" t="str">
        <f>+VLOOKUP($L515,Data_Validation!$A:$D,4,0)</f>
        <v>fournitures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2058</v>
      </c>
      <c r="B516" s="685" t="s">
        <v>2059</v>
      </c>
      <c r="C516" s="687">
        <v>401.44</v>
      </c>
      <c r="D516" s="687">
        <v>0</v>
      </c>
      <c r="E516" s="687">
        <v>401.44</v>
      </c>
      <c r="F516" s="685" t="s">
        <v>2228</v>
      </c>
      <c r="G516" s="685" t="s">
        <v>2265</v>
      </c>
      <c r="H516" s="634" t="s">
        <v>3074</v>
      </c>
      <c r="I516" s="633"/>
      <c r="J516" s="633"/>
      <c r="K516" s="633"/>
      <c r="L516" s="149" t="str">
        <f t="shared" si="40"/>
        <v>63A</v>
      </c>
      <c r="M516" s="150" t="str">
        <f t="shared" si="41"/>
        <v>AJUST. GARANTIE - NEUF BMW</v>
      </c>
      <c r="N516" s="151">
        <f>+IF(OR($Q516=Parametres!$G$2,$Q516=Parametres!$G$3),I516,C516)</f>
        <v>401.44</v>
      </c>
      <c r="O516" s="151">
        <f>+IF(OR($Q516=Parametres!$G$2,$Q516=Parametres!$G$3),J516,D516)</f>
        <v>0</v>
      </c>
      <c r="P516" s="151">
        <f>+IF(OR($Q516=Parametres!$G$2,$Q516=Parametres!$G$3),K516,E516)</f>
        <v>401.44</v>
      </c>
      <c r="Q516" s="150" t="str">
        <f t="shared" si="42"/>
        <v>7-Dépenses</v>
      </c>
      <c r="R516" s="149" t="str">
        <f t="shared" si="43"/>
        <v>63</v>
      </c>
      <c r="S516" s="150" t="str">
        <f t="shared" si="44"/>
        <v>_</v>
      </c>
      <c r="T516" s="152" t="str">
        <f>+VLOOKUP($L516,Data_Validation!$A:$D,1,0)</f>
        <v>63A</v>
      </c>
      <c r="U516" s="152" t="str">
        <f>+VLOOKUP($L516,Data_Validation!$A:$D,3,0)</f>
        <v>Véhicules neufs</v>
      </c>
      <c r="V516" s="152" t="str">
        <f>+VLOOKUP($L516,Data_Validation!$A:$D,4,0)</f>
        <v>Service gratuit 1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1197</v>
      </c>
      <c r="B517" s="685" t="s">
        <v>842</v>
      </c>
      <c r="C517" s="687">
        <v>4761.12</v>
      </c>
      <c r="D517" s="687">
        <v>2781.14</v>
      </c>
      <c r="E517" s="687">
        <v>7542.26</v>
      </c>
      <c r="F517" s="685" t="s">
        <v>2228</v>
      </c>
      <c r="G517" s="685" t="s">
        <v>2265</v>
      </c>
      <c r="H517" s="641" t="s">
        <v>3074</v>
      </c>
      <c r="I517" s="641"/>
      <c r="J517" s="641"/>
      <c r="K517" s="641"/>
      <c r="L517" s="149" t="str">
        <f t="shared" si="40"/>
        <v>63E</v>
      </c>
      <c r="M517" s="150" t="str">
        <f t="shared" si="41"/>
        <v>AJUST. GARANTIE - SERV. BMW</v>
      </c>
      <c r="N517" s="151">
        <f>+IF(OR($Q517=Parametres!$G$2,$Q517=Parametres!$G$3),I517,C517)</f>
        <v>4761.12</v>
      </c>
      <c r="O517" s="151">
        <f>+IF(OR($Q517=Parametres!$G$2,$Q517=Parametres!$G$3),J517,D517)</f>
        <v>2781.14</v>
      </c>
      <c r="P517" s="151">
        <f>+IF(OR($Q517=Parametres!$G$2,$Q517=Parametres!$G$3),K517,E517)</f>
        <v>7542.26</v>
      </c>
      <c r="Q517" s="150" t="str">
        <f t="shared" si="42"/>
        <v>7-Dépenses</v>
      </c>
      <c r="R517" s="149" t="str">
        <f t="shared" si="43"/>
        <v>63</v>
      </c>
      <c r="S517" s="150" t="str">
        <f t="shared" si="44"/>
        <v>_</v>
      </c>
      <c r="T517" s="152" t="str">
        <f>+VLOOKUP($L517,Data_Validation!$A:$D,1,0)</f>
        <v>63E</v>
      </c>
      <c r="U517" s="152" t="str">
        <f>+VLOOKUP($L517,Data_Validation!$A:$D,3,0)</f>
        <v>Service</v>
      </c>
      <c r="V517" s="152" t="str">
        <f>+VLOOKUP($L517,Data_Validation!$A:$D,4,0)</f>
        <v>service gratuit 2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1460</v>
      </c>
      <c r="B518" s="685" t="s">
        <v>797</v>
      </c>
      <c r="C518" s="687">
        <v>2257.9499999999998</v>
      </c>
      <c r="D518" s="687">
        <v>213.25</v>
      </c>
      <c r="E518" s="687">
        <v>2471.1999999999998</v>
      </c>
      <c r="F518" s="685" t="s">
        <v>2228</v>
      </c>
      <c r="G518" s="685" t="s">
        <v>2265</v>
      </c>
      <c r="H518" s="634" t="s">
        <v>3074</v>
      </c>
      <c r="I518" s="633"/>
      <c r="J518" s="633"/>
      <c r="K518" s="633"/>
      <c r="L518" s="149" t="str">
        <f t="shared" si="40"/>
        <v>63G</v>
      </c>
      <c r="M518" s="150" t="str">
        <f t="shared" si="41"/>
        <v>AJUST. GARANTIE - PIECE BMW</v>
      </c>
      <c r="N518" s="151">
        <f>+IF(OR($Q518=Parametres!$G$2,$Q518=Parametres!$G$3),I518,C518)</f>
        <v>2257.9499999999998</v>
      </c>
      <c r="O518" s="151">
        <f>+IF(OR($Q518=Parametres!$G$2,$Q518=Parametres!$G$3),J518,D518)</f>
        <v>213.25</v>
      </c>
      <c r="P518" s="151">
        <f>+IF(OR($Q518=Parametres!$G$2,$Q518=Parametres!$G$3),K518,E518)</f>
        <v>2471.1999999999998</v>
      </c>
      <c r="Q518" s="150" t="str">
        <f t="shared" si="42"/>
        <v>7-Dépenses</v>
      </c>
      <c r="R518" s="149" t="str">
        <f t="shared" si="43"/>
        <v>63</v>
      </c>
      <c r="S518" s="150" t="str">
        <f t="shared" si="44"/>
        <v>_</v>
      </c>
      <c r="T518" s="152" t="str">
        <f>+VLOOKUP($L518,Data_Validation!$A:$D,1,0)</f>
        <v>63G</v>
      </c>
      <c r="U518" s="152" t="str">
        <f>+VLOOKUP($L518,Data_Validation!$A:$D,3,0)</f>
        <v>pièces</v>
      </c>
      <c r="V518" s="152" t="str">
        <f>+VLOOKUP($L518,Data_Validation!$A:$D,4,0)</f>
        <v>service gratuit 2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1461</v>
      </c>
      <c r="B519" s="685" t="s">
        <v>1462</v>
      </c>
      <c r="C519" s="687">
        <v>1971.2</v>
      </c>
      <c r="D519" s="687">
        <v>0</v>
      </c>
      <c r="E519" s="687">
        <v>1971.2</v>
      </c>
      <c r="F519" s="685" t="s">
        <v>2228</v>
      </c>
      <c r="G519" s="685" t="s">
        <v>3113</v>
      </c>
      <c r="H519" s="641" t="s">
        <v>3074</v>
      </c>
      <c r="I519" s="640"/>
      <c r="J519" s="640"/>
      <c r="K519" s="640"/>
      <c r="L519" s="149" t="str">
        <f t="shared" si="40"/>
        <v>67A</v>
      </c>
      <c r="M519" s="150" t="str">
        <f t="shared" si="41"/>
        <v>CONTRIBUTIONS - NEUF BMW</v>
      </c>
      <c r="N519" s="151">
        <f>+IF(OR($Q519=Parametres!$G$2,$Q519=Parametres!$G$3),I519,C519)</f>
        <v>1971.2</v>
      </c>
      <c r="O519" s="151">
        <f>+IF(OR($Q519=Parametres!$G$2,$Q519=Parametres!$G$3),J519,D519)</f>
        <v>0</v>
      </c>
      <c r="P519" s="151">
        <f>+IF(OR($Q519=Parametres!$G$2,$Q519=Parametres!$G$3),K519,E519)</f>
        <v>1971.2</v>
      </c>
      <c r="Q519" s="150" t="str">
        <f t="shared" si="42"/>
        <v>7-Dépenses</v>
      </c>
      <c r="R519" s="149" t="str">
        <f t="shared" si="43"/>
        <v>67</v>
      </c>
      <c r="S519" s="150" t="str">
        <f t="shared" si="44"/>
        <v>_</v>
      </c>
      <c r="T519" s="152" t="str">
        <f>+VLOOKUP($L519,Data_Validation!$A:$D,1,0)</f>
        <v>67A</v>
      </c>
      <c r="U519" s="152" t="str">
        <f>+VLOOKUP($L519,Data_Validation!$A:$D,3,0)</f>
        <v>Véhicules neufs</v>
      </c>
      <c r="V519" s="152" t="str">
        <f>+VLOOKUP($L519,Data_Validation!$A:$D,4,0)</f>
        <v>Publicité 1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1463</v>
      </c>
      <c r="B520" s="685" t="s">
        <v>1464</v>
      </c>
      <c r="C520" s="687">
        <v>750</v>
      </c>
      <c r="D520" s="687">
        <v>0</v>
      </c>
      <c r="E520" s="687">
        <v>750</v>
      </c>
      <c r="F520" s="685" t="s">
        <v>2228</v>
      </c>
      <c r="G520" s="685" t="s">
        <v>3113</v>
      </c>
      <c r="H520" s="641" t="s">
        <v>3074</v>
      </c>
      <c r="I520" s="640"/>
      <c r="J520" s="640"/>
      <c r="K520" s="640"/>
      <c r="L520" s="149" t="str">
        <f t="shared" si="40"/>
        <v>67C</v>
      </c>
      <c r="M520" s="150" t="str">
        <f t="shared" si="41"/>
        <v>CONTRIBUTIONS - USAGE BMW</v>
      </c>
      <c r="N520" s="151">
        <f>+IF(OR($Q520=Parametres!$G$2,$Q520=Parametres!$G$3),I520,C520)</f>
        <v>750</v>
      </c>
      <c r="O520" s="151">
        <f>+IF(OR($Q520=Parametres!$G$2,$Q520=Parametres!$G$3),J520,D520)</f>
        <v>0</v>
      </c>
      <c r="P520" s="151">
        <f>+IF(OR($Q520=Parametres!$G$2,$Q520=Parametres!$G$3),K520,E520)</f>
        <v>750</v>
      </c>
      <c r="Q520" s="150" t="str">
        <f t="shared" si="42"/>
        <v>7-Dépenses</v>
      </c>
      <c r="R520" s="149" t="str">
        <f t="shared" si="43"/>
        <v>67</v>
      </c>
      <c r="S520" s="150" t="str">
        <f t="shared" si="44"/>
        <v>_</v>
      </c>
      <c r="T520" s="152" t="str">
        <f>+VLOOKUP($L520,Data_Validation!$A:$D,1,0)</f>
        <v>67C</v>
      </c>
      <c r="U520" s="152" t="str">
        <f>+VLOOKUP($L520,Data_Validation!$A:$D,3,0)</f>
        <v>Véhicules usagés</v>
      </c>
      <c r="V520" s="152" t="str">
        <f>+VLOOKUP($L520,Data_Validation!$A:$D,4,0)</f>
        <v>Publicité 1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1465</v>
      </c>
      <c r="B521" s="685" t="s">
        <v>1466</v>
      </c>
      <c r="C521" s="687">
        <v>1250</v>
      </c>
      <c r="D521" s="687">
        <v>0</v>
      </c>
      <c r="E521" s="687">
        <v>1250</v>
      </c>
      <c r="F521" s="685" t="s">
        <v>2228</v>
      </c>
      <c r="G521" s="685" t="s">
        <v>3113</v>
      </c>
      <c r="H521" s="593" t="s">
        <v>3074</v>
      </c>
      <c r="I521" s="153"/>
      <c r="J521" s="153"/>
      <c r="K521" s="153"/>
      <c r="L521" s="149" t="str">
        <f t="shared" si="40"/>
        <v>67E</v>
      </c>
      <c r="M521" s="150" t="str">
        <f t="shared" si="41"/>
        <v>CONTRIBUTIONS - SERV. BMW</v>
      </c>
      <c r="N521" s="151">
        <f>+IF(OR($Q521=Parametres!$G$2,$Q521=Parametres!$G$3),I521,C521)</f>
        <v>1250</v>
      </c>
      <c r="O521" s="151">
        <f>+IF(OR($Q521=Parametres!$G$2,$Q521=Parametres!$G$3),J521,D521)</f>
        <v>0</v>
      </c>
      <c r="P521" s="151">
        <f>+IF(OR($Q521=Parametres!$G$2,$Q521=Parametres!$G$3),K521,E521)</f>
        <v>1250</v>
      </c>
      <c r="Q521" s="150" t="str">
        <f t="shared" si="42"/>
        <v>7-Dépenses</v>
      </c>
      <c r="R521" s="149" t="str">
        <f t="shared" si="43"/>
        <v>67</v>
      </c>
      <c r="S521" s="150" t="str">
        <f t="shared" si="44"/>
        <v>_</v>
      </c>
      <c r="T521" s="152" t="str">
        <f>+VLOOKUP($L521,Data_Validation!$A:$D,1,0)</f>
        <v>67E</v>
      </c>
      <c r="U521" s="152" t="str">
        <f>+VLOOKUP($L521,Data_Validation!$A:$D,3,0)</f>
        <v>Service</v>
      </c>
      <c r="V521" s="152" t="str">
        <f>+VLOOKUP($L521,Data_Validation!$A:$D,4,0)</f>
        <v>Publicité 2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1467</v>
      </c>
      <c r="B522" s="685" t="s">
        <v>1468</v>
      </c>
      <c r="C522" s="687">
        <v>1000</v>
      </c>
      <c r="D522" s="687">
        <v>0</v>
      </c>
      <c r="E522" s="687">
        <v>1000</v>
      </c>
      <c r="F522" s="685" t="s">
        <v>2228</v>
      </c>
      <c r="G522" s="685" t="s">
        <v>3113</v>
      </c>
      <c r="H522" s="593" t="s">
        <v>3074</v>
      </c>
      <c r="I522" s="595"/>
      <c r="J522" s="595"/>
      <c r="K522" s="595"/>
      <c r="L522" s="149" t="str">
        <f t="shared" si="40"/>
        <v>67G</v>
      </c>
      <c r="M522" s="150" t="str">
        <f t="shared" si="41"/>
        <v>CONTRIBUTIONS - PIECE BMW</v>
      </c>
      <c r="N522" s="151">
        <f>+IF(OR($Q522=Parametres!$G$2,$Q522=Parametres!$G$3),I522,C522)</f>
        <v>1000</v>
      </c>
      <c r="O522" s="496">
        <f>+IF(OR($Q522=Parametres!$G$2,$Q522=Parametres!$G$3),J522,D522)</f>
        <v>0</v>
      </c>
      <c r="P522" s="151">
        <f>+IF(OR($Q522=Parametres!$G$2,$Q522=Parametres!$G$3),K522,E522)</f>
        <v>1000</v>
      </c>
      <c r="Q522" s="150" t="str">
        <f t="shared" si="42"/>
        <v>7-Dépenses</v>
      </c>
      <c r="R522" s="149" t="str">
        <f t="shared" si="43"/>
        <v>67</v>
      </c>
      <c r="S522" s="150" t="str">
        <f t="shared" si="44"/>
        <v>_</v>
      </c>
      <c r="T522" s="152" t="str">
        <f>+VLOOKUP($L522,Data_Validation!$A:$D,1,0)</f>
        <v>67G</v>
      </c>
      <c r="U522" s="152" t="str">
        <f>+VLOOKUP($L522,Data_Validation!$A:$D,3,0)</f>
        <v>pièces</v>
      </c>
      <c r="V522" s="152" t="str">
        <f>+VLOOKUP($L522,Data_Validation!$A:$D,4,0)</f>
        <v>Publicité 2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1639</v>
      </c>
      <c r="B523" s="685" t="s">
        <v>896</v>
      </c>
      <c r="C523" s="687">
        <v>6309.93</v>
      </c>
      <c r="D523" s="687">
        <v>1480</v>
      </c>
      <c r="E523" s="687">
        <v>7789.93</v>
      </c>
      <c r="F523" s="685" t="s">
        <v>2228</v>
      </c>
      <c r="G523" s="685" t="s">
        <v>2257</v>
      </c>
      <c r="H523" s="595" t="s">
        <v>3074</v>
      </c>
      <c r="I523" s="594"/>
      <c r="J523" s="594"/>
      <c r="K523" s="594"/>
      <c r="L523" s="149" t="str">
        <f t="shared" si="40"/>
        <v>68A</v>
      </c>
      <c r="M523" s="150" t="str">
        <f t="shared" si="41"/>
        <v>TRAV. GRACIEUX - NEUF BMW</v>
      </c>
      <c r="N523" s="151">
        <f>+IF(OR($Q523=Parametres!$G$2,$Q523=Parametres!$G$3),I523,C523)</f>
        <v>6309.93</v>
      </c>
      <c r="O523" s="496">
        <f>+IF(OR($Q523=Parametres!$G$2,$Q523=Parametres!$G$3),J523,D523)</f>
        <v>1480</v>
      </c>
      <c r="P523" s="151">
        <f>+IF(OR($Q523=Parametres!$G$2,$Q523=Parametres!$G$3),K523,E523)</f>
        <v>7789.93</v>
      </c>
      <c r="Q523" s="150" t="str">
        <f t="shared" si="42"/>
        <v>7-Dépenses</v>
      </c>
      <c r="R523" s="149" t="str">
        <f t="shared" si="43"/>
        <v>68</v>
      </c>
      <c r="S523" s="150" t="str">
        <f t="shared" si="44"/>
        <v>_</v>
      </c>
      <c r="T523" s="152" t="str">
        <f>+VLOOKUP($L523,Data_Validation!$A:$D,1,0)</f>
        <v>68A</v>
      </c>
      <c r="U523" s="152" t="str">
        <f>+VLOOKUP($L523,Data_Validation!$A:$D,3,0)</f>
        <v>Véhicules neufs</v>
      </c>
      <c r="V523" s="152" t="str">
        <f>+VLOOKUP($L523,Data_Validation!$A:$D,4,0)</f>
        <v>service gratuit 1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1649</v>
      </c>
      <c r="B524" s="685" t="s">
        <v>893</v>
      </c>
      <c r="C524" s="1038">
        <v>7510.88</v>
      </c>
      <c r="D524" s="1038">
        <v>4495.05</v>
      </c>
      <c r="E524" s="1038">
        <v>12005.93</v>
      </c>
      <c r="F524" s="685" t="s">
        <v>2228</v>
      </c>
      <c r="G524" s="685" t="s">
        <v>2257</v>
      </c>
      <c r="H524" s="686" t="s">
        <v>3074</v>
      </c>
      <c r="I524" s="687"/>
      <c r="J524" s="687"/>
      <c r="K524" s="687"/>
      <c r="L524" s="149" t="str">
        <f t="shared" si="40"/>
        <v>68C</v>
      </c>
      <c r="M524" s="150" t="str">
        <f t="shared" si="41"/>
        <v>TRAV. GRACIEUX - USAGE BMW</v>
      </c>
      <c r="N524" s="151">
        <f>+IF(OR($Q524=Parametres!$G$2,$Q524=Parametres!$G$3),I524,C524)</f>
        <v>7510.88</v>
      </c>
      <c r="O524" s="151">
        <f>+IF(OR($Q524=Parametres!$G$2,$Q524=Parametres!$G$3),J524,D524)</f>
        <v>4495.05</v>
      </c>
      <c r="P524" s="151">
        <f>+IF(OR($Q524=Parametres!$G$2,$Q524=Parametres!$G$3),K524,E524)</f>
        <v>12005.93</v>
      </c>
      <c r="Q524" s="150" t="str">
        <f t="shared" si="42"/>
        <v>7-Dépenses</v>
      </c>
      <c r="R524" s="149" t="str">
        <f t="shared" si="43"/>
        <v>68</v>
      </c>
      <c r="S524" s="150" t="str">
        <f t="shared" si="44"/>
        <v>_</v>
      </c>
      <c r="T524" s="152" t="str">
        <f>+VLOOKUP($L524,Data_Validation!$A:$E,1,0)</f>
        <v>68C</v>
      </c>
      <c r="U524" s="152" t="str">
        <f>+VLOOKUP($L524,Data_Validation!$A:$E,3,0)</f>
        <v>Véhicules usagés</v>
      </c>
      <c r="V524" s="152" t="str">
        <f>+VLOOKUP($L524,Data_Validation!$A:$E,4,0)</f>
        <v>service gratuit 1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1113</v>
      </c>
      <c r="B525" s="685" t="s">
        <v>929</v>
      </c>
      <c r="C525" s="687">
        <v>19718.689999999999</v>
      </c>
      <c r="D525" s="687">
        <v>2034.45</v>
      </c>
      <c r="E525" s="687">
        <v>21753.14</v>
      </c>
      <c r="F525" s="685" t="s">
        <v>2228</v>
      </c>
      <c r="G525" s="685" t="s">
        <v>2257</v>
      </c>
      <c r="H525" s="593" t="s">
        <v>3074</v>
      </c>
      <c r="I525" s="153"/>
      <c r="J525" s="153"/>
      <c r="K525" s="153"/>
      <c r="L525" s="149" t="str">
        <f t="shared" si="40"/>
        <v>68E</v>
      </c>
      <c r="M525" s="150" t="str">
        <f t="shared" si="41"/>
        <v>TRAV. GRACIEUX - SERV. BMW</v>
      </c>
      <c r="N525" s="151">
        <f>+IF(OR($Q525=Parametres!$G$2,$Q525=Parametres!$G$3),I525,C525)</f>
        <v>19718.689999999999</v>
      </c>
      <c r="O525" s="151">
        <f>+IF(OR($Q525=Parametres!$G$2,$Q525=Parametres!$G$3),J525,D525)</f>
        <v>2034.45</v>
      </c>
      <c r="P525" s="151">
        <f>+IF(OR($Q525=Parametres!$G$2,$Q525=Parametres!$G$3),K525,E525)</f>
        <v>21753.14</v>
      </c>
      <c r="Q525" s="150" t="str">
        <f t="shared" si="42"/>
        <v>7-Dépenses</v>
      </c>
      <c r="R525" s="149" t="str">
        <f t="shared" si="43"/>
        <v>68</v>
      </c>
      <c r="S525" s="150" t="str">
        <f t="shared" si="44"/>
        <v>_</v>
      </c>
      <c r="T525" s="152" t="str">
        <f>+VLOOKUP($L525,Data_Validation!$A:$D,1,0)</f>
        <v>68E</v>
      </c>
      <c r="U525" s="152" t="str">
        <f>+VLOOKUP($L525,Data_Validation!$A:$D,3,0)</f>
        <v>Service</v>
      </c>
      <c r="V525" s="152" t="str">
        <f>+VLOOKUP($L525,Data_Validation!$A:$D,4,0)</f>
        <v>service gratuit 2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1638</v>
      </c>
      <c r="B526" s="685" t="s">
        <v>873</v>
      </c>
      <c r="C526" s="687">
        <v>189.4</v>
      </c>
      <c r="D526" s="687">
        <v>0</v>
      </c>
      <c r="E526" s="687">
        <v>189.4</v>
      </c>
      <c r="F526" s="685" t="s">
        <v>2228</v>
      </c>
      <c r="G526" s="685" t="s">
        <v>2257</v>
      </c>
      <c r="H526" s="595" t="s">
        <v>3074</v>
      </c>
      <c r="I526" s="594"/>
      <c r="J526" s="594"/>
      <c r="K526" s="594"/>
      <c r="L526" s="149" t="str">
        <f t="shared" si="40"/>
        <v>68G</v>
      </c>
      <c r="M526" s="150" t="str">
        <f t="shared" si="41"/>
        <v>TRAV. GRACIEUX - PIECE BMW</v>
      </c>
      <c r="N526" s="151">
        <f>+IF(OR($Q526=Parametres!$G$2,$Q526=Parametres!$G$3),I526,C526)</f>
        <v>189.4</v>
      </c>
      <c r="O526" s="151">
        <f>+IF(OR($Q526=Parametres!$G$2,$Q526=Parametres!$G$3),J526,D526)</f>
        <v>0</v>
      </c>
      <c r="P526" s="151">
        <f>+IF(OR($Q526=Parametres!$G$2,$Q526=Parametres!$G$3),K526,E526)</f>
        <v>189.4</v>
      </c>
      <c r="Q526" s="150" t="str">
        <f t="shared" si="42"/>
        <v>7-Dépenses</v>
      </c>
      <c r="R526" s="149" t="str">
        <f t="shared" si="43"/>
        <v>68</v>
      </c>
      <c r="S526" s="150" t="str">
        <f t="shared" si="44"/>
        <v>_</v>
      </c>
      <c r="T526" s="152" t="str">
        <f>+VLOOKUP($L526,Data_Validation!$A:$D,1,0)</f>
        <v>68G</v>
      </c>
      <c r="U526" s="152" t="str">
        <f>+VLOOKUP($L526,Data_Validation!$A:$D,3,0)</f>
        <v>pièces</v>
      </c>
      <c r="V526" s="152" t="str">
        <f>+VLOOKUP($L526,Data_Validation!$A:$D,4,0)</f>
        <v>service gratuit 2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1640</v>
      </c>
      <c r="B527" s="685" t="s">
        <v>913</v>
      </c>
      <c r="C527" s="687">
        <v>54437.51</v>
      </c>
      <c r="D527" s="687">
        <v>9638.23</v>
      </c>
      <c r="E527" s="687">
        <v>64075.74</v>
      </c>
      <c r="F527" s="685" t="s">
        <v>2228</v>
      </c>
      <c r="G527" s="685" t="s">
        <v>2284</v>
      </c>
      <c r="H527" s="595" t="s">
        <v>3074</v>
      </c>
      <c r="I527" s="594"/>
      <c r="J527" s="594"/>
      <c r="K527" s="594"/>
      <c r="L527" s="149" t="str">
        <f t="shared" si="40"/>
        <v>69A</v>
      </c>
      <c r="M527" s="150" t="str">
        <f t="shared" si="41"/>
        <v>FRAIS INFORMATIQUE - NEUF BMW</v>
      </c>
      <c r="N527" s="151">
        <f>+IF(OR($Q527=Parametres!$G$2,$Q527=Parametres!$G$3),I527,C527)</f>
        <v>54437.51</v>
      </c>
      <c r="O527" s="151">
        <f>+IF(OR($Q527=Parametres!$G$2,$Q527=Parametres!$G$3),J527,D527)</f>
        <v>9638.23</v>
      </c>
      <c r="P527" s="151">
        <f>+IF(OR($Q527=Parametres!$G$2,$Q527=Parametres!$G$3),K527,E527)</f>
        <v>64075.74</v>
      </c>
      <c r="Q527" s="150" t="str">
        <f t="shared" si="42"/>
        <v>7-Dépenses</v>
      </c>
      <c r="R527" s="149" t="str">
        <f t="shared" si="43"/>
        <v>69</v>
      </c>
      <c r="S527" s="150" t="str">
        <f t="shared" si="44"/>
        <v>_</v>
      </c>
      <c r="T527" s="152" t="str">
        <f>+VLOOKUP($L527,Data_Validation!$A:$D,1,0)</f>
        <v>69A</v>
      </c>
      <c r="U527" s="152" t="str">
        <f>+VLOOKUP($L527,Data_Validation!$A:$D,3,0)</f>
        <v>Véhicules neufs</v>
      </c>
      <c r="V527" s="152" t="str">
        <f>+VLOOKUP($L527,Data_Validation!$A:$D,4,0)</f>
        <v>informatique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1631</v>
      </c>
      <c r="B528" s="685" t="s">
        <v>876</v>
      </c>
      <c r="C528" s="687">
        <v>24416.61</v>
      </c>
      <c r="D528" s="687">
        <v>5722.05</v>
      </c>
      <c r="E528" s="687">
        <v>30138.66</v>
      </c>
      <c r="F528" s="685" t="s">
        <v>2228</v>
      </c>
      <c r="G528" s="685" t="s">
        <v>2284</v>
      </c>
      <c r="H528" s="641" t="s">
        <v>3074</v>
      </c>
      <c r="I528" s="640"/>
      <c r="J528" s="640"/>
      <c r="K528" s="640"/>
      <c r="L528" s="149" t="str">
        <f t="shared" si="40"/>
        <v>69C</v>
      </c>
      <c r="M528" s="150" t="str">
        <f t="shared" si="41"/>
        <v>FRAIS INFORMATIQUE - USAGE BMW</v>
      </c>
      <c r="N528" s="151">
        <f>+IF(OR($Q528=Parametres!$G$2,$Q528=Parametres!$G$3),I528,C528)</f>
        <v>24416.61</v>
      </c>
      <c r="O528" s="151">
        <f>+IF(OR($Q528=Parametres!$G$2,$Q528=Parametres!$G$3),J528,D528)</f>
        <v>5722.05</v>
      </c>
      <c r="P528" s="151">
        <f>+IF(OR($Q528=Parametres!$G$2,$Q528=Parametres!$G$3),K528,E528)</f>
        <v>30138.66</v>
      </c>
      <c r="Q528" s="150" t="str">
        <f t="shared" si="42"/>
        <v>7-Dépenses</v>
      </c>
      <c r="R528" s="149" t="str">
        <f t="shared" si="43"/>
        <v>69</v>
      </c>
      <c r="S528" s="150" t="str">
        <f t="shared" si="44"/>
        <v>_</v>
      </c>
      <c r="T528" s="152" t="str">
        <f>+VLOOKUP($L528,Data_Validation!$A:$D,1,0)</f>
        <v>69C</v>
      </c>
      <c r="U528" s="152" t="str">
        <f>+VLOOKUP($L528,Data_Validation!$A:$D,3,0)</f>
        <v>Véhicules usagés</v>
      </c>
      <c r="V528" s="152" t="str">
        <f>+VLOOKUP($L528,Data_Validation!$A:$D,4,0)</f>
        <v>informatique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1766</v>
      </c>
      <c r="B529" s="685" t="s">
        <v>931</v>
      </c>
      <c r="C529" s="687">
        <v>38379.93</v>
      </c>
      <c r="D529" s="687">
        <v>6192.27</v>
      </c>
      <c r="E529" s="687">
        <v>44572.2</v>
      </c>
      <c r="F529" s="685" t="s">
        <v>2228</v>
      </c>
      <c r="G529" s="685" t="s">
        <v>2284</v>
      </c>
      <c r="H529" s="641" t="s">
        <v>3074</v>
      </c>
      <c r="I529" s="641"/>
      <c r="J529" s="641"/>
      <c r="K529" s="641"/>
      <c r="L529" s="149" t="str">
        <f t="shared" si="40"/>
        <v>69E</v>
      </c>
      <c r="M529" s="150" t="str">
        <f t="shared" si="41"/>
        <v>FRAIS INFORMATIQUE - SERV. BMW</v>
      </c>
      <c r="N529" s="151">
        <f>+IF(OR($Q529=Parametres!$G$2,$Q529=Parametres!$G$3),I529,C529)</f>
        <v>38379.93</v>
      </c>
      <c r="O529" s="151">
        <f>+IF(OR($Q529=Parametres!$G$2,$Q529=Parametres!$G$3),J529,D529)</f>
        <v>6192.27</v>
      </c>
      <c r="P529" s="151">
        <f>+IF(OR($Q529=Parametres!$G$2,$Q529=Parametres!$G$3),K529,E529)</f>
        <v>44572.2</v>
      </c>
      <c r="Q529" s="150" t="str">
        <f t="shared" si="42"/>
        <v>7-Dépenses</v>
      </c>
      <c r="R529" s="149" t="str">
        <f t="shared" si="43"/>
        <v>69</v>
      </c>
      <c r="S529" s="150" t="str">
        <f t="shared" si="44"/>
        <v>_</v>
      </c>
      <c r="T529" s="152" t="str">
        <f>+VLOOKUP($L529,Data_Validation!$A:$D,1,0)</f>
        <v>69E</v>
      </c>
      <c r="U529" s="152" t="str">
        <f>+VLOOKUP($L529,Data_Validation!$A:$D,3,0)</f>
        <v>Service</v>
      </c>
      <c r="V529" s="152" t="str">
        <f>+VLOOKUP($L529,Data_Validation!$A:$D,4,0)</f>
        <v>informatique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1669</v>
      </c>
      <c r="B530" s="685" t="s">
        <v>884</v>
      </c>
      <c r="C530" s="687">
        <v>15070.46</v>
      </c>
      <c r="D530" s="687">
        <v>2173.69</v>
      </c>
      <c r="E530" s="687">
        <v>17244.150000000001</v>
      </c>
      <c r="F530" s="685" t="s">
        <v>2228</v>
      </c>
      <c r="G530" s="685" t="s">
        <v>2284</v>
      </c>
      <c r="H530" s="641" t="s">
        <v>3074</v>
      </c>
      <c r="I530" s="640"/>
      <c r="J530" s="640"/>
      <c r="K530" s="640"/>
      <c r="L530" s="149" t="str">
        <f t="shared" si="40"/>
        <v>69G</v>
      </c>
      <c r="M530" s="150" t="str">
        <f t="shared" si="41"/>
        <v>FRAIS INFORMATIQUE - PIECE BMW</v>
      </c>
      <c r="N530" s="151">
        <f>+IF(OR($Q530=Parametres!$G$2,$Q530=Parametres!$G$3),I530,C530)</f>
        <v>15070.46</v>
      </c>
      <c r="O530" s="151">
        <f>+IF(OR($Q530=Parametres!$G$2,$Q530=Parametres!$G$3),J530,D530)</f>
        <v>2173.69</v>
      </c>
      <c r="P530" s="151">
        <f>+IF(OR($Q530=Parametres!$G$2,$Q530=Parametres!$G$3),K530,E530)</f>
        <v>17244.150000000001</v>
      </c>
      <c r="Q530" s="150" t="str">
        <f t="shared" si="42"/>
        <v>7-Dépenses</v>
      </c>
      <c r="R530" s="149" t="str">
        <f t="shared" si="43"/>
        <v>69</v>
      </c>
      <c r="S530" s="150" t="str">
        <f t="shared" si="44"/>
        <v>_</v>
      </c>
      <c r="T530" s="152" t="str">
        <f>+VLOOKUP($L530,Data_Validation!$A:$D,1,0)</f>
        <v>69G</v>
      </c>
      <c r="U530" s="152" t="str">
        <f>+VLOOKUP($L530,Data_Validation!$A:$D,3,0)</f>
        <v>pièces</v>
      </c>
      <c r="V530" s="152" t="str">
        <f>+VLOOKUP($L530,Data_Validation!$A:$D,4,0)</f>
        <v>informatique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1750</v>
      </c>
      <c r="B531" s="685" t="s">
        <v>959</v>
      </c>
      <c r="C531" s="687">
        <v>19024.86</v>
      </c>
      <c r="D531" s="687">
        <v>3269.68</v>
      </c>
      <c r="E531" s="687">
        <v>22294.54</v>
      </c>
      <c r="F531" s="685" t="s">
        <v>2228</v>
      </c>
      <c r="G531" s="685" t="s">
        <v>2281</v>
      </c>
      <c r="H531" s="641" t="s">
        <v>3074</v>
      </c>
      <c r="I531" s="640"/>
      <c r="J531" s="640"/>
      <c r="K531" s="640"/>
      <c r="L531" s="149" t="str">
        <f t="shared" si="40"/>
        <v>70A</v>
      </c>
      <c r="M531" s="150" t="str">
        <f t="shared" si="41"/>
        <v>SERV. EXTERIEURS - NEUF BMW</v>
      </c>
      <c r="N531" s="151">
        <f>+IF(OR($Q531=Parametres!$G$2,$Q531=Parametres!$G$3),I531,C531)</f>
        <v>19024.86</v>
      </c>
      <c r="O531" s="151">
        <f>+IF(OR($Q531=Parametres!$G$2,$Q531=Parametres!$G$3),J531,D531)</f>
        <v>3269.68</v>
      </c>
      <c r="P531" s="151">
        <f>+IF(OR($Q531=Parametres!$G$2,$Q531=Parametres!$G$3),K531,E531)</f>
        <v>22294.54</v>
      </c>
      <c r="Q531" s="150" t="str">
        <f t="shared" si="42"/>
        <v>7-Dépenses</v>
      </c>
      <c r="R531" s="149" t="str">
        <f t="shared" si="43"/>
        <v>70</v>
      </c>
      <c r="S531" s="150" t="str">
        <f t="shared" si="44"/>
        <v>_</v>
      </c>
      <c r="T531" s="152" t="str">
        <f>+VLOOKUP($L531,Data_Validation!$A:$D,1,0)</f>
        <v>70A</v>
      </c>
      <c r="U531" s="152" t="str">
        <f>+VLOOKUP($L531,Data_Validation!$A:$D,3,0)</f>
        <v>Véhicules neufs</v>
      </c>
      <c r="V531" s="152" t="str">
        <f>+VLOOKUP($L531,Data_Validation!$A:$D,4,0)</f>
        <v>services extérieurs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1674</v>
      </c>
      <c r="B532" s="685" t="s">
        <v>851</v>
      </c>
      <c r="C532" s="687">
        <v>19150.849999999999</v>
      </c>
      <c r="D532" s="687">
        <v>3384.13</v>
      </c>
      <c r="E532" s="687">
        <v>22534.98</v>
      </c>
      <c r="F532" s="685" t="s">
        <v>2228</v>
      </c>
      <c r="G532" s="685" t="s">
        <v>2281</v>
      </c>
      <c r="H532" s="641" t="s">
        <v>3074</v>
      </c>
      <c r="I532" s="640"/>
      <c r="J532" s="640"/>
      <c r="K532" s="640"/>
      <c r="L532" s="149" t="str">
        <f t="shared" si="40"/>
        <v>70C</v>
      </c>
      <c r="M532" s="150" t="str">
        <f t="shared" si="41"/>
        <v>SERV. EXTERIEURS - USAGE BMW</v>
      </c>
      <c r="N532" s="151">
        <f>+IF(OR($Q532=Parametres!$G$2,$Q532=Parametres!$G$3),I532,C532)</f>
        <v>19150.849999999999</v>
      </c>
      <c r="O532" s="151">
        <f>+IF(OR($Q532=Parametres!$G$2,$Q532=Parametres!$G$3),J532,D532)</f>
        <v>3384.13</v>
      </c>
      <c r="P532" s="151">
        <f>+IF(OR($Q532=Parametres!$G$2,$Q532=Parametres!$G$3),K532,E532)</f>
        <v>22534.98</v>
      </c>
      <c r="Q532" s="150" t="str">
        <f t="shared" si="42"/>
        <v>7-Dépenses</v>
      </c>
      <c r="R532" s="149" t="str">
        <f t="shared" si="43"/>
        <v>70</v>
      </c>
      <c r="S532" s="150" t="str">
        <f t="shared" si="44"/>
        <v>_</v>
      </c>
      <c r="T532" s="152" t="str">
        <f>+VLOOKUP($L532,Data_Validation!$A:$D,1,0)</f>
        <v>70C</v>
      </c>
      <c r="U532" s="152" t="str">
        <f>+VLOOKUP($L532,Data_Validation!$A:$D,3,0)</f>
        <v>Véhicules usagés</v>
      </c>
      <c r="V532" s="152" t="str">
        <f>+VLOOKUP($L532,Data_Validation!$A:$D,4,0)</f>
        <v>services extérieurs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1799</v>
      </c>
      <c r="B533" s="685" t="s">
        <v>933</v>
      </c>
      <c r="C533" s="1038">
        <v>41163.39</v>
      </c>
      <c r="D533" s="1038">
        <v>16216.45</v>
      </c>
      <c r="E533" s="1038">
        <v>57379.839999999997</v>
      </c>
      <c r="F533" s="685" t="s">
        <v>2228</v>
      </c>
      <c r="G533" s="685" t="s">
        <v>2281</v>
      </c>
      <c r="H533" s="686" t="s">
        <v>3074</v>
      </c>
      <c r="I533" s="687"/>
      <c r="J533" s="687"/>
      <c r="K533" s="687"/>
      <c r="L533" s="149" t="str">
        <f t="shared" si="40"/>
        <v>70E</v>
      </c>
      <c r="M533" s="150" t="str">
        <f t="shared" si="41"/>
        <v>SERV. EXTERIEURS - SERV. BMW</v>
      </c>
      <c r="N533" s="151">
        <f>+IF(OR($Q533=Parametres!$G$2,$Q533=Parametres!$G$3),I533,C533)</f>
        <v>41163.39</v>
      </c>
      <c r="O533" s="151">
        <f>+IF(OR($Q533=Parametres!$G$2,$Q533=Parametres!$G$3),J533,D533)</f>
        <v>16216.45</v>
      </c>
      <c r="P533" s="151">
        <f>+IF(OR($Q533=Parametres!$G$2,$Q533=Parametres!$G$3),K533,E533)</f>
        <v>57379.839999999997</v>
      </c>
      <c r="Q533" s="150" t="str">
        <f t="shared" si="42"/>
        <v>7-Dépenses</v>
      </c>
      <c r="R533" s="149" t="str">
        <f t="shared" si="43"/>
        <v>70</v>
      </c>
      <c r="S533" s="150" t="str">
        <f t="shared" si="44"/>
        <v>_</v>
      </c>
      <c r="T533" s="152" t="str">
        <f>+VLOOKUP($L533,Data_Validation!$A:$D,1,0)</f>
        <v>70E</v>
      </c>
      <c r="U533" s="152" t="str">
        <f>+VLOOKUP($L533,Data_Validation!$A:$D,3,0)</f>
        <v>Service</v>
      </c>
      <c r="V533" s="152" t="str">
        <f>+VLOOKUP($L533,Data_Validation!$A:$D,4,0)</f>
        <v>services extérieurs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1734</v>
      </c>
      <c r="B534" s="685" t="s">
        <v>920</v>
      </c>
      <c r="C534" s="1038">
        <v>8973.48</v>
      </c>
      <c r="D534" s="1038">
        <v>1548.64</v>
      </c>
      <c r="E534" s="1038">
        <v>10522.12</v>
      </c>
      <c r="F534" s="685" t="s">
        <v>2228</v>
      </c>
      <c r="G534" s="685" t="s">
        <v>2281</v>
      </c>
      <c r="H534" s="686" t="s">
        <v>3074</v>
      </c>
      <c r="I534" s="687"/>
      <c r="J534" s="687"/>
      <c r="K534" s="687"/>
      <c r="L534" s="149" t="str">
        <f t="shared" si="40"/>
        <v>70G</v>
      </c>
      <c r="M534" s="150" t="str">
        <f t="shared" si="41"/>
        <v>SERV. EXTERIEURS - PIECE BMW</v>
      </c>
      <c r="N534" s="151">
        <f>+IF(OR($Q534=Parametres!$G$2,$Q534=Parametres!$G$3),I534,C534)</f>
        <v>8973.48</v>
      </c>
      <c r="O534" s="497">
        <f>+IF(OR($Q534=Parametres!$G$2,$Q534=Parametres!$G$3),J534,D534)</f>
        <v>1548.64</v>
      </c>
      <c r="P534" s="151">
        <f>+IF(OR($Q534=Parametres!$G$2,$Q534=Parametres!$G$3),K534,E534)</f>
        <v>10522.12</v>
      </c>
      <c r="Q534" s="150" t="str">
        <f t="shared" si="42"/>
        <v>7-Dépenses</v>
      </c>
      <c r="R534" s="149" t="str">
        <f t="shared" si="43"/>
        <v>70</v>
      </c>
      <c r="S534" s="150" t="str">
        <f t="shared" si="44"/>
        <v>_</v>
      </c>
      <c r="T534" s="152" t="str">
        <f>+VLOOKUP($L534,Data_Validation!$A:$D,1,0)</f>
        <v>70G</v>
      </c>
      <c r="U534" s="152" t="str">
        <f>+VLOOKUP($L534,Data_Validation!$A:$D,3,0)</f>
        <v>pièces</v>
      </c>
      <c r="V534" s="152" t="str">
        <f>+VLOOKUP($L534,Data_Validation!$A:$D,4,0)</f>
        <v>services extérieurs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1156</v>
      </c>
      <c r="B535" s="685" t="s">
        <v>800</v>
      </c>
      <c r="C535" s="687">
        <v>12885.05</v>
      </c>
      <c r="D535" s="687">
        <v>3011.58</v>
      </c>
      <c r="E535" s="687">
        <v>15896.63</v>
      </c>
      <c r="F535" s="685" t="s">
        <v>2228</v>
      </c>
      <c r="G535" s="685" t="s">
        <v>2266</v>
      </c>
      <c r="H535" s="641" t="s">
        <v>3074</v>
      </c>
      <c r="I535" s="640"/>
      <c r="J535" s="640"/>
      <c r="K535" s="640"/>
      <c r="L535" s="149" t="str">
        <f t="shared" si="40"/>
        <v>71A</v>
      </c>
      <c r="M535" s="150" t="str">
        <f t="shared" si="41"/>
        <v>FRAIS REPRESENTATION - NEUF BMW</v>
      </c>
      <c r="N535" s="151">
        <f>+IF(OR($Q535=Parametres!$G$2,$Q535=Parametres!$G$3),I535,C535)</f>
        <v>12885.05</v>
      </c>
      <c r="O535" s="151">
        <f>+IF(OR($Q535=Parametres!$G$2,$Q535=Parametres!$G$3),J535,D535)</f>
        <v>3011.58</v>
      </c>
      <c r="P535" s="151">
        <f>+IF(OR($Q535=Parametres!$G$2,$Q535=Parametres!$G$3),K535,E535)</f>
        <v>15896.63</v>
      </c>
      <c r="Q535" s="150" t="str">
        <f t="shared" si="42"/>
        <v>7-Dépenses</v>
      </c>
      <c r="R535" s="149" t="str">
        <f t="shared" si="43"/>
        <v>71</v>
      </c>
      <c r="S535" s="150" t="str">
        <f t="shared" si="44"/>
        <v>_</v>
      </c>
      <c r="T535" s="152" t="str">
        <f>+VLOOKUP($L535,Data_Validation!$A:$D,1,0)</f>
        <v>71A</v>
      </c>
      <c r="U535" s="152" t="str">
        <f>+VLOOKUP($L535,Data_Validation!$A:$D,3,0)</f>
        <v>Véhicules neufs</v>
      </c>
      <c r="V535" s="152" t="str">
        <f>+VLOOKUP($L535,Data_Validation!$A:$D,4,0)</f>
        <v>Frais de déplacement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1201</v>
      </c>
      <c r="B536" s="685" t="s">
        <v>796</v>
      </c>
      <c r="C536" s="687">
        <v>4642.43</v>
      </c>
      <c r="D536" s="687">
        <v>1116.1400000000001</v>
      </c>
      <c r="E536" s="687">
        <v>5758.57</v>
      </c>
      <c r="F536" s="685" t="s">
        <v>2228</v>
      </c>
      <c r="G536" s="685" t="s">
        <v>2266</v>
      </c>
      <c r="H536" s="641" t="s">
        <v>3074</v>
      </c>
      <c r="I536" s="640"/>
      <c r="J536" s="640"/>
      <c r="K536" s="640"/>
      <c r="L536" s="149" t="str">
        <f t="shared" si="40"/>
        <v>71C</v>
      </c>
      <c r="M536" s="150" t="str">
        <f t="shared" si="41"/>
        <v>FRAIS REPRESENTATION - USAGE BMW</v>
      </c>
      <c r="N536" s="151">
        <f>+IF(OR($Q536=Parametres!$G$2,$Q536=Parametres!$G$3),I536,C536)</f>
        <v>4642.43</v>
      </c>
      <c r="O536" s="496">
        <f>+IF(OR($Q536=Parametres!$G$2,$Q536=Parametres!$G$3),J536,D536)</f>
        <v>1116.1400000000001</v>
      </c>
      <c r="P536" s="151">
        <f>+IF(OR($Q536=Parametres!$G$2,$Q536=Parametres!$G$3),K536,E536)</f>
        <v>5758.57</v>
      </c>
      <c r="Q536" s="150" t="str">
        <f t="shared" si="42"/>
        <v>7-Dépenses</v>
      </c>
      <c r="R536" s="149" t="str">
        <f t="shared" si="43"/>
        <v>71</v>
      </c>
      <c r="S536" s="150" t="str">
        <f t="shared" si="44"/>
        <v>_</v>
      </c>
      <c r="T536" s="152" t="str">
        <f>+VLOOKUP($L536,Data_Validation!$A:$D,1,0)</f>
        <v>71C</v>
      </c>
      <c r="U536" s="152" t="str">
        <f>+VLOOKUP($L536,Data_Validation!$A:$D,3,0)</f>
        <v>Véhicules usagés</v>
      </c>
      <c r="V536" s="152" t="str">
        <f>+VLOOKUP($L536,Data_Validation!$A:$D,4,0)</f>
        <v>Frais de déplacement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1182</v>
      </c>
      <c r="B537" s="685" t="s">
        <v>790</v>
      </c>
      <c r="C537" s="1038">
        <v>9632.8700000000008</v>
      </c>
      <c r="D537" s="1038">
        <v>2179.11</v>
      </c>
      <c r="E537" s="1038">
        <v>11811.98</v>
      </c>
      <c r="F537" s="685" t="s">
        <v>2228</v>
      </c>
      <c r="G537" s="685" t="s">
        <v>2266</v>
      </c>
      <c r="H537" s="686" t="s">
        <v>3074</v>
      </c>
      <c r="I537" s="687"/>
      <c r="J537" s="687"/>
      <c r="K537" s="687"/>
      <c r="L537" s="149" t="str">
        <f t="shared" si="40"/>
        <v>71E</v>
      </c>
      <c r="M537" s="150" t="str">
        <f t="shared" si="41"/>
        <v>FRAIS REPRESENTATION - SERV. BMW</v>
      </c>
      <c r="N537" s="151">
        <f>+IF(OR($Q537=Parametres!$G$2,$Q537=Parametres!$G$3),I537,C537)</f>
        <v>9632.8700000000008</v>
      </c>
      <c r="O537" s="151">
        <f>+IF(OR($Q537=Parametres!$G$2,$Q537=Parametres!$G$3),J537,D537)</f>
        <v>2179.11</v>
      </c>
      <c r="P537" s="151">
        <f>+IF(OR($Q537=Parametres!$G$2,$Q537=Parametres!$G$3),K537,E537)</f>
        <v>11811.98</v>
      </c>
      <c r="Q537" s="150" t="str">
        <f t="shared" si="42"/>
        <v>7-Dépenses</v>
      </c>
      <c r="R537" s="149" t="str">
        <f t="shared" si="43"/>
        <v>71</v>
      </c>
      <c r="S537" s="150" t="str">
        <f t="shared" si="44"/>
        <v>_</v>
      </c>
      <c r="T537" s="152" t="str">
        <f>+VLOOKUP($L537,Data_Validation!$A:$D,1,0)</f>
        <v>71E</v>
      </c>
      <c r="U537" s="152" t="str">
        <f>+VLOOKUP($L537,Data_Validation!$A:$D,3,0)</f>
        <v>Service</v>
      </c>
      <c r="V537" s="152" t="str">
        <f>+VLOOKUP($L537,Data_Validation!$A:$D,4,0)</f>
        <v>Frais de déplacement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1180</v>
      </c>
      <c r="B538" s="685" t="s">
        <v>778</v>
      </c>
      <c r="C538" s="1038">
        <v>6882.29</v>
      </c>
      <c r="D538" s="1038">
        <v>1566.31</v>
      </c>
      <c r="E538" s="1038">
        <v>8448.6</v>
      </c>
      <c r="F538" s="685" t="s">
        <v>2228</v>
      </c>
      <c r="G538" s="685" t="s">
        <v>2266</v>
      </c>
      <c r="H538" s="686" t="s">
        <v>3074</v>
      </c>
      <c r="I538" s="687"/>
      <c r="J538" s="687"/>
      <c r="K538" s="687"/>
      <c r="L538" s="149" t="str">
        <f t="shared" si="40"/>
        <v>71G</v>
      </c>
      <c r="M538" s="150" t="str">
        <f t="shared" si="41"/>
        <v>FRAIS REPRESENTATION - PIECE BMW</v>
      </c>
      <c r="N538" s="151">
        <f>+IF(OR($Q538=Parametres!$G$2,$Q538=Parametres!$G$3),I538,C538)</f>
        <v>6882.29</v>
      </c>
      <c r="O538" s="496">
        <f>+IF(OR($Q538=Parametres!$G$2,$Q538=Parametres!$G$3),J538,D538)</f>
        <v>1566.31</v>
      </c>
      <c r="P538" s="151">
        <f>+IF(OR($Q538=Parametres!$G$2,$Q538=Parametres!$G$3),K538,E538)</f>
        <v>8448.6</v>
      </c>
      <c r="Q538" s="150" t="str">
        <f t="shared" si="42"/>
        <v>7-Dépenses</v>
      </c>
      <c r="R538" s="149" t="str">
        <f t="shared" si="43"/>
        <v>71</v>
      </c>
      <c r="S538" s="150" t="str">
        <f t="shared" si="44"/>
        <v>_</v>
      </c>
      <c r="T538" s="152" t="str">
        <f>+VLOOKUP($L538,Data_Validation!$A:$D,1,0)</f>
        <v>71G</v>
      </c>
      <c r="U538" s="152" t="str">
        <f>+VLOOKUP($L538,Data_Validation!$A:$D,3,0)</f>
        <v>pièces</v>
      </c>
      <c r="V538" s="152" t="str">
        <f>+VLOOKUP($L538,Data_Validation!$A:$D,4,0)</f>
        <v>Frais de déplacement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1233</v>
      </c>
      <c r="B539" s="685" t="s">
        <v>808</v>
      </c>
      <c r="C539" s="1038">
        <v>588.62</v>
      </c>
      <c r="D539" s="1038">
        <v>75</v>
      </c>
      <c r="E539" s="1038">
        <v>663.62</v>
      </c>
      <c r="F539" s="685" t="s">
        <v>2228</v>
      </c>
      <c r="G539" s="685" t="s">
        <v>2263</v>
      </c>
      <c r="H539" s="686" t="s">
        <v>3074</v>
      </c>
      <c r="I539" s="687"/>
      <c r="J539" s="687"/>
      <c r="K539" s="687"/>
      <c r="L539" s="149" t="str">
        <f t="shared" si="40"/>
        <v>72A</v>
      </c>
      <c r="M539" s="150" t="str">
        <f t="shared" si="41"/>
        <v>COTIS. &amp; ABONN. - NEUF BMW</v>
      </c>
      <c r="N539" s="151">
        <f>+IF(OR($Q539=Parametres!$G$2,$Q539=Parametres!$G$3),I539,C539)</f>
        <v>588.62</v>
      </c>
      <c r="O539" s="151">
        <f>+IF(OR($Q539=Parametres!$G$2,$Q539=Parametres!$G$3),J539,D539)</f>
        <v>75</v>
      </c>
      <c r="P539" s="151">
        <f>+IF(OR($Q539=Parametres!$G$2,$Q539=Parametres!$G$3),K539,E539)</f>
        <v>663.62</v>
      </c>
      <c r="Q539" s="150" t="str">
        <f t="shared" si="42"/>
        <v>7-Dépenses</v>
      </c>
      <c r="R539" s="149" t="str">
        <f t="shared" si="43"/>
        <v>72</v>
      </c>
      <c r="S539" s="150" t="str">
        <f t="shared" si="44"/>
        <v>_</v>
      </c>
      <c r="T539" s="152" t="str">
        <f>+VLOOKUP($L539,Data_Validation!$A:$D,1,0)</f>
        <v>72A</v>
      </c>
      <c r="U539" s="152" t="str">
        <f>+VLOOKUP($L539,Data_Validation!$A:$D,3,0)</f>
        <v>Véhicules neufs</v>
      </c>
      <c r="V539" s="152" t="str">
        <f>+VLOOKUP($L539,Data_Validation!$A:$D,4,0)</f>
        <v>divers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1239</v>
      </c>
      <c r="B540" s="685" t="s">
        <v>776</v>
      </c>
      <c r="C540" s="687">
        <v>220.76</v>
      </c>
      <c r="D540" s="687">
        <v>28.13</v>
      </c>
      <c r="E540" s="687">
        <v>248.89</v>
      </c>
      <c r="F540" s="685" t="s">
        <v>2228</v>
      </c>
      <c r="G540" s="685" t="s">
        <v>2263</v>
      </c>
      <c r="H540" s="641" t="s">
        <v>3074</v>
      </c>
      <c r="I540" s="640"/>
      <c r="J540" s="640"/>
      <c r="K540" s="640"/>
      <c r="L540" s="149" t="str">
        <f t="shared" si="40"/>
        <v>72C</v>
      </c>
      <c r="M540" s="150" t="str">
        <f t="shared" si="41"/>
        <v>COTIS. &amp; ABONN. - USAGE BMW</v>
      </c>
      <c r="N540" s="151">
        <f>+IF(OR($Q540=Parametres!$G$2,$Q540=Parametres!$G$3),I540,C540)</f>
        <v>220.76</v>
      </c>
      <c r="O540" s="151">
        <f>+IF(OR($Q540=Parametres!$G$2,$Q540=Parametres!$G$3),J540,D540)</f>
        <v>28.13</v>
      </c>
      <c r="P540" s="151">
        <f>+IF(OR($Q540=Parametres!$G$2,$Q540=Parametres!$G$3),K540,E540)</f>
        <v>248.89</v>
      </c>
      <c r="Q540" s="150" t="str">
        <f t="shared" si="42"/>
        <v>7-Dépenses</v>
      </c>
      <c r="R540" s="149" t="str">
        <f t="shared" si="43"/>
        <v>72</v>
      </c>
      <c r="S540" s="150" t="str">
        <f t="shared" si="44"/>
        <v>_</v>
      </c>
      <c r="T540" s="152" t="str">
        <f>+VLOOKUP($L540,Data_Validation!$A:$D,1,0)</f>
        <v>72C</v>
      </c>
      <c r="U540" s="152" t="str">
        <f>+VLOOKUP($L540,Data_Validation!$A:$D,3,0)</f>
        <v>Véhicules usagés</v>
      </c>
      <c r="V540" s="152" t="str">
        <f>+VLOOKUP($L540,Data_Validation!$A:$D,4,0)</f>
        <v>divers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1236</v>
      </c>
      <c r="B541" s="685" t="s">
        <v>794</v>
      </c>
      <c r="C541" s="687">
        <v>367.91</v>
      </c>
      <c r="D541" s="687">
        <v>46.88</v>
      </c>
      <c r="E541" s="687">
        <v>414.79</v>
      </c>
      <c r="F541" s="685" t="s">
        <v>2228</v>
      </c>
      <c r="G541" s="685" t="s">
        <v>2263</v>
      </c>
      <c r="H541" s="641" t="s">
        <v>3074</v>
      </c>
      <c r="I541" s="640"/>
      <c r="J541" s="640"/>
      <c r="K541" s="640"/>
      <c r="L541" s="149" t="str">
        <f t="shared" si="40"/>
        <v>72E</v>
      </c>
      <c r="M541" s="150" t="str">
        <f t="shared" si="41"/>
        <v>COTIS. &amp; ABONN. - SERV. BMW</v>
      </c>
      <c r="N541" s="151">
        <f>+IF(OR($Q541=Parametres!$G$2,$Q541=Parametres!$G$3),I541,C541)</f>
        <v>367.91</v>
      </c>
      <c r="O541" s="151">
        <f>+IF(OR($Q541=Parametres!$G$2,$Q541=Parametres!$G$3),J541,D541)</f>
        <v>46.88</v>
      </c>
      <c r="P541" s="151">
        <f>+IF(OR($Q541=Parametres!$G$2,$Q541=Parametres!$G$3),K541,E541)</f>
        <v>414.79</v>
      </c>
      <c r="Q541" s="150" t="str">
        <f t="shared" si="42"/>
        <v>7-Dépenses</v>
      </c>
      <c r="R541" s="149" t="str">
        <f t="shared" si="43"/>
        <v>72</v>
      </c>
      <c r="S541" s="150" t="str">
        <f t="shared" si="44"/>
        <v>_</v>
      </c>
      <c r="T541" s="152" t="str">
        <f>+VLOOKUP($L541,Data_Validation!$A:$D,1,0)</f>
        <v>72E</v>
      </c>
      <c r="U541" s="152" t="str">
        <f>+VLOOKUP($L541,Data_Validation!$A:$D,3,0)</f>
        <v>Service</v>
      </c>
      <c r="V541" s="152" t="str">
        <f>+VLOOKUP($L541,Data_Validation!$A:$D,4,0)</f>
        <v>divers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1237</v>
      </c>
      <c r="B542" s="685" t="s">
        <v>792</v>
      </c>
      <c r="C542" s="1038">
        <v>294.27</v>
      </c>
      <c r="D542" s="1038">
        <v>37.49</v>
      </c>
      <c r="E542" s="1038">
        <v>331.76</v>
      </c>
      <c r="F542" s="685" t="s">
        <v>2228</v>
      </c>
      <c r="G542" s="685" t="s">
        <v>2263</v>
      </c>
      <c r="H542" s="686" t="s">
        <v>3074</v>
      </c>
      <c r="I542" s="687"/>
      <c r="J542" s="687"/>
      <c r="K542" s="687"/>
      <c r="L542" s="149" t="str">
        <f t="shared" si="40"/>
        <v>72G</v>
      </c>
      <c r="M542" s="150" t="str">
        <f t="shared" si="41"/>
        <v>COTIS. &amp; ABONN. - PIECE BMW</v>
      </c>
      <c r="N542" s="151">
        <f>+IF(OR($Q542=Parametres!$G$2,$Q542=Parametres!$G$3),I542,C542)</f>
        <v>294.27</v>
      </c>
      <c r="O542" s="496">
        <f>+IF(OR($Q542=Parametres!$G$2,$Q542=Parametres!$G$3),J542,D542)</f>
        <v>37.49</v>
      </c>
      <c r="P542" s="151">
        <f>+IF(OR($Q542=Parametres!$G$2,$Q542=Parametres!$G$3),K542,E542)</f>
        <v>331.76</v>
      </c>
      <c r="Q542" s="150" t="str">
        <f t="shared" si="42"/>
        <v>7-Dépenses</v>
      </c>
      <c r="R542" s="149" t="str">
        <f t="shared" si="43"/>
        <v>72</v>
      </c>
      <c r="S542" s="150" t="str">
        <f t="shared" si="44"/>
        <v>_</v>
      </c>
      <c r="T542" s="152" t="str">
        <f>+VLOOKUP($L542,Data_Validation!$A:$D,1,0)</f>
        <v>72G</v>
      </c>
      <c r="U542" s="152" t="str">
        <f>+VLOOKUP($L542,Data_Validation!$A:$D,3,0)</f>
        <v>pièces</v>
      </c>
      <c r="V542" s="152" t="str">
        <f>+VLOOKUP($L542,Data_Validation!$A:$D,4,0)</f>
        <v>divers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1730</v>
      </c>
      <c r="B543" s="685" t="s">
        <v>926</v>
      </c>
      <c r="C543" s="1038">
        <v>16429.02</v>
      </c>
      <c r="D543" s="1038">
        <v>3212.48</v>
      </c>
      <c r="E543" s="1038">
        <v>19641.5</v>
      </c>
      <c r="F543" s="685" t="s">
        <v>2228</v>
      </c>
      <c r="G543" s="685" t="s">
        <v>2282</v>
      </c>
      <c r="H543" s="686" t="s">
        <v>3074</v>
      </c>
      <c r="I543" s="687"/>
      <c r="J543" s="687"/>
      <c r="K543" s="687"/>
      <c r="L543" s="149" t="str">
        <f t="shared" si="40"/>
        <v>73A</v>
      </c>
      <c r="M543" s="150" t="str">
        <f t="shared" si="41"/>
        <v>REMISE CARTE CREDIT - NEUF BMW</v>
      </c>
      <c r="N543" s="151">
        <f>+IF(OR($Q543=Parametres!$G$2,$Q543=Parametres!$G$3),I543,C543)</f>
        <v>16429.02</v>
      </c>
      <c r="O543" s="496">
        <f>+IF(OR($Q543=Parametres!$G$2,$Q543=Parametres!$G$3),J543,D543)</f>
        <v>3212.48</v>
      </c>
      <c r="P543" s="151">
        <f>+IF(OR($Q543=Parametres!$G$2,$Q543=Parametres!$G$3),K543,E543)</f>
        <v>19641.5</v>
      </c>
      <c r="Q543" s="150" t="str">
        <f t="shared" si="42"/>
        <v>7-Dépenses</v>
      </c>
      <c r="R543" s="149" t="str">
        <f t="shared" si="43"/>
        <v>73</v>
      </c>
      <c r="S543" s="150" t="str">
        <f t="shared" si="44"/>
        <v>_</v>
      </c>
      <c r="T543" s="152" t="str">
        <f>+VLOOKUP($L543,Data_Validation!$A:$D,1,0)</f>
        <v>73A</v>
      </c>
      <c r="U543" s="152" t="str">
        <f>+VLOOKUP($L543,Data_Validation!$A:$D,3,0)</f>
        <v>Véhicules neufs</v>
      </c>
      <c r="V543" s="152" t="str">
        <f>+VLOOKUP($L543,Data_Validation!$A:$D,4,0)</f>
        <v>frais bancaires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1667</v>
      </c>
      <c r="B544" s="685" t="s">
        <v>863</v>
      </c>
      <c r="C544" s="1038">
        <v>5964.61</v>
      </c>
      <c r="D544" s="1038">
        <v>1210.92</v>
      </c>
      <c r="E544" s="1038">
        <v>7175.53</v>
      </c>
      <c r="F544" s="685" t="s">
        <v>2228</v>
      </c>
      <c r="G544" s="685" t="s">
        <v>2282</v>
      </c>
      <c r="H544" s="686" t="s">
        <v>3074</v>
      </c>
      <c r="I544" s="687"/>
      <c r="J544" s="687"/>
      <c r="K544" s="687"/>
      <c r="L544" s="149" t="str">
        <f t="shared" si="40"/>
        <v>73C</v>
      </c>
      <c r="M544" s="150" t="str">
        <f t="shared" si="41"/>
        <v>REMISE CARTE CREDIT - USAGE BMW</v>
      </c>
      <c r="N544" s="151">
        <f>+IF(OR($Q544=Parametres!$G$2,$Q544=Parametres!$G$3),I544,C544)</f>
        <v>5964.61</v>
      </c>
      <c r="O544" s="151">
        <f>+IF(OR($Q544=Parametres!$G$2,$Q544=Parametres!$G$3),J544,D544)</f>
        <v>1210.92</v>
      </c>
      <c r="P544" s="151">
        <f>+IF(OR($Q544=Parametres!$G$2,$Q544=Parametres!$G$3),K544,E544)</f>
        <v>7175.53</v>
      </c>
      <c r="Q544" s="150" t="str">
        <f t="shared" si="42"/>
        <v>7-Dépenses</v>
      </c>
      <c r="R544" s="149" t="str">
        <f t="shared" si="43"/>
        <v>73</v>
      </c>
      <c r="S544" s="150" t="str">
        <f t="shared" si="44"/>
        <v>_</v>
      </c>
      <c r="T544" s="152" t="str">
        <f>+VLOOKUP($L544,Data_Validation!$A:$D,1,0)</f>
        <v>73C</v>
      </c>
      <c r="U544" s="152" t="str">
        <f>+VLOOKUP($L544,Data_Validation!$A:$D,3,0)</f>
        <v>Véhicules usagés</v>
      </c>
      <c r="V544" s="152" t="str">
        <f>+VLOOKUP($L544,Data_Validation!$A:$D,4,0)</f>
        <v>frais bancaires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1692</v>
      </c>
      <c r="B545" s="685" t="s">
        <v>899</v>
      </c>
      <c r="C545" s="1038">
        <v>10086.959999999999</v>
      </c>
      <c r="D545" s="1038">
        <v>2451.9499999999998</v>
      </c>
      <c r="E545" s="1038">
        <v>12538.91</v>
      </c>
      <c r="F545" s="685" t="s">
        <v>2228</v>
      </c>
      <c r="G545" s="685" t="s">
        <v>2282</v>
      </c>
      <c r="H545" s="686" t="s">
        <v>3074</v>
      </c>
      <c r="I545" s="687"/>
      <c r="J545" s="687"/>
      <c r="K545" s="687"/>
      <c r="L545" s="149" t="str">
        <f t="shared" si="40"/>
        <v>73E</v>
      </c>
      <c r="M545" s="150" t="str">
        <f t="shared" si="41"/>
        <v>REMISE CARTE CREDIT - SERV. BMW</v>
      </c>
      <c r="N545" s="151">
        <f>+IF(OR($Q545=Parametres!$G$2,$Q545=Parametres!$G$3),I545,C545)</f>
        <v>10086.959999999999</v>
      </c>
      <c r="O545" s="496">
        <f>+IF(OR($Q545=Parametres!$G$2,$Q545=Parametres!$G$3),J545,D545)</f>
        <v>2451.9499999999998</v>
      </c>
      <c r="P545" s="151">
        <f>+IF(OR($Q545=Parametres!$G$2,$Q545=Parametres!$G$3),K545,E545)</f>
        <v>12538.91</v>
      </c>
      <c r="Q545" s="150" t="str">
        <f t="shared" si="42"/>
        <v>7-Dépenses</v>
      </c>
      <c r="R545" s="149" t="str">
        <f t="shared" si="43"/>
        <v>73</v>
      </c>
      <c r="S545" s="150" t="str">
        <f t="shared" si="44"/>
        <v>_</v>
      </c>
      <c r="T545" s="152" t="str">
        <f>+VLOOKUP($L545,Data_Validation!$A:$D,1,0)</f>
        <v>73E</v>
      </c>
      <c r="U545" s="152" t="str">
        <f>+VLOOKUP($L545,Data_Validation!$A:$D,3,0)</f>
        <v>Service</v>
      </c>
      <c r="V545" s="152" t="str">
        <f>+VLOOKUP($L545,Data_Validation!$A:$D,4,0)</f>
        <v>frais bancaires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1690</v>
      </c>
      <c r="B546" s="685" t="s">
        <v>891</v>
      </c>
      <c r="C546" s="1038">
        <v>7970.17</v>
      </c>
      <c r="D546" s="1038">
        <v>1567.87</v>
      </c>
      <c r="E546" s="1038">
        <v>9538.0400000000009</v>
      </c>
      <c r="F546" s="685" t="s">
        <v>2228</v>
      </c>
      <c r="G546" s="685" t="s">
        <v>2282</v>
      </c>
      <c r="H546" s="686" t="s">
        <v>3074</v>
      </c>
      <c r="I546" s="687"/>
      <c r="J546" s="687"/>
      <c r="K546" s="687"/>
      <c r="L546" s="149" t="str">
        <f t="shared" si="40"/>
        <v>73G</v>
      </c>
      <c r="M546" s="150" t="str">
        <f t="shared" si="41"/>
        <v>REMISE CARTE CREDIT - PIECE BMW</v>
      </c>
      <c r="N546" s="151">
        <f>+IF(OR($Q546=Parametres!$G$2,$Q546=Parametres!$G$3),I546,C546)</f>
        <v>7970.17</v>
      </c>
      <c r="O546" s="496">
        <f>+IF(OR($Q546=Parametres!$G$2,$Q546=Parametres!$G$3),J546,D546)</f>
        <v>1567.87</v>
      </c>
      <c r="P546" s="151">
        <f>+IF(OR($Q546=Parametres!$G$2,$Q546=Parametres!$G$3),K546,E546)</f>
        <v>9538.0400000000009</v>
      </c>
      <c r="Q546" s="150" t="str">
        <f t="shared" si="42"/>
        <v>7-Dépenses</v>
      </c>
      <c r="R546" s="149" t="str">
        <f t="shared" si="43"/>
        <v>73</v>
      </c>
      <c r="S546" s="150" t="str">
        <f t="shared" si="44"/>
        <v>_</v>
      </c>
      <c r="T546" s="152" t="str">
        <f>+VLOOKUP($L546,Data_Validation!$A:$D,1,0)</f>
        <v>73G</v>
      </c>
      <c r="U546" s="152" t="str">
        <f>+VLOOKUP($L546,Data_Validation!$A:$D,3,0)</f>
        <v>pièces</v>
      </c>
      <c r="V546" s="152" t="str">
        <f>+VLOOKUP($L546,Data_Validation!$A:$D,4,0)</f>
        <v>frais bancaires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1771</v>
      </c>
      <c r="B547" s="685" t="s">
        <v>915</v>
      </c>
      <c r="C547" s="1038">
        <v>3726.4</v>
      </c>
      <c r="D547" s="1038">
        <v>600</v>
      </c>
      <c r="E547" s="1038">
        <v>4326.3999999999996</v>
      </c>
      <c r="F547" s="685" t="s">
        <v>2228</v>
      </c>
      <c r="G547" s="685" t="s">
        <v>2283</v>
      </c>
      <c r="H547" s="686" t="s">
        <v>3074</v>
      </c>
      <c r="I547" s="687"/>
      <c r="J547" s="687"/>
      <c r="K547" s="687"/>
      <c r="L547" s="149" t="str">
        <f t="shared" si="40"/>
        <v>74A</v>
      </c>
      <c r="M547" s="150" t="str">
        <f t="shared" si="41"/>
        <v>FRAIS LEGAUX &amp; CTB - NEUF BMW</v>
      </c>
      <c r="N547" s="151">
        <f>+IF(OR($Q547=Parametres!$G$2,$Q547=Parametres!$G$3),I547,C547)</f>
        <v>3726.4</v>
      </c>
      <c r="O547" s="496">
        <f>+IF(OR($Q547=Parametres!$G$2,$Q547=Parametres!$G$3),J547,D547)</f>
        <v>600</v>
      </c>
      <c r="P547" s="151">
        <f>+IF(OR($Q547=Parametres!$G$2,$Q547=Parametres!$G$3),K547,E547)</f>
        <v>4326.3999999999996</v>
      </c>
      <c r="Q547" s="150" t="str">
        <f t="shared" si="42"/>
        <v>7-Dépenses</v>
      </c>
      <c r="R547" s="149" t="str">
        <f t="shared" si="43"/>
        <v>74</v>
      </c>
      <c r="S547" s="150" t="str">
        <f t="shared" si="44"/>
        <v>_</v>
      </c>
      <c r="T547" s="152" t="str">
        <f>+VLOOKUP($L547,Data_Validation!$A:$D,1,0)</f>
        <v>74A</v>
      </c>
      <c r="U547" s="152" t="str">
        <f>+VLOOKUP($L547,Data_Validation!$A:$D,3,0)</f>
        <v>Véhicules neufs</v>
      </c>
      <c r="V547" s="152" t="str">
        <f>+VLOOKUP($L547,Data_Validation!$A:$D,4,0)</f>
        <v>honoraires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1682</v>
      </c>
      <c r="B548" s="685" t="s">
        <v>853</v>
      </c>
      <c r="C548" s="1038">
        <v>1397.4</v>
      </c>
      <c r="D548" s="1038">
        <v>225</v>
      </c>
      <c r="E548" s="1038">
        <v>1622.4</v>
      </c>
      <c r="F548" s="685" t="s">
        <v>2228</v>
      </c>
      <c r="G548" s="685" t="s">
        <v>2283</v>
      </c>
      <c r="H548" s="686" t="s">
        <v>3074</v>
      </c>
      <c r="I548" s="687"/>
      <c r="J548" s="687"/>
      <c r="K548" s="687"/>
      <c r="L548" s="149" t="str">
        <f t="shared" si="40"/>
        <v>74C</v>
      </c>
      <c r="M548" s="150" t="str">
        <f t="shared" si="41"/>
        <v>FRAIS LEGAUX &amp; CTB - USAGE BMW</v>
      </c>
      <c r="N548" s="151">
        <f>+IF(OR($Q548=Parametres!$G$2,$Q548=Parametres!$G$3),I548,C548)</f>
        <v>1397.4</v>
      </c>
      <c r="O548" s="151">
        <f>+IF(OR($Q548=Parametres!$G$2,$Q548=Parametres!$G$3),J548,D548)</f>
        <v>225</v>
      </c>
      <c r="P548" s="151">
        <f>+IF(OR($Q548=Parametres!$G$2,$Q548=Parametres!$G$3),K548,E548)</f>
        <v>1622.4</v>
      </c>
      <c r="Q548" s="150" t="str">
        <f t="shared" si="42"/>
        <v>7-Dépenses</v>
      </c>
      <c r="R548" s="149" t="str">
        <f t="shared" si="43"/>
        <v>74</v>
      </c>
      <c r="S548" s="150" t="str">
        <f t="shared" si="44"/>
        <v>_</v>
      </c>
      <c r="T548" s="152" t="str">
        <f>+VLOOKUP($L548,Data_Validation!$A:$D,1,0)</f>
        <v>74C</v>
      </c>
      <c r="U548" s="152" t="str">
        <f>+VLOOKUP($L548,Data_Validation!$A:$D,3,0)</f>
        <v>Véhicules usagés</v>
      </c>
      <c r="V548" s="152" t="str">
        <f>+VLOOKUP($L548,Data_Validation!$A:$D,4,0)</f>
        <v>honoraires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1726</v>
      </c>
      <c r="B549" s="685" t="s">
        <v>888</v>
      </c>
      <c r="C549" s="1038">
        <v>2329</v>
      </c>
      <c r="D549" s="1038">
        <v>375</v>
      </c>
      <c r="E549" s="1038">
        <v>2704</v>
      </c>
      <c r="F549" s="685" t="s">
        <v>2228</v>
      </c>
      <c r="G549" s="685" t="s">
        <v>2283</v>
      </c>
      <c r="H549" s="686" t="s">
        <v>3074</v>
      </c>
      <c r="I549" s="687"/>
      <c r="J549" s="687"/>
      <c r="K549" s="687"/>
      <c r="L549" s="149" t="str">
        <f t="shared" si="40"/>
        <v>74E</v>
      </c>
      <c r="M549" s="150" t="str">
        <f t="shared" si="41"/>
        <v>FRAIS LEGAUX &amp; CTB - SERV. BMW</v>
      </c>
      <c r="N549" s="151">
        <f>+IF(OR($Q549=Parametres!$G$2,$Q549=Parametres!$G$3),I549,C549)</f>
        <v>2329</v>
      </c>
      <c r="O549" s="496">
        <f>+IF(OR($Q549=Parametres!$G$2,$Q549=Parametres!$G$3),J549,D549)</f>
        <v>375</v>
      </c>
      <c r="P549" s="151">
        <f>+IF(OR($Q549=Parametres!$G$2,$Q549=Parametres!$G$3),K549,E549)</f>
        <v>2704</v>
      </c>
      <c r="Q549" s="150" t="str">
        <f t="shared" si="42"/>
        <v>7-Dépenses</v>
      </c>
      <c r="R549" s="149" t="str">
        <f t="shared" si="43"/>
        <v>74</v>
      </c>
      <c r="S549" s="150" t="str">
        <f t="shared" si="44"/>
        <v>_</v>
      </c>
      <c r="T549" s="152" t="str">
        <f>+VLOOKUP($L549,Data_Validation!$A:$D,1,0)</f>
        <v>74E</v>
      </c>
      <c r="U549" s="152" t="str">
        <f>+VLOOKUP($L549,Data_Validation!$A:$D,3,0)</f>
        <v>Service</v>
      </c>
      <c r="V549" s="152" t="str">
        <f>+VLOOKUP($L549,Data_Validation!$A:$D,4,0)</f>
        <v>honoraires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1718</v>
      </c>
      <c r="B550" s="685" t="s">
        <v>882</v>
      </c>
      <c r="C550" s="1038">
        <v>1863.2</v>
      </c>
      <c r="D550" s="1038">
        <v>300</v>
      </c>
      <c r="E550" s="1038">
        <v>2163.1999999999998</v>
      </c>
      <c r="F550" s="685" t="s">
        <v>2228</v>
      </c>
      <c r="G550" s="685" t="s">
        <v>2283</v>
      </c>
      <c r="H550" s="686" t="s">
        <v>3074</v>
      </c>
      <c r="I550" s="687"/>
      <c r="J550" s="687"/>
      <c r="K550" s="687"/>
      <c r="L550" s="149" t="str">
        <f t="shared" si="40"/>
        <v>74G</v>
      </c>
      <c r="M550" s="150" t="str">
        <f t="shared" si="41"/>
        <v>FRAIS LEGAUX &amp; CTB - PIECE BMW</v>
      </c>
      <c r="N550" s="151">
        <f>+IF(OR($Q550=Parametres!$G$2,$Q550=Parametres!$G$3),I550,C550)</f>
        <v>1863.2</v>
      </c>
      <c r="O550" s="496">
        <f>+IF(OR($Q550=Parametres!$G$2,$Q550=Parametres!$G$3),J550,D550)</f>
        <v>300</v>
      </c>
      <c r="P550" s="151">
        <f>+IF(OR($Q550=Parametres!$G$2,$Q550=Parametres!$G$3),K550,E550)</f>
        <v>2163.1999999999998</v>
      </c>
      <c r="Q550" s="150" t="str">
        <f t="shared" si="42"/>
        <v>7-Dépenses</v>
      </c>
      <c r="R550" s="149" t="str">
        <f t="shared" si="43"/>
        <v>74</v>
      </c>
      <c r="S550" s="150" t="str">
        <f t="shared" si="44"/>
        <v>_</v>
      </c>
      <c r="T550" s="152" t="str">
        <f>+VLOOKUP($L550,Data_Validation!$A:$D,1,0)</f>
        <v>74G</v>
      </c>
      <c r="U550" s="152" t="str">
        <f>+VLOOKUP($L550,Data_Validation!$A:$D,3,0)</f>
        <v>pièces</v>
      </c>
      <c r="V550" s="152" t="str">
        <f>+VLOOKUP($L550,Data_Validation!$A:$D,4,0)</f>
        <v>honoraires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1671</v>
      </c>
      <c r="B551" s="685" t="s">
        <v>834</v>
      </c>
      <c r="C551" s="1038">
        <v>1345.92</v>
      </c>
      <c r="D551" s="1038">
        <v>205.23</v>
      </c>
      <c r="E551" s="1038">
        <v>1551.15</v>
      </c>
      <c r="F551" s="685" t="s">
        <v>2228</v>
      </c>
      <c r="G551" s="685" t="s">
        <v>2259</v>
      </c>
      <c r="H551" s="686" t="s">
        <v>3074</v>
      </c>
      <c r="I551" s="687"/>
      <c r="J551" s="687"/>
      <c r="K551" s="687"/>
      <c r="L551" s="149" t="str">
        <f t="shared" si="40"/>
        <v>75A</v>
      </c>
      <c r="M551" s="150" t="str">
        <f t="shared" si="41"/>
        <v>TELEPHONE - NEUF BMW</v>
      </c>
      <c r="N551" s="151">
        <f>+IF(OR($Q551=Parametres!$G$2,$Q551=Parametres!$G$3),I551,C551)</f>
        <v>1345.92</v>
      </c>
      <c r="O551" s="151">
        <f>+IF(OR($Q551=Parametres!$G$2,$Q551=Parametres!$G$3),J551,D551)</f>
        <v>205.23</v>
      </c>
      <c r="P551" s="151">
        <f>+IF(OR($Q551=Parametres!$G$2,$Q551=Parametres!$G$3),K551,E551)</f>
        <v>1551.15</v>
      </c>
      <c r="Q551" s="150" t="str">
        <f t="shared" si="42"/>
        <v>7-Dépenses</v>
      </c>
      <c r="R551" s="149" t="str">
        <f t="shared" si="43"/>
        <v>75</v>
      </c>
      <c r="S551" s="150" t="str">
        <f t="shared" si="44"/>
        <v>_</v>
      </c>
      <c r="T551" s="152" t="str">
        <f>+VLOOKUP($L551,Data_Validation!$A:$D,1,0)</f>
        <v>75A</v>
      </c>
      <c r="U551" s="152" t="str">
        <f>+VLOOKUP($L551,Data_Validation!$A:$D,3,0)</f>
        <v>Véhicules neufs</v>
      </c>
      <c r="V551" s="152" t="str">
        <f>+VLOOKUP($L551,Data_Validation!$A:$D,4,0)</f>
        <v>Téléphone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1627</v>
      </c>
      <c r="B552" s="685" t="s">
        <v>798</v>
      </c>
      <c r="C552" s="1038">
        <v>532.6</v>
      </c>
      <c r="D552" s="1038">
        <v>86.73</v>
      </c>
      <c r="E552" s="1038">
        <v>619.33000000000004</v>
      </c>
      <c r="F552" s="685" t="s">
        <v>2228</v>
      </c>
      <c r="G552" s="685" t="s">
        <v>2259</v>
      </c>
      <c r="H552" s="686" t="s">
        <v>3074</v>
      </c>
      <c r="I552" s="687"/>
      <c r="J552" s="687"/>
      <c r="K552" s="687"/>
      <c r="L552" s="149" t="str">
        <f t="shared" si="40"/>
        <v>75C</v>
      </c>
      <c r="M552" s="150" t="str">
        <f t="shared" si="41"/>
        <v>TELEPHONE - USAGE BMW</v>
      </c>
      <c r="N552" s="151">
        <f>+IF(OR($Q552=Parametres!$G$2,$Q552=Parametres!$G$3),I552,C552)</f>
        <v>532.6</v>
      </c>
      <c r="O552" s="496">
        <f>+IF(OR($Q552=Parametres!$G$2,$Q552=Parametres!$G$3),J552,D552)</f>
        <v>86.73</v>
      </c>
      <c r="P552" s="151">
        <f>+IF(OR($Q552=Parametres!$G$2,$Q552=Parametres!$G$3),K552,E552)</f>
        <v>619.33000000000004</v>
      </c>
      <c r="Q552" s="150" t="str">
        <f t="shared" si="42"/>
        <v>7-Dépenses</v>
      </c>
      <c r="R552" s="149" t="str">
        <f t="shared" si="43"/>
        <v>75</v>
      </c>
      <c r="S552" s="150" t="str">
        <f t="shared" si="44"/>
        <v>_</v>
      </c>
      <c r="T552" s="152" t="str">
        <f>+VLOOKUP($L552,Data_Validation!$A:$D,1,0)</f>
        <v>75C</v>
      </c>
      <c r="U552" s="152" t="str">
        <f>+VLOOKUP($L552,Data_Validation!$A:$D,3,0)</f>
        <v>Véhicules usagés</v>
      </c>
      <c r="V552" s="152" t="str">
        <f>+VLOOKUP($L552,Data_Validation!$A:$D,4,0)</f>
        <v>Téléphone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1658</v>
      </c>
      <c r="B553" s="685" t="s">
        <v>821</v>
      </c>
      <c r="C553" s="1038">
        <v>907.36</v>
      </c>
      <c r="D553" s="1038">
        <v>136.9</v>
      </c>
      <c r="E553" s="1038">
        <v>1044.26</v>
      </c>
      <c r="F553" s="685" t="s">
        <v>2228</v>
      </c>
      <c r="G553" s="685" t="s">
        <v>2259</v>
      </c>
      <c r="H553" s="686" t="s">
        <v>3074</v>
      </c>
      <c r="I553" s="687"/>
      <c r="J553" s="687"/>
      <c r="K553" s="687"/>
      <c r="L553" s="149" t="str">
        <f t="shared" si="40"/>
        <v>75E</v>
      </c>
      <c r="M553" s="150" t="str">
        <f t="shared" si="41"/>
        <v>TELEPHONE - SERV. BMW</v>
      </c>
      <c r="N553" s="151">
        <f>+IF(OR($Q553=Parametres!$G$2,$Q553=Parametres!$G$3),I553,C553)</f>
        <v>907.36</v>
      </c>
      <c r="O553" s="496">
        <f>+IF(OR($Q553=Parametres!$G$2,$Q553=Parametres!$G$3),J553,D553)</f>
        <v>136.9</v>
      </c>
      <c r="P553" s="151">
        <f>+IF(OR($Q553=Parametres!$G$2,$Q553=Parametres!$G$3),K553,E553)</f>
        <v>1044.26</v>
      </c>
      <c r="Q553" s="150" t="str">
        <f t="shared" si="42"/>
        <v>7-Dépenses</v>
      </c>
      <c r="R553" s="149" t="str">
        <f t="shared" si="43"/>
        <v>75</v>
      </c>
      <c r="S553" s="150" t="str">
        <f t="shared" si="44"/>
        <v>_</v>
      </c>
      <c r="T553" s="152" t="str">
        <f>+VLOOKUP($L553,Data_Validation!$A:$D,1,0)</f>
        <v>75E</v>
      </c>
      <c r="U553" s="152" t="str">
        <f>+VLOOKUP($L553,Data_Validation!$A:$D,3,0)</f>
        <v>Service</v>
      </c>
      <c r="V553" s="152" t="str">
        <f>+VLOOKUP($L553,Data_Validation!$A:$D,4,0)</f>
        <v>Téléphone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1648</v>
      </c>
      <c r="B554" s="685" t="s">
        <v>816</v>
      </c>
      <c r="C554" s="1038">
        <v>851.19</v>
      </c>
      <c r="D554" s="1038">
        <v>118.77</v>
      </c>
      <c r="E554" s="1038">
        <v>969.96</v>
      </c>
      <c r="F554" s="685" t="s">
        <v>2228</v>
      </c>
      <c r="G554" s="685" t="s">
        <v>2259</v>
      </c>
      <c r="H554" s="686" t="s">
        <v>3074</v>
      </c>
      <c r="I554" s="687"/>
      <c r="J554" s="687"/>
      <c r="K554" s="687"/>
      <c r="L554" s="149" t="str">
        <f t="shared" si="40"/>
        <v>75G</v>
      </c>
      <c r="M554" s="150" t="str">
        <f t="shared" si="41"/>
        <v>TELEPHONE - PIECE BMW</v>
      </c>
      <c r="N554" s="151">
        <f>+IF(OR($Q554=Parametres!$G$2,$Q554=Parametres!$G$3),I554,C554)</f>
        <v>851.19</v>
      </c>
      <c r="O554" s="496">
        <f>+IF(OR($Q554=Parametres!$G$2,$Q554=Parametres!$G$3),J554,D554)</f>
        <v>118.77</v>
      </c>
      <c r="P554" s="151">
        <f>+IF(OR($Q554=Parametres!$G$2,$Q554=Parametres!$G$3),K554,E554)</f>
        <v>969.96</v>
      </c>
      <c r="Q554" s="150" t="str">
        <f t="shared" si="42"/>
        <v>7-Dépenses</v>
      </c>
      <c r="R554" s="149" t="str">
        <f t="shared" si="43"/>
        <v>75</v>
      </c>
      <c r="S554" s="150" t="str">
        <f t="shared" si="44"/>
        <v>_</v>
      </c>
      <c r="T554" s="152" t="str">
        <f>+VLOOKUP($L554,Data_Validation!$A:$D,1,0)</f>
        <v>75G</v>
      </c>
      <c r="U554" s="152" t="str">
        <f>+VLOOKUP($L554,Data_Validation!$A:$D,3,0)</f>
        <v>pièces</v>
      </c>
      <c r="V554" s="152" t="str">
        <f>+VLOOKUP($L554,Data_Validation!$A:$D,4,0)</f>
        <v>Téléphone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1145</v>
      </c>
      <c r="B555" s="685" t="s">
        <v>889</v>
      </c>
      <c r="C555" s="1038">
        <v>1333.03</v>
      </c>
      <c r="D555" s="1038">
        <v>213.85</v>
      </c>
      <c r="E555" s="1038">
        <v>1546.88</v>
      </c>
      <c r="F555" s="685" t="s">
        <v>2228</v>
      </c>
      <c r="G555" s="685" t="s">
        <v>2270</v>
      </c>
      <c r="H555" s="686" t="s">
        <v>3074</v>
      </c>
      <c r="I555" s="687"/>
      <c r="J555" s="687"/>
      <c r="K555" s="687"/>
      <c r="L555" s="149" t="str">
        <f t="shared" si="40"/>
        <v>76A</v>
      </c>
      <c r="M555" s="150" t="str">
        <f t="shared" si="41"/>
        <v>FORMATION - NEUF BMW</v>
      </c>
      <c r="N555" s="151">
        <f>+IF(OR($Q555=Parametres!$G$2,$Q555=Parametres!$G$3),I555,C555)</f>
        <v>1333.03</v>
      </c>
      <c r="O555" s="497">
        <f>+IF(OR($Q555=Parametres!$G$2,$Q555=Parametres!$G$3),J555,D555)</f>
        <v>213.85</v>
      </c>
      <c r="P555" s="151">
        <f>+IF(OR($Q555=Parametres!$G$2,$Q555=Parametres!$G$3),K555,E555)</f>
        <v>1546.88</v>
      </c>
      <c r="Q555" s="150" t="str">
        <f t="shared" si="42"/>
        <v>7-Dépenses</v>
      </c>
      <c r="R555" s="149" t="str">
        <f t="shared" si="43"/>
        <v>76</v>
      </c>
      <c r="S555" s="150" t="str">
        <f t="shared" si="44"/>
        <v>_</v>
      </c>
      <c r="T555" s="152" t="str">
        <f>+VLOOKUP($L555,Data_Validation!$A:$D,1,0)</f>
        <v>76A</v>
      </c>
      <c r="U555" s="152" t="str">
        <f>+VLOOKUP($L555,Data_Validation!$A:$D,3,0)</f>
        <v>Véhicules neufs</v>
      </c>
      <c r="V555" s="152" t="str">
        <f>+VLOOKUP($L555,Data_Validation!$A:$D,4,0)</f>
        <v>Formation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1194</v>
      </c>
      <c r="B556" s="685" t="s">
        <v>833</v>
      </c>
      <c r="C556" s="687">
        <v>373.4</v>
      </c>
      <c r="D556" s="687">
        <v>80.19</v>
      </c>
      <c r="E556" s="687">
        <v>453.59</v>
      </c>
      <c r="F556" s="685" t="s">
        <v>2228</v>
      </c>
      <c r="G556" s="685" t="s">
        <v>2270</v>
      </c>
      <c r="H556" s="641" t="s">
        <v>3074</v>
      </c>
      <c r="I556" s="640"/>
      <c r="J556" s="640"/>
      <c r="K556" s="640"/>
      <c r="L556" s="149" t="str">
        <f t="shared" si="40"/>
        <v>76C</v>
      </c>
      <c r="M556" s="150" t="str">
        <f t="shared" si="41"/>
        <v>FORMATION - USAGE BMW</v>
      </c>
      <c r="N556" s="151">
        <f>+IF(OR($Q556=Parametres!$G$2,$Q556=Parametres!$G$3),I556,C556)</f>
        <v>373.4</v>
      </c>
      <c r="O556" s="151">
        <f>+IF(OR($Q556=Parametres!$G$2,$Q556=Parametres!$G$3),J556,D556)</f>
        <v>80.19</v>
      </c>
      <c r="P556" s="151">
        <f>+IF(OR($Q556=Parametres!$G$2,$Q556=Parametres!$G$3),K556,E556)</f>
        <v>453.59</v>
      </c>
      <c r="Q556" s="150" t="str">
        <f t="shared" si="42"/>
        <v>7-Dépenses</v>
      </c>
      <c r="R556" s="149" t="str">
        <f t="shared" si="43"/>
        <v>76</v>
      </c>
      <c r="S556" s="150" t="str">
        <f t="shared" si="44"/>
        <v>_</v>
      </c>
      <c r="T556" s="152" t="str">
        <f>+VLOOKUP($L556,Data_Validation!$A:$D,1,0)</f>
        <v>76C</v>
      </c>
      <c r="U556" s="152" t="str">
        <f>+VLOOKUP($L556,Data_Validation!$A:$D,3,0)</f>
        <v>Véhicules usagés</v>
      </c>
      <c r="V556" s="152" t="str">
        <f>+VLOOKUP($L556,Data_Validation!$A:$D,4,0)</f>
        <v>Formation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1172</v>
      </c>
      <c r="B557" s="685" t="s">
        <v>868</v>
      </c>
      <c r="C557" s="1038">
        <v>7772.12</v>
      </c>
      <c r="D557" s="1038">
        <v>2429.8000000000002</v>
      </c>
      <c r="E557" s="1038">
        <v>10201.92</v>
      </c>
      <c r="F557" s="685" t="s">
        <v>2228</v>
      </c>
      <c r="G557" s="685" t="s">
        <v>2270</v>
      </c>
      <c r="H557" s="686" t="s">
        <v>3074</v>
      </c>
      <c r="I557" s="687"/>
      <c r="J557" s="687"/>
      <c r="K557" s="687"/>
      <c r="L557" s="149" t="str">
        <f t="shared" si="40"/>
        <v>76E</v>
      </c>
      <c r="M557" s="150" t="str">
        <f t="shared" si="41"/>
        <v>FORMATION - SERV. BMW</v>
      </c>
      <c r="N557" s="151">
        <f>+IF(OR($Q557=Parametres!$G$2,$Q557=Parametres!$G$3),I557,C557)</f>
        <v>7772.12</v>
      </c>
      <c r="O557" s="151">
        <f>+IF(OR($Q557=Parametres!$G$2,$Q557=Parametres!$G$3),J557,D557)</f>
        <v>2429.8000000000002</v>
      </c>
      <c r="P557" s="151">
        <f>+IF(OR($Q557=Parametres!$G$2,$Q557=Parametres!$G$3),K557,E557)</f>
        <v>10201.92</v>
      </c>
      <c r="Q557" s="150" t="str">
        <f t="shared" si="42"/>
        <v>7-Dépenses</v>
      </c>
      <c r="R557" s="149" t="str">
        <f t="shared" si="43"/>
        <v>76</v>
      </c>
      <c r="S557" s="150" t="str">
        <f t="shared" si="44"/>
        <v>_</v>
      </c>
      <c r="T557" s="152" t="str">
        <f>+VLOOKUP($L557,Data_Validation!$A:$D,1,0)</f>
        <v>76E</v>
      </c>
      <c r="U557" s="152" t="str">
        <f>+VLOOKUP($L557,Data_Validation!$A:$D,3,0)</f>
        <v>Service</v>
      </c>
      <c r="V557" s="152" t="str">
        <f>+VLOOKUP($L557,Data_Validation!$A:$D,4,0)</f>
        <v>Formation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1174</v>
      </c>
      <c r="B558" s="685" t="s">
        <v>856</v>
      </c>
      <c r="C558" s="687">
        <v>737.97</v>
      </c>
      <c r="D558" s="687">
        <v>605</v>
      </c>
      <c r="E558" s="687">
        <v>1342.97</v>
      </c>
      <c r="F558" s="685" t="s">
        <v>2228</v>
      </c>
      <c r="G558" s="685" t="s">
        <v>2270</v>
      </c>
      <c r="H558" s="641" t="s">
        <v>3074</v>
      </c>
      <c r="I558" s="640"/>
      <c r="J558" s="640"/>
      <c r="K558" s="640"/>
      <c r="L558" s="149" t="str">
        <f t="shared" si="40"/>
        <v>76G</v>
      </c>
      <c r="M558" s="150" t="str">
        <f t="shared" si="41"/>
        <v>FORMATION - PIECE BMW</v>
      </c>
      <c r="N558" s="151">
        <f>+IF(OR($Q558=Parametres!$G$2,$Q558=Parametres!$G$3),I558,C558)</f>
        <v>737.97</v>
      </c>
      <c r="O558" s="151">
        <f>+IF(OR($Q558=Parametres!$G$2,$Q558=Parametres!$G$3),J558,D558)</f>
        <v>605</v>
      </c>
      <c r="P558" s="151">
        <f>+IF(OR($Q558=Parametres!$G$2,$Q558=Parametres!$G$3),K558,E558)</f>
        <v>1342.97</v>
      </c>
      <c r="Q558" s="150" t="str">
        <f t="shared" si="42"/>
        <v>7-Dépenses</v>
      </c>
      <c r="R558" s="149" t="str">
        <f t="shared" si="43"/>
        <v>76</v>
      </c>
      <c r="S558" s="150" t="str">
        <f t="shared" si="44"/>
        <v>_</v>
      </c>
      <c r="T558" s="152" t="str">
        <f>+VLOOKUP($L558,Data_Validation!$A:$D,1,0)</f>
        <v>76G</v>
      </c>
      <c r="U558" s="152" t="str">
        <f>+VLOOKUP($L558,Data_Validation!$A:$D,3,0)</f>
        <v>pièces</v>
      </c>
      <c r="V558" s="152" t="str">
        <f>+VLOOKUP($L558,Data_Validation!$A:$D,4,0)</f>
        <v>Formation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1137</v>
      </c>
      <c r="B559" s="685" t="s">
        <v>869</v>
      </c>
      <c r="C559" s="687">
        <v>3115.29</v>
      </c>
      <c r="D559" s="687">
        <v>446.54</v>
      </c>
      <c r="E559" s="687">
        <v>3561.83</v>
      </c>
      <c r="F559" s="685" t="s">
        <v>2228</v>
      </c>
      <c r="G559" s="685" t="s">
        <v>2271</v>
      </c>
      <c r="H559" s="641" t="s">
        <v>3074</v>
      </c>
      <c r="I559" s="640"/>
      <c r="J559" s="640"/>
      <c r="K559" s="640"/>
      <c r="L559" s="149" t="str">
        <f t="shared" si="40"/>
        <v>77A</v>
      </c>
      <c r="M559" s="150" t="str">
        <f t="shared" si="41"/>
        <v>FRAIS DIVERS - NEUF BMW</v>
      </c>
      <c r="N559" s="151">
        <f>+IF(OR($Q559=Parametres!$G$2,$Q559=Parametres!$G$3),I559,C559)</f>
        <v>3115.29</v>
      </c>
      <c r="O559" s="151">
        <f>+IF(OR($Q559=Parametres!$G$2,$Q559=Parametres!$G$3),J559,D559)</f>
        <v>446.54</v>
      </c>
      <c r="P559" s="151">
        <f>+IF(OR($Q559=Parametres!$G$2,$Q559=Parametres!$G$3),K559,E559)</f>
        <v>3561.83</v>
      </c>
      <c r="Q559" s="150" t="str">
        <f t="shared" si="42"/>
        <v>7-Dépenses</v>
      </c>
      <c r="R559" s="149" t="str">
        <f t="shared" si="43"/>
        <v>77</v>
      </c>
      <c r="S559" s="150" t="str">
        <f t="shared" si="44"/>
        <v>_</v>
      </c>
      <c r="T559" s="152" t="str">
        <f>+VLOOKUP($L559,Data_Validation!$A:$D,1,0)</f>
        <v>77A</v>
      </c>
      <c r="U559" s="152" t="str">
        <f>+VLOOKUP($L559,Data_Validation!$A:$D,3,0)</f>
        <v>Véhicules neufs</v>
      </c>
      <c r="V559" s="152" t="str">
        <f>+VLOOKUP($L559,Data_Validation!$A:$D,4,0)</f>
        <v>divers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1177</v>
      </c>
      <c r="B560" s="685" t="s">
        <v>824</v>
      </c>
      <c r="C560" s="1038">
        <v>1203.72</v>
      </c>
      <c r="D560" s="1038">
        <v>167.46</v>
      </c>
      <c r="E560" s="1038">
        <v>1371.18</v>
      </c>
      <c r="F560" s="685" t="s">
        <v>2228</v>
      </c>
      <c r="G560" s="685" t="s">
        <v>2271</v>
      </c>
      <c r="H560" s="686" t="s">
        <v>3074</v>
      </c>
      <c r="I560" s="687"/>
      <c r="J560" s="687"/>
      <c r="K560" s="687"/>
      <c r="L560" s="149" t="str">
        <f t="shared" si="40"/>
        <v>77C</v>
      </c>
      <c r="M560" s="150" t="str">
        <f t="shared" si="41"/>
        <v>FRAIS DIVERS - USAGE BMW</v>
      </c>
      <c r="N560" s="151">
        <f>+IF(OR($Q560=Parametres!$G$2,$Q560=Parametres!$G$3),I560,C560)</f>
        <v>1203.72</v>
      </c>
      <c r="O560" s="497">
        <f>+IF(OR($Q560=Parametres!$G$2,$Q560=Parametres!$G$3),J560,D560)</f>
        <v>167.46</v>
      </c>
      <c r="P560" s="151">
        <f>+IF(OR($Q560=Parametres!$G$2,$Q560=Parametres!$G$3),K560,E560)</f>
        <v>1371.18</v>
      </c>
      <c r="Q560" s="150" t="str">
        <f t="shared" si="42"/>
        <v>7-Dépenses</v>
      </c>
      <c r="R560" s="149" t="str">
        <f t="shared" si="43"/>
        <v>77</v>
      </c>
      <c r="S560" s="150" t="str">
        <f t="shared" si="44"/>
        <v>_</v>
      </c>
      <c r="T560" s="152" t="str">
        <f>+VLOOKUP($L560,Data_Validation!$A:$D,1,0)</f>
        <v>77C</v>
      </c>
      <c r="U560" s="152" t="str">
        <f>+VLOOKUP($L560,Data_Validation!$A:$D,3,0)</f>
        <v>Véhicules usagés</v>
      </c>
      <c r="V560" s="152" t="str">
        <f>+VLOOKUP($L560,Data_Validation!$A:$D,4,0)</f>
        <v>divers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1152</v>
      </c>
      <c r="B561" s="685" t="s">
        <v>843</v>
      </c>
      <c r="C561" s="1038">
        <v>3322.63</v>
      </c>
      <c r="D561" s="1038">
        <v>279.10000000000002</v>
      </c>
      <c r="E561" s="1038">
        <v>3601.73</v>
      </c>
      <c r="F561" s="685" t="s">
        <v>2228</v>
      </c>
      <c r="G561" s="685" t="s">
        <v>2271</v>
      </c>
      <c r="H561" s="686" t="s">
        <v>3074</v>
      </c>
      <c r="I561" s="687"/>
      <c r="J561" s="687"/>
      <c r="K561" s="687"/>
      <c r="L561" s="149" t="str">
        <f t="shared" si="40"/>
        <v>77E</v>
      </c>
      <c r="M561" s="150" t="str">
        <f t="shared" si="41"/>
        <v>FRAIS DIVERS - SERV. BMW</v>
      </c>
      <c r="N561" s="151">
        <f>+IF(OR($Q561=Parametres!$G$2,$Q561=Parametres!$G$3),I561,C561)</f>
        <v>3322.63</v>
      </c>
      <c r="O561" s="496">
        <f>+IF(OR($Q561=Parametres!$G$2,$Q561=Parametres!$G$3),J561,D561)</f>
        <v>279.10000000000002</v>
      </c>
      <c r="P561" s="151">
        <f>+IF(OR($Q561=Parametres!$G$2,$Q561=Parametres!$G$3),K561,E561)</f>
        <v>3601.73</v>
      </c>
      <c r="Q561" s="150" t="str">
        <f t="shared" si="42"/>
        <v>7-Dépenses</v>
      </c>
      <c r="R561" s="149" t="str">
        <f t="shared" si="43"/>
        <v>77</v>
      </c>
      <c r="S561" s="150" t="str">
        <f t="shared" si="44"/>
        <v>_</v>
      </c>
      <c r="T561" s="152" t="str">
        <f>+VLOOKUP($L561,Data_Validation!$A:$D,1,0)</f>
        <v>77E</v>
      </c>
      <c r="U561" s="152" t="str">
        <f>+VLOOKUP($L561,Data_Validation!$A:$D,3,0)</f>
        <v>Service</v>
      </c>
      <c r="V561" s="152" t="str">
        <f>+VLOOKUP($L561,Data_Validation!$A:$D,4,0)</f>
        <v>divers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1155</v>
      </c>
      <c r="B562" s="685" t="s">
        <v>847</v>
      </c>
      <c r="C562" s="1038">
        <v>1449.08</v>
      </c>
      <c r="D562" s="1038">
        <v>223.25</v>
      </c>
      <c r="E562" s="1038">
        <v>1672.33</v>
      </c>
      <c r="F562" s="685" t="s">
        <v>2228</v>
      </c>
      <c r="G562" s="685" t="s">
        <v>2271</v>
      </c>
      <c r="H562" s="686" t="s">
        <v>3074</v>
      </c>
      <c r="I562" s="687"/>
      <c r="J562" s="687"/>
      <c r="K562" s="687"/>
      <c r="L562" s="149" t="str">
        <f t="shared" si="40"/>
        <v>77G</v>
      </c>
      <c r="M562" s="150" t="str">
        <f t="shared" si="41"/>
        <v>FRAIS DIVERS - PIECE BMW</v>
      </c>
      <c r="N562" s="151">
        <f>+IF(OR($Q562=Parametres!$G$2,$Q562=Parametres!$G$3),I562,C562)</f>
        <v>1449.08</v>
      </c>
      <c r="O562" s="151">
        <f>+IF(OR($Q562=Parametres!$G$2,$Q562=Parametres!$G$3),J562,D562)</f>
        <v>223.25</v>
      </c>
      <c r="P562" s="151">
        <f>+IF(OR($Q562=Parametres!$G$2,$Q562=Parametres!$G$3),K562,E562)</f>
        <v>1672.33</v>
      </c>
      <c r="Q562" s="150" t="str">
        <f t="shared" si="42"/>
        <v>7-Dépenses</v>
      </c>
      <c r="R562" s="149" t="str">
        <f t="shared" si="43"/>
        <v>77</v>
      </c>
      <c r="S562" s="150" t="str">
        <f t="shared" si="44"/>
        <v>_</v>
      </c>
      <c r="T562" s="152" t="str">
        <f>+VLOOKUP($L562,Data_Validation!$A:$D,1,0)</f>
        <v>77G</v>
      </c>
      <c r="U562" s="152" t="str">
        <f>+VLOOKUP($L562,Data_Validation!$A:$D,3,0)</f>
        <v>pièces</v>
      </c>
      <c r="V562" s="152" t="str">
        <f>+VLOOKUP($L562,Data_Validation!$A:$D,4,0)</f>
        <v>divers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1655</v>
      </c>
      <c r="B563" s="685" t="s">
        <v>818</v>
      </c>
      <c r="C563" s="687">
        <v>844.57</v>
      </c>
      <c r="D563" s="687">
        <v>34.450000000000003</v>
      </c>
      <c r="E563" s="687">
        <v>879.02</v>
      </c>
      <c r="F563" s="685" t="s">
        <v>2228</v>
      </c>
      <c r="G563" s="685" t="s">
        <v>2262</v>
      </c>
      <c r="H563" s="634" t="s">
        <v>3074</v>
      </c>
      <c r="I563" s="633"/>
      <c r="J563" s="633"/>
      <c r="K563" s="633"/>
      <c r="L563" s="149" t="str">
        <f t="shared" si="40"/>
        <v>78A</v>
      </c>
      <c r="M563" s="150" t="str">
        <f t="shared" si="41"/>
        <v>TRANSPORT - NEUF BMW</v>
      </c>
      <c r="N563" s="151">
        <f>+IF(OR($Q563=Parametres!$G$2,$Q563=Parametres!$G$3),I563,C563)</f>
        <v>844.57</v>
      </c>
      <c r="O563" s="151">
        <f>+IF(OR($Q563=Parametres!$G$2,$Q563=Parametres!$G$3),J563,D563)</f>
        <v>34.450000000000003</v>
      </c>
      <c r="P563" s="151">
        <f>+IF(OR($Q563=Parametres!$G$2,$Q563=Parametres!$G$3),K563,E563)</f>
        <v>879.02</v>
      </c>
      <c r="Q563" s="150" t="str">
        <f t="shared" si="42"/>
        <v>7-Dépenses</v>
      </c>
      <c r="R563" s="149" t="str">
        <f t="shared" si="43"/>
        <v>78</v>
      </c>
      <c r="S563" s="150" t="str">
        <f t="shared" si="44"/>
        <v>_</v>
      </c>
      <c r="T563" s="152" t="str">
        <f>+VLOOKUP($L563,Data_Validation!$A:$D,1,0)</f>
        <v>78A</v>
      </c>
      <c r="U563" s="152" t="str">
        <f>+VLOOKUP($L563,Data_Validation!$A:$D,3,0)</f>
        <v>Véhicules neufs</v>
      </c>
      <c r="V563" s="152" t="str">
        <f>+VLOOKUP($L563,Data_Validation!$A:$D,4,0)</f>
        <v>Frais postaux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1621</v>
      </c>
      <c r="B564" s="685" t="s">
        <v>782</v>
      </c>
      <c r="C564" s="1038">
        <v>698.55</v>
      </c>
      <c r="D564" s="1038">
        <v>58.19</v>
      </c>
      <c r="E564" s="1038">
        <v>756.74</v>
      </c>
      <c r="F564" s="685" t="s">
        <v>2228</v>
      </c>
      <c r="G564" s="685" t="s">
        <v>2262</v>
      </c>
      <c r="H564" s="686" t="s">
        <v>3074</v>
      </c>
      <c r="I564" s="687"/>
      <c r="J564" s="687"/>
      <c r="K564" s="687"/>
      <c r="L564" s="149" t="str">
        <f t="shared" si="40"/>
        <v>78C</v>
      </c>
      <c r="M564" s="150" t="str">
        <f t="shared" si="41"/>
        <v>TRANSPORT - USAGE BMW</v>
      </c>
      <c r="N564" s="151">
        <f>+IF(OR($Q564=Parametres!$G$2,$Q564=Parametres!$G$3),I564,C564)</f>
        <v>698.55</v>
      </c>
      <c r="O564" s="497">
        <f>+IF(OR($Q564=Parametres!$G$2,$Q564=Parametres!$G$3),J564,D564)</f>
        <v>58.19</v>
      </c>
      <c r="P564" s="151">
        <f>+IF(OR($Q564=Parametres!$G$2,$Q564=Parametres!$G$3),K564,E564)</f>
        <v>756.74</v>
      </c>
      <c r="Q564" s="150" t="str">
        <f t="shared" si="42"/>
        <v>7-Dépenses</v>
      </c>
      <c r="R564" s="149" t="str">
        <f t="shared" si="43"/>
        <v>78</v>
      </c>
      <c r="S564" s="150" t="str">
        <f t="shared" si="44"/>
        <v>_</v>
      </c>
      <c r="T564" s="152" t="str">
        <f>+VLOOKUP($L564,Data_Validation!$A:$D,1,0)</f>
        <v>78C</v>
      </c>
      <c r="U564" s="152" t="str">
        <f>+VLOOKUP($L564,Data_Validation!$A:$D,3,0)</f>
        <v>Véhicules usagés</v>
      </c>
      <c r="V564" s="152" t="str">
        <f>+VLOOKUP($L564,Data_Validation!$A:$D,4,0)</f>
        <v>Frais postaux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1628</v>
      </c>
      <c r="B565" s="685" t="s">
        <v>806</v>
      </c>
      <c r="C565" s="687">
        <v>1916.75</v>
      </c>
      <c r="D565" s="687">
        <v>412.41</v>
      </c>
      <c r="E565" s="687">
        <v>2329.16</v>
      </c>
      <c r="F565" s="685" t="s">
        <v>2228</v>
      </c>
      <c r="G565" s="685" t="s">
        <v>2262</v>
      </c>
      <c r="H565" s="641" t="s">
        <v>3074</v>
      </c>
      <c r="I565" s="640"/>
      <c r="J565" s="640"/>
      <c r="K565" s="640"/>
      <c r="L565" s="149" t="str">
        <f t="shared" si="40"/>
        <v>78E</v>
      </c>
      <c r="M565" s="150" t="str">
        <f t="shared" si="41"/>
        <v>TRANSPORT - SERV. BMW</v>
      </c>
      <c r="N565" s="151">
        <f>+IF(OR($Q565=Parametres!$G$2,$Q565=Parametres!$G$3),I565,C565)</f>
        <v>1916.75</v>
      </c>
      <c r="O565" s="151">
        <f>+IF(OR($Q565=Parametres!$G$2,$Q565=Parametres!$G$3),J565,D565)</f>
        <v>412.41</v>
      </c>
      <c r="P565" s="151">
        <f>+IF(OR($Q565=Parametres!$G$2,$Q565=Parametres!$G$3),K565,E565)</f>
        <v>2329.16</v>
      </c>
      <c r="Q565" s="150" t="str">
        <f t="shared" si="42"/>
        <v>7-Dépenses</v>
      </c>
      <c r="R565" s="149" t="str">
        <f t="shared" si="43"/>
        <v>78</v>
      </c>
      <c r="S565" s="150" t="str">
        <f t="shared" si="44"/>
        <v>_</v>
      </c>
      <c r="T565" s="152" t="str">
        <f>+VLOOKUP($L565,Data_Validation!$A:$D,1,0)</f>
        <v>78E</v>
      </c>
      <c r="U565" s="152" t="str">
        <f>+VLOOKUP($L565,Data_Validation!$A:$D,3,0)</f>
        <v>Service</v>
      </c>
      <c r="V565" s="152" t="str">
        <f>+VLOOKUP($L565,Data_Validation!$A:$D,4,0)</f>
        <v>Frais postaux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1619</v>
      </c>
      <c r="B566" s="685" t="s">
        <v>788</v>
      </c>
      <c r="C566" s="687">
        <v>8587.52</v>
      </c>
      <c r="D566" s="687">
        <v>-1441.73</v>
      </c>
      <c r="E566" s="687">
        <v>7145.79</v>
      </c>
      <c r="F566" s="685" t="s">
        <v>2228</v>
      </c>
      <c r="G566" s="685" t="s">
        <v>2262</v>
      </c>
      <c r="H566" s="641" t="s">
        <v>3074</v>
      </c>
      <c r="I566" s="640"/>
      <c r="J566" s="640"/>
      <c r="K566" s="640"/>
      <c r="L566" s="149" t="str">
        <f t="shared" si="40"/>
        <v>78G</v>
      </c>
      <c r="M566" s="150" t="str">
        <f t="shared" si="41"/>
        <v>TRANSPORT - PIECE BMW</v>
      </c>
      <c r="N566" s="151">
        <f>+IF(OR($Q566=Parametres!$G$2,$Q566=Parametres!$G$3),I566,C566)</f>
        <v>8587.52</v>
      </c>
      <c r="O566" s="151">
        <f>+IF(OR($Q566=Parametres!$G$2,$Q566=Parametres!$G$3),J566,D566)</f>
        <v>-1441.73</v>
      </c>
      <c r="P566" s="151">
        <f>+IF(OR($Q566=Parametres!$G$2,$Q566=Parametres!$G$3),K566,E566)</f>
        <v>7145.79</v>
      </c>
      <c r="Q566" s="150" t="str">
        <f t="shared" si="42"/>
        <v>7-Dépenses</v>
      </c>
      <c r="R566" s="149" t="str">
        <f t="shared" si="43"/>
        <v>78</v>
      </c>
      <c r="S566" s="150" t="str">
        <f t="shared" si="44"/>
        <v>_</v>
      </c>
      <c r="T566" s="152" t="str">
        <f>+VLOOKUP($L566,Data_Validation!$A:$D,1,0)</f>
        <v>78G</v>
      </c>
      <c r="U566" s="152" t="str">
        <f>+VLOOKUP($L566,Data_Validation!$A:$D,3,0)</f>
        <v>pièces</v>
      </c>
      <c r="V566" s="152" t="str">
        <f>+VLOOKUP($L566,Data_Validation!$A:$D,4,0)</f>
        <v>Frais postaux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1830</v>
      </c>
      <c r="B567" s="685" t="s">
        <v>968</v>
      </c>
      <c r="C567" s="687">
        <v>120000</v>
      </c>
      <c r="D567" s="687">
        <v>20000</v>
      </c>
      <c r="E567" s="687">
        <v>140000</v>
      </c>
      <c r="F567" s="685" t="s">
        <v>2228</v>
      </c>
      <c r="G567" s="685" t="s">
        <v>2292</v>
      </c>
      <c r="H567" s="641" t="s">
        <v>3074</v>
      </c>
      <c r="I567" s="640"/>
      <c r="J567" s="640"/>
      <c r="K567" s="640"/>
      <c r="L567" s="149" t="str">
        <f t="shared" si="40"/>
        <v>80A</v>
      </c>
      <c r="M567" s="150" t="str">
        <f t="shared" si="41"/>
        <v>LOYER OU EQUIV. - NEUF BMW</v>
      </c>
      <c r="N567" s="151">
        <f>+IF(OR($Q567=Parametres!$G$2,$Q567=Parametres!$G$3),I567,C567)</f>
        <v>120000</v>
      </c>
      <c r="O567" s="151">
        <f>+IF(OR($Q567=Parametres!$G$2,$Q567=Parametres!$G$3),J567,D567)</f>
        <v>20000</v>
      </c>
      <c r="P567" s="151">
        <f>+IF(OR($Q567=Parametres!$G$2,$Q567=Parametres!$G$3),K567,E567)</f>
        <v>140000</v>
      </c>
      <c r="Q567" s="150" t="str">
        <f t="shared" si="42"/>
        <v>7-Dépenses</v>
      </c>
      <c r="R567" s="149" t="str">
        <f t="shared" si="43"/>
        <v>80</v>
      </c>
      <c r="S567" s="150" t="str">
        <f t="shared" si="44"/>
        <v>_</v>
      </c>
      <c r="T567" s="152" t="str">
        <f>+VLOOKUP($L567,Data_Validation!$A:$D,1,0)</f>
        <v>80A</v>
      </c>
      <c r="U567" s="152" t="str">
        <f>+VLOOKUP($L567,Data_Validation!$A:$D,3,0)</f>
        <v>Véhicules neufs</v>
      </c>
      <c r="V567" s="152" t="str">
        <f>+VLOOKUP($L567,Data_Validation!$A:$D,4,0)</f>
        <v>loyer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1794</v>
      </c>
      <c r="B568" s="685" t="s">
        <v>928</v>
      </c>
      <c r="C568" s="687">
        <v>45000</v>
      </c>
      <c r="D568" s="687">
        <v>7500</v>
      </c>
      <c r="E568" s="687">
        <v>52500</v>
      </c>
      <c r="F568" s="685" t="s">
        <v>2228</v>
      </c>
      <c r="G568" s="685" t="s">
        <v>2292</v>
      </c>
      <c r="H568" s="593" t="s">
        <v>3074</v>
      </c>
      <c r="I568" s="153"/>
      <c r="J568" s="153"/>
      <c r="K568" s="153"/>
      <c r="L568" s="149" t="str">
        <f t="shared" si="40"/>
        <v>80C</v>
      </c>
      <c r="M568" s="150" t="str">
        <f t="shared" si="41"/>
        <v>LOYER OU EQUIV. - USAGE BMW</v>
      </c>
      <c r="N568" s="151">
        <f>+IF(OR($Q568=Parametres!$G$2,$Q568=Parametres!$G$3),I568,C568)</f>
        <v>45000</v>
      </c>
      <c r="O568" s="151">
        <f>+IF(OR($Q568=Parametres!$G$2,$Q568=Parametres!$G$3),J568,D568)</f>
        <v>7500</v>
      </c>
      <c r="P568" s="151">
        <f>+IF(OR($Q568=Parametres!$G$2,$Q568=Parametres!$G$3),K568,E568)</f>
        <v>52500</v>
      </c>
      <c r="Q568" s="150" t="str">
        <f t="shared" si="42"/>
        <v>7-Dépenses</v>
      </c>
      <c r="R568" s="149" t="str">
        <f t="shared" si="43"/>
        <v>80</v>
      </c>
      <c r="S568" s="150" t="str">
        <f t="shared" si="44"/>
        <v>_</v>
      </c>
      <c r="T568" s="152" t="str">
        <f>+VLOOKUP($L568,Data_Validation!$A:$D,1,0)</f>
        <v>80C</v>
      </c>
      <c r="U568" s="152" t="str">
        <f>+VLOOKUP($L568,Data_Validation!$A:$D,3,0)</f>
        <v>Véhicules usagés</v>
      </c>
      <c r="V568" s="152" t="str">
        <f>+VLOOKUP($L568,Data_Validation!$A:$D,4,0)</f>
        <v>loyer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1818</v>
      </c>
      <c r="B569" s="685" t="s">
        <v>958</v>
      </c>
      <c r="C569" s="687">
        <v>75000</v>
      </c>
      <c r="D569" s="687">
        <v>12500</v>
      </c>
      <c r="E569" s="687">
        <v>87500</v>
      </c>
      <c r="F569" s="685" t="s">
        <v>2228</v>
      </c>
      <c r="G569" s="685" t="s">
        <v>2292</v>
      </c>
      <c r="H569" s="593" t="s">
        <v>3074</v>
      </c>
      <c r="I569" s="153"/>
      <c r="J569" s="153"/>
      <c r="K569" s="153"/>
      <c r="L569" s="149" t="str">
        <f t="shared" si="40"/>
        <v>80E</v>
      </c>
      <c r="M569" s="150" t="str">
        <f t="shared" si="41"/>
        <v>LOYER OU EQUIV. - SERV. BMW</v>
      </c>
      <c r="N569" s="151">
        <f>+IF(OR($Q569=Parametres!$G$2,$Q569=Parametres!$G$3),I569,C569)</f>
        <v>75000</v>
      </c>
      <c r="O569" s="151">
        <f>+IF(OR($Q569=Parametres!$G$2,$Q569=Parametres!$G$3),J569,D569)</f>
        <v>12500</v>
      </c>
      <c r="P569" s="151">
        <f>+IF(OR($Q569=Parametres!$G$2,$Q569=Parametres!$G$3),K569,E569)</f>
        <v>87500</v>
      </c>
      <c r="Q569" s="150" t="str">
        <f t="shared" si="42"/>
        <v>7-Dépenses</v>
      </c>
      <c r="R569" s="149" t="str">
        <f t="shared" si="43"/>
        <v>80</v>
      </c>
      <c r="S569" s="150" t="str">
        <f t="shared" si="44"/>
        <v>_</v>
      </c>
      <c r="T569" s="152" t="str">
        <f>+VLOOKUP($L569,Data_Validation!$A:$D,1,0)</f>
        <v>80E</v>
      </c>
      <c r="U569" s="152" t="str">
        <f>+VLOOKUP($L569,Data_Validation!$A:$D,3,0)</f>
        <v>Service</v>
      </c>
      <c r="V569" s="152" t="str">
        <f>+VLOOKUP($L569,Data_Validation!$A:$D,4,0)</f>
        <v>loyer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1816</v>
      </c>
      <c r="B570" s="685" t="s">
        <v>953</v>
      </c>
      <c r="C570" s="687">
        <v>60000</v>
      </c>
      <c r="D570" s="687">
        <v>10000</v>
      </c>
      <c r="E570" s="687">
        <v>70000</v>
      </c>
      <c r="F570" s="685" t="s">
        <v>2228</v>
      </c>
      <c r="G570" s="685" t="s">
        <v>2292</v>
      </c>
      <c r="H570" s="641" t="s">
        <v>3074</v>
      </c>
      <c r="I570" s="640"/>
      <c r="J570" s="640"/>
      <c r="K570" s="640"/>
      <c r="L570" s="149" t="str">
        <f t="shared" si="40"/>
        <v>80G</v>
      </c>
      <c r="M570" s="500" t="str">
        <f t="shared" si="41"/>
        <v>LOYER OU EQUIV. - PIECES BMW</v>
      </c>
      <c r="N570" s="151">
        <f>+IF(OR($Q570=Parametres!$G$2,$Q570=Parametres!$G$3),I570,C570)</f>
        <v>60000</v>
      </c>
      <c r="O570" s="501">
        <f>+IF(OR($Q570=Parametres!$G$2,$Q570=Parametres!$G$3),J570,D570)</f>
        <v>10000</v>
      </c>
      <c r="P570" s="502">
        <f>+IF(OR($Q570=Parametres!$G$2,$Q570=Parametres!$G$3),K570,E570)</f>
        <v>70000</v>
      </c>
      <c r="Q570" s="150" t="str">
        <f t="shared" si="42"/>
        <v>7-Dépenses</v>
      </c>
      <c r="R570" s="149" t="str">
        <f t="shared" si="43"/>
        <v>80</v>
      </c>
      <c r="S570" s="150" t="str">
        <f t="shared" si="44"/>
        <v>_</v>
      </c>
      <c r="T570" s="152" t="str">
        <f>+VLOOKUP($L570,Data_Validation!$A:$D,1,0)</f>
        <v>80G</v>
      </c>
      <c r="U570" s="152" t="str">
        <f>+VLOOKUP($L570,Data_Validation!$A:$D,3,0)</f>
        <v>pièces</v>
      </c>
      <c r="V570" s="152" t="str">
        <f>+VLOOKUP($L570,Data_Validation!$A:$D,4,0)</f>
        <v>loyer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1773</v>
      </c>
      <c r="B571" s="685" t="s">
        <v>901</v>
      </c>
      <c r="C571" s="687">
        <v>15231.9</v>
      </c>
      <c r="D571" s="687">
        <v>2453.98</v>
      </c>
      <c r="E571" s="687">
        <v>17685.88</v>
      </c>
      <c r="F571" s="685" t="s">
        <v>2228</v>
      </c>
      <c r="G571" s="685" t="s">
        <v>2280</v>
      </c>
      <c r="H571" s="641" t="s">
        <v>3074</v>
      </c>
      <c r="I571" s="641"/>
      <c r="J571" s="641"/>
      <c r="K571" s="641"/>
      <c r="L571" s="149" t="str">
        <f t="shared" si="40"/>
        <v>84A</v>
      </c>
      <c r="M571" s="150" t="str">
        <f t="shared" si="41"/>
        <v>TAXES BATISSE - NEUF BMW</v>
      </c>
      <c r="N571" s="151">
        <f>+IF(OR($Q571=Parametres!$G$2,$Q571=Parametres!$G$3),I571,C571)</f>
        <v>15231.9</v>
      </c>
      <c r="O571" s="496">
        <f>+IF(OR($Q571=Parametres!$G$2,$Q571=Parametres!$G$3),J571,D571)</f>
        <v>2453.98</v>
      </c>
      <c r="P571" s="151">
        <f>+IF(OR($Q571=Parametres!$G$2,$Q571=Parametres!$G$3),K571,E571)</f>
        <v>17685.88</v>
      </c>
      <c r="Q571" s="150" t="str">
        <f t="shared" si="42"/>
        <v>7-Dépenses</v>
      </c>
      <c r="R571" s="149" t="str">
        <f t="shared" si="43"/>
        <v>84</v>
      </c>
      <c r="S571" s="150" t="str">
        <f t="shared" si="44"/>
        <v>_</v>
      </c>
      <c r="T571" s="152" t="str">
        <f>+VLOOKUP($L571,Data_Validation!$A:$D,1,0)</f>
        <v>84A</v>
      </c>
      <c r="U571" s="152" t="str">
        <f>+VLOOKUP($L571,Data_Validation!$A:$D,3,0)</f>
        <v>Véhicules neufs</v>
      </c>
      <c r="V571" s="152" t="str">
        <f>+VLOOKUP($L571,Data_Validation!$A:$D,4,0)</f>
        <v>Taxes foncières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1686</v>
      </c>
      <c r="B572" s="685" t="s">
        <v>840</v>
      </c>
      <c r="C572" s="687">
        <v>5711.94</v>
      </c>
      <c r="D572" s="687">
        <v>920.24</v>
      </c>
      <c r="E572" s="687">
        <v>6632.18</v>
      </c>
      <c r="F572" s="685" t="s">
        <v>2228</v>
      </c>
      <c r="G572" s="685" t="s">
        <v>2280</v>
      </c>
      <c r="H572" s="641" t="s">
        <v>3074</v>
      </c>
      <c r="I572" s="640"/>
      <c r="J572" s="640"/>
      <c r="K572" s="640"/>
      <c r="L572" s="149" t="str">
        <f t="shared" si="40"/>
        <v>84C</v>
      </c>
      <c r="M572" s="150" t="str">
        <f t="shared" si="41"/>
        <v>TAXES BATISSE - USAGE BMW</v>
      </c>
      <c r="N572" s="151">
        <f>+IF(OR($Q572=Parametres!$G$2,$Q572=Parametres!$G$3),I572,C572)</f>
        <v>5711.94</v>
      </c>
      <c r="O572" s="151">
        <f>+IF(OR($Q572=Parametres!$G$2,$Q572=Parametres!$G$3),J572,D572)</f>
        <v>920.24</v>
      </c>
      <c r="P572" s="151">
        <f>+IF(OR($Q572=Parametres!$G$2,$Q572=Parametres!$G$3),K572,E572)</f>
        <v>6632.18</v>
      </c>
      <c r="Q572" s="150" t="str">
        <f t="shared" si="42"/>
        <v>7-Dépenses</v>
      </c>
      <c r="R572" s="149" t="str">
        <f t="shared" si="43"/>
        <v>84</v>
      </c>
      <c r="S572" s="150" t="str">
        <f t="shared" si="44"/>
        <v>_</v>
      </c>
      <c r="T572" s="152" t="str">
        <f>+VLOOKUP($L572,Data_Validation!$A:$D,1,0)</f>
        <v>84C</v>
      </c>
      <c r="U572" s="152" t="str">
        <f>+VLOOKUP($L572,Data_Validation!$A:$D,3,0)</f>
        <v>Véhicules usagés</v>
      </c>
      <c r="V572" s="152" t="str">
        <f>+VLOOKUP($L572,Data_Validation!$A:$D,4,0)</f>
        <v>Taxes foncières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1729</v>
      </c>
      <c r="B573" s="685" t="s">
        <v>872</v>
      </c>
      <c r="C573" s="687">
        <v>9519.9599999999991</v>
      </c>
      <c r="D573" s="687">
        <v>1533.74</v>
      </c>
      <c r="E573" s="687">
        <v>11053.7</v>
      </c>
      <c r="F573" s="685" t="s">
        <v>2228</v>
      </c>
      <c r="G573" s="685" t="s">
        <v>2280</v>
      </c>
      <c r="H573" s="641" t="s">
        <v>3074</v>
      </c>
      <c r="I573" s="640"/>
      <c r="J573" s="640"/>
      <c r="K573" s="640"/>
      <c r="L573" s="149" t="str">
        <f t="shared" si="40"/>
        <v>84E</v>
      </c>
      <c r="M573" s="150" t="str">
        <f t="shared" si="41"/>
        <v>TAXES BATISSE - SERV. BMW</v>
      </c>
      <c r="N573" s="151">
        <f>+IF(OR($Q573=Parametres!$G$2,$Q573=Parametres!$G$3),I573,C573)</f>
        <v>9519.9599999999991</v>
      </c>
      <c r="O573" s="151">
        <f>+IF(OR($Q573=Parametres!$G$2,$Q573=Parametres!$G$3),J573,D573)</f>
        <v>1533.74</v>
      </c>
      <c r="P573" s="151">
        <f>+IF(OR($Q573=Parametres!$G$2,$Q573=Parametres!$G$3),K573,E573)</f>
        <v>11053.7</v>
      </c>
      <c r="Q573" s="150" t="str">
        <f t="shared" si="42"/>
        <v>7-Dépenses</v>
      </c>
      <c r="R573" s="149" t="str">
        <f t="shared" si="43"/>
        <v>84</v>
      </c>
      <c r="S573" s="150" t="str">
        <f t="shared" si="44"/>
        <v>_</v>
      </c>
      <c r="T573" s="152" t="str">
        <f>+VLOOKUP($L573,Data_Validation!$A:$D,1,0)</f>
        <v>84E</v>
      </c>
      <c r="U573" s="152" t="str">
        <f>+VLOOKUP($L573,Data_Validation!$A:$D,3,0)</f>
        <v>Service</v>
      </c>
      <c r="V573" s="152" t="str">
        <f>+VLOOKUP($L573,Data_Validation!$A:$D,4,0)</f>
        <v>Taxes foncières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1720</v>
      </c>
      <c r="B574" s="685" t="s">
        <v>867</v>
      </c>
      <c r="C574" s="687">
        <v>7615.98</v>
      </c>
      <c r="D574" s="687">
        <v>1227</v>
      </c>
      <c r="E574" s="687">
        <v>8842.98</v>
      </c>
      <c r="F574" s="685" t="s">
        <v>2228</v>
      </c>
      <c r="G574" s="685" t="s">
        <v>2280</v>
      </c>
      <c r="H574" s="641" t="s">
        <v>3074</v>
      </c>
      <c r="I574" s="640"/>
      <c r="J574" s="640"/>
      <c r="K574" s="640"/>
      <c r="L574" s="149" t="str">
        <f t="shared" si="40"/>
        <v>84G</v>
      </c>
      <c r="M574" s="150" t="str">
        <f t="shared" si="41"/>
        <v>TAXES BATISSE - PIECE BMW</v>
      </c>
      <c r="N574" s="151">
        <f>+IF(OR($Q574=Parametres!$G$2,$Q574=Parametres!$G$3),I574,C574)</f>
        <v>7615.98</v>
      </c>
      <c r="O574" s="151">
        <f>+IF(OR($Q574=Parametres!$G$2,$Q574=Parametres!$G$3),J574,D574)</f>
        <v>1227</v>
      </c>
      <c r="P574" s="151">
        <f>+IF(OR($Q574=Parametres!$G$2,$Q574=Parametres!$G$3),K574,E574)</f>
        <v>8842.98</v>
      </c>
      <c r="Q574" s="150" t="str">
        <f t="shared" si="42"/>
        <v>7-Dépenses</v>
      </c>
      <c r="R574" s="149" t="str">
        <f t="shared" si="43"/>
        <v>84</v>
      </c>
      <c r="S574" s="150" t="str">
        <f t="shared" si="44"/>
        <v>_</v>
      </c>
      <c r="T574" s="152" t="str">
        <f>+VLOOKUP($L574,Data_Validation!$A:$D,1,0)</f>
        <v>84G</v>
      </c>
      <c r="U574" s="152" t="str">
        <f>+VLOOKUP($L574,Data_Validation!$A:$D,3,0)</f>
        <v>pièces</v>
      </c>
      <c r="V574" s="152" t="str">
        <f>+VLOOKUP($L574,Data_Validation!$A:$D,4,0)</f>
        <v>Taxes foncières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1717</v>
      </c>
      <c r="B575" s="685" t="s">
        <v>879</v>
      </c>
      <c r="C575" s="687">
        <v>8570.76</v>
      </c>
      <c r="D575" s="687">
        <v>1428.46</v>
      </c>
      <c r="E575" s="687">
        <v>9999.2199999999993</v>
      </c>
      <c r="F575" s="685" t="s">
        <v>2228</v>
      </c>
      <c r="G575" s="685" t="s">
        <v>2275</v>
      </c>
      <c r="H575" s="641" t="s">
        <v>3074</v>
      </c>
      <c r="I575" s="640"/>
      <c r="J575" s="640"/>
      <c r="K575" s="640"/>
      <c r="L575" s="149" t="str">
        <f t="shared" si="40"/>
        <v>85A</v>
      </c>
      <c r="M575" s="150" t="str">
        <f t="shared" si="41"/>
        <v>ASS. BATISSE - NEUF BMW</v>
      </c>
      <c r="N575" s="151">
        <f>+IF(OR($Q575=Parametres!$G$2,$Q575=Parametres!$G$3),I575,C575)</f>
        <v>8570.76</v>
      </c>
      <c r="O575" s="151">
        <f>+IF(OR($Q575=Parametres!$G$2,$Q575=Parametres!$G$3),J575,D575)</f>
        <v>1428.46</v>
      </c>
      <c r="P575" s="151">
        <f>+IF(OR($Q575=Parametres!$G$2,$Q575=Parametres!$G$3),K575,E575)</f>
        <v>9999.2199999999993</v>
      </c>
      <c r="Q575" s="150" t="str">
        <f t="shared" si="42"/>
        <v>7-Dépenses</v>
      </c>
      <c r="R575" s="149" t="str">
        <f t="shared" si="43"/>
        <v>85</v>
      </c>
      <c r="S575" s="150" t="str">
        <f t="shared" si="44"/>
        <v>_</v>
      </c>
      <c r="T575" s="152" t="str">
        <f>+VLOOKUP($L575,Data_Validation!$A:$D,1,0)</f>
        <v>85A</v>
      </c>
      <c r="U575" s="152" t="str">
        <f>+VLOOKUP($L575,Data_Validation!$A:$D,3,0)</f>
        <v>Véhicules neufs</v>
      </c>
      <c r="V575" s="152" t="str">
        <f>+VLOOKUP($L575,Data_Validation!$A:$D,4,0)</f>
        <v>assurances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1659</v>
      </c>
      <c r="B576" s="685" t="s">
        <v>828</v>
      </c>
      <c r="C576" s="687">
        <v>3214.02</v>
      </c>
      <c r="D576" s="687">
        <v>535.66999999999996</v>
      </c>
      <c r="E576" s="687">
        <v>3749.69</v>
      </c>
      <c r="F576" s="685" t="s">
        <v>2228</v>
      </c>
      <c r="G576" s="685" t="s">
        <v>2275</v>
      </c>
      <c r="H576" s="595" t="s">
        <v>3074</v>
      </c>
      <c r="I576" s="594"/>
      <c r="J576" s="594"/>
      <c r="K576" s="594"/>
      <c r="L576" s="149" t="str">
        <f t="shared" si="40"/>
        <v>85C</v>
      </c>
      <c r="M576" s="150" t="str">
        <f t="shared" si="41"/>
        <v>ASS. BATISSE - USAGE BMW</v>
      </c>
      <c r="N576" s="151">
        <f>+IF(OR($Q576=Parametres!$G$2,$Q576=Parametres!$G$3),I576,C576)</f>
        <v>3214.02</v>
      </c>
      <c r="O576" s="496">
        <f>+IF(OR($Q576=Parametres!$G$2,$Q576=Parametres!$G$3),J576,D576)</f>
        <v>535.66999999999996</v>
      </c>
      <c r="P576" s="151">
        <f>+IF(OR($Q576=Parametres!$G$2,$Q576=Parametres!$G$3),K576,E576)</f>
        <v>3749.69</v>
      </c>
      <c r="Q576" s="150" t="str">
        <f t="shared" si="42"/>
        <v>7-Dépenses</v>
      </c>
      <c r="R576" s="149" t="str">
        <f t="shared" si="43"/>
        <v>85</v>
      </c>
      <c r="S576" s="150" t="str">
        <f t="shared" si="44"/>
        <v>_</v>
      </c>
      <c r="T576" s="152" t="str">
        <f>+VLOOKUP($L576,Data_Validation!$A:$D,1,0)</f>
        <v>85C</v>
      </c>
      <c r="U576" s="152" t="str">
        <f>+VLOOKUP($L576,Data_Validation!$A:$D,3,0)</f>
        <v>Véhicules usagés</v>
      </c>
      <c r="V576" s="152" t="str">
        <f>+VLOOKUP($L576,Data_Validation!$A:$D,4,0)</f>
        <v>assurances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1679</v>
      </c>
      <c r="B577" s="685" t="s">
        <v>850</v>
      </c>
      <c r="C577" s="1038">
        <v>5356.74</v>
      </c>
      <c r="D577" s="1038">
        <v>892.79</v>
      </c>
      <c r="E577" s="1038">
        <v>6249.53</v>
      </c>
      <c r="F577" s="685" t="s">
        <v>2228</v>
      </c>
      <c r="G577" s="685" t="s">
        <v>2275</v>
      </c>
      <c r="H577" s="686" t="s">
        <v>3074</v>
      </c>
      <c r="I577" s="687"/>
      <c r="J577" s="687"/>
      <c r="K577" s="687"/>
      <c r="L577" s="149" t="str">
        <f t="shared" si="40"/>
        <v>85E</v>
      </c>
      <c r="M577" s="150" t="str">
        <f t="shared" si="41"/>
        <v>ASS. BATISSE - SERV. BMW</v>
      </c>
      <c r="N577" s="151">
        <f>+IF(OR($Q577=Parametres!$G$2,$Q577=Parametres!$G$3),I577,C577)</f>
        <v>5356.74</v>
      </c>
      <c r="O577" s="151">
        <f>+IF(OR($Q577=Parametres!$G$2,$Q577=Parametres!$G$3),J577,D577)</f>
        <v>892.79</v>
      </c>
      <c r="P577" s="151">
        <f>+IF(OR($Q577=Parametres!$G$2,$Q577=Parametres!$G$3),K577,E577)</f>
        <v>6249.53</v>
      </c>
      <c r="Q577" s="150" t="str">
        <f t="shared" si="42"/>
        <v>7-Dépenses</v>
      </c>
      <c r="R577" s="149" t="str">
        <f t="shared" si="43"/>
        <v>85</v>
      </c>
      <c r="S577" s="150" t="str">
        <f t="shared" si="44"/>
        <v>_</v>
      </c>
      <c r="T577" s="152" t="str">
        <f>+VLOOKUP($L577,Data_Validation!$A:$D,1,0)</f>
        <v>85E</v>
      </c>
      <c r="U577" s="152" t="str">
        <f>+VLOOKUP($L577,Data_Validation!$A:$D,3,0)</f>
        <v>Service</v>
      </c>
      <c r="V577" s="152" t="str">
        <f>+VLOOKUP($L577,Data_Validation!$A:$D,4,0)</f>
        <v>assurances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1676</v>
      </c>
      <c r="B578" s="685" t="s">
        <v>848</v>
      </c>
      <c r="C578" s="687">
        <v>4285.4399999999996</v>
      </c>
      <c r="D578" s="687">
        <v>714.24</v>
      </c>
      <c r="E578" s="687">
        <v>4999.68</v>
      </c>
      <c r="F578" s="685" t="s">
        <v>2228</v>
      </c>
      <c r="G578" s="685" t="s">
        <v>2275</v>
      </c>
      <c r="H578" s="641" t="s">
        <v>3074</v>
      </c>
      <c r="I578" s="641"/>
      <c r="J578" s="641"/>
      <c r="K578" s="641"/>
      <c r="L578" s="149" t="str">
        <f t="shared" ref="L578:L641" si="45">+B578</f>
        <v>85G</v>
      </c>
      <c r="M578" s="150" t="str">
        <f t="shared" ref="M578:M641" si="46">+A578</f>
        <v>ASS. BATISSE - PIECE BMW</v>
      </c>
      <c r="N578" s="151">
        <f>+IF(OR($Q578=Parametres!$G$2,$Q578=Parametres!$G$3),I578,C578)</f>
        <v>4285.4399999999996</v>
      </c>
      <c r="O578" s="151">
        <f>+IF(OR($Q578=Parametres!$G$2,$Q578=Parametres!$G$3),J578,D578)</f>
        <v>714.24</v>
      </c>
      <c r="P578" s="151">
        <f>+IF(OR($Q578=Parametres!$G$2,$Q578=Parametres!$G$3),K578,E578)</f>
        <v>4999.68</v>
      </c>
      <c r="Q578" s="150" t="str">
        <f t="shared" ref="Q578:Q641" si="47">+F578</f>
        <v>7-Dépenses</v>
      </c>
      <c r="R578" s="149" t="str">
        <f t="shared" ref="R578:R641" si="48">+G578</f>
        <v>85</v>
      </c>
      <c r="S578" s="150" t="str">
        <f t="shared" ref="S578:S641" si="49">+H578</f>
        <v>_</v>
      </c>
      <c r="T578" s="152" t="str">
        <f>+VLOOKUP($L578,Data_Validation!$A:$D,1,0)</f>
        <v>85G</v>
      </c>
      <c r="U578" s="152" t="str">
        <f>+VLOOKUP($L578,Data_Validation!$A:$D,3,0)</f>
        <v>pièces</v>
      </c>
      <c r="V578" s="152" t="str">
        <f>+VLOOKUP($L578,Data_Validation!$A:$D,4,0)</f>
        <v>assurances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1229</v>
      </c>
      <c r="B579" s="685" t="s">
        <v>878</v>
      </c>
      <c r="C579" s="687">
        <v>16263.89</v>
      </c>
      <c r="D579" s="687">
        <v>2260.48</v>
      </c>
      <c r="E579" s="687">
        <v>18524.37</v>
      </c>
      <c r="F579" s="685" t="s">
        <v>2228</v>
      </c>
      <c r="G579" s="685" t="s">
        <v>2274</v>
      </c>
      <c r="H579" s="641" t="s">
        <v>3074</v>
      </c>
      <c r="I579" s="640"/>
      <c r="J579" s="640"/>
      <c r="K579" s="640"/>
      <c r="L579" s="149" t="str">
        <f t="shared" si="45"/>
        <v>87A</v>
      </c>
      <c r="M579" s="150" t="str">
        <f t="shared" si="46"/>
        <v>CHAUFF. ELECT. EAU - NEUF BMW</v>
      </c>
      <c r="N579" s="151">
        <f>+IF(OR($Q579=Parametres!$G$2,$Q579=Parametres!$G$3),I579,C579)</f>
        <v>16263.89</v>
      </c>
      <c r="O579" s="151">
        <f>+IF(OR($Q579=Parametres!$G$2,$Q579=Parametres!$G$3),J579,D579)</f>
        <v>2260.48</v>
      </c>
      <c r="P579" s="151">
        <f>+IF(OR($Q579=Parametres!$G$2,$Q579=Parametres!$G$3),K579,E579)</f>
        <v>18524.37</v>
      </c>
      <c r="Q579" s="150" t="str">
        <f t="shared" si="47"/>
        <v>7-Dépenses</v>
      </c>
      <c r="R579" s="149" t="str">
        <f t="shared" si="48"/>
        <v>87</v>
      </c>
      <c r="S579" s="150" t="str">
        <f t="shared" si="49"/>
        <v>_</v>
      </c>
      <c r="T579" s="152" t="str">
        <f>+VLOOKUP($L579,Data_Validation!$A:$D,1,0)</f>
        <v>87A</v>
      </c>
      <c r="U579" s="152" t="str">
        <f>+VLOOKUP($L579,Data_Validation!$A:$D,3,0)</f>
        <v>Véhicules neufs</v>
      </c>
      <c r="V579" s="152" t="str">
        <f>+VLOOKUP($L579,Data_Validation!$A:$D,4,0)</f>
        <v>Chauffage, éclairage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1235</v>
      </c>
      <c r="B580" s="685" t="s">
        <v>827</v>
      </c>
      <c r="C580" s="687">
        <v>6098.96</v>
      </c>
      <c r="D580" s="687">
        <v>847.68</v>
      </c>
      <c r="E580" s="687">
        <v>6946.64</v>
      </c>
      <c r="F580" s="685" t="s">
        <v>2228</v>
      </c>
      <c r="G580" s="685" t="s">
        <v>2274</v>
      </c>
      <c r="H580" s="641" t="s">
        <v>3074</v>
      </c>
      <c r="I580" s="640"/>
      <c r="J580" s="640"/>
      <c r="K580" s="640"/>
      <c r="L580" s="149" t="str">
        <f t="shared" si="45"/>
        <v>87C</v>
      </c>
      <c r="M580" s="150" t="str">
        <f t="shared" si="46"/>
        <v>CHAUFF. ELECT. EAU - USAGE BMW</v>
      </c>
      <c r="N580" s="151">
        <f>+IF(OR($Q580=Parametres!$G$2,$Q580=Parametres!$G$3),I580,C580)</f>
        <v>6098.96</v>
      </c>
      <c r="O580" s="151">
        <f>+IF(OR($Q580=Parametres!$G$2,$Q580=Parametres!$G$3),J580,D580)</f>
        <v>847.68</v>
      </c>
      <c r="P580" s="151">
        <f>+IF(OR($Q580=Parametres!$G$2,$Q580=Parametres!$G$3),K580,E580)</f>
        <v>6946.64</v>
      </c>
      <c r="Q580" s="150" t="str">
        <f t="shared" si="47"/>
        <v>7-Dépenses</v>
      </c>
      <c r="R580" s="149" t="str">
        <f t="shared" si="48"/>
        <v>87</v>
      </c>
      <c r="S580" s="150" t="str">
        <f t="shared" si="49"/>
        <v>_</v>
      </c>
      <c r="T580" s="152" t="str">
        <f>+VLOOKUP($L580,Data_Validation!$A:$D,1,0)</f>
        <v>87C</v>
      </c>
      <c r="U580" s="152" t="str">
        <f>+VLOOKUP($L580,Data_Validation!$A:$D,3,0)</f>
        <v>Véhicules usagés</v>
      </c>
      <c r="V580" s="152" t="str">
        <f>+VLOOKUP($L580,Data_Validation!$A:$D,4,0)</f>
        <v>Chauffage, éclairage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1231</v>
      </c>
      <c r="B581" s="685" t="s">
        <v>849</v>
      </c>
      <c r="C581" s="1038">
        <v>10164.959999999999</v>
      </c>
      <c r="D581" s="1038">
        <v>1412.8</v>
      </c>
      <c r="E581" s="1038">
        <v>11577.76</v>
      </c>
      <c r="F581" s="685" t="s">
        <v>2228</v>
      </c>
      <c r="G581" s="685" t="s">
        <v>2274</v>
      </c>
      <c r="H581" s="686" t="s">
        <v>3074</v>
      </c>
      <c r="I581" s="687"/>
      <c r="J581" s="687"/>
      <c r="K581" s="687"/>
      <c r="L581" s="149" t="str">
        <f t="shared" si="45"/>
        <v>87E</v>
      </c>
      <c r="M581" s="150" t="str">
        <f t="shared" si="46"/>
        <v>CHAUFF. ELECT. EAU - SERV. BMW</v>
      </c>
      <c r="N581" s="151">
        <f>+IF(OR($Q581=Parametres!$G$2,$Q581=Parametres!$G$3),I581,C581)</f>
        <v>10164.959999999999</v>
      </c>
      <c r="O581" s="151">
        <f>+IF(OR($Q581=Parametres!$G$2,$Q581=Parametres!$G$3),J581,D581)</f>
        <v>1412.8</v>
      </c>
      <c r="P581" s="151">
        <f>+IF(OR($Q581=Parametres!$G$2,$Q581=Parametres!$G$3),K581,E581)</f>
        <v>11577.76</v>
      </c>
      <c r="Q581" s="150" t="str">
        <f t="shared" si="47"/>
        <v>7-Dépenses</v>
      </c>
      <c r="R581" s="149" t="str">
        <f t="shared" si="48"/>
        <v>87</v>
      </c>
      <c r="S581" s="150" t="str">
        <f t="shared" si="49"/>
        <v>_</v>
      </c>
      <c r="T581" s="152" t="str">
        <f>+VLOOKUP($L581,Data_Validation!$A:$D,1,0)</f>
        <v>87E</v>
      </c>
      <c r="U581" s="152" t="str">
        <f>+VLOOKUP($L581,Data_Validation!$A:$D,3,0)</f>
        <v>Service</v>
      </c>
      <c r="V581" s="152" t="str">
        <f>+VLOOKUP($L581,Data_Validation!$A:$D,4,0)</f>
        <v>Chauffage, éclairage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1232</v>
      </c>
      <c r="B582" s="685" t="s">
        <v>846</v>
      </c>
      <c r="C582" s="1038">
        <v>8131.93</v>
      </c>
      <c r="D582" s="1038">
        <v>1130.25</v>
      </c>
      <c r="E582" s="1038">
        <v>9262.18</v>
      </c>
      <c r="F582" s="685" t="s">
        <v>2228</v>
      </c>
      <c r="G582" s="685" t="s">
        <v>2274</v>
      </c>
      <c r="H582" s="686" t="s">
        <v>3074</v>
      </c>
      <c r="I582" s="687"/>
      <c r="J582" s="687"/>
      <c r="K582" s="687"/>
      <c r="L582" s="149" t="str">
        <f t="shared" si="45"/>
        <v>87G</v>
      </c>
      <c r="M582" s="150" t="str">
        <f t="shared" si="46"/>
        <v>CHAUFF. ELECT. EAU - PIECE BMW</v>
      </c>
      <c r="N582" s="151">
        <f>+IF(OR($Q582=Parametres!$G$2,$Q582=Parametres!$G$3),I582,C582)</f>
        <v>8131.93</v>
      </c>
      <c r="O582" s="151">
        <f>+IF(OR($Q582=Parametres!$G$2,$Q582=Parametres!$G$3),J582,D582)</f>
        <v>1130.25</v>
      </c>
      <c r="P582" s="151">
        <f>+IF(OR($Q582=Parametres!$G$2,$Q582=Parametres!$G$3),K582,E582)</f>
        <v>9262.18</v>
      </c>
      <c r="Q582" s="150" t="str">
        <f t="shared" si="47"/>
        <v>7-Dépenses</v>
      </c>
      <c r="R582" s="149" t="str">
        <f t="shared" si="48"/>
        <v>87</v>
      </c>
      <c r="S582" s="150" t="str">
        <f t="shared" si="49"/>
        <v>_</v>
      </c>
      <c r="T582" s="152" t="str">
        <f>+VLOOKUP($L582,Data_Validation!$A:$D,1,0)</f>
        <v>87G</v>
      </c>
      <c r="U582" s="152" t="str">
        <f>+VLOOKUP($L582,Data_Validation!$A:$D,3,0)</f>
        <v>pièces</v>
      </c>
      <c r="V582" s="152" t="str">
        <f>+VLOOKUP($L582,Data_Validation!$A:$D,4,0)</f>
        <v>Chauffage, éclairage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1719</v>
      </c>
      <c r="B583" s="685" t="s">
        <v>865</v>
      </c>
      <c r="C583" s="1038">
        <v>6528</v>
      </c>
      <c r="D583" s="1038">
        <v>1051.71</v>
      </c>
      <c r="E583" s="1038">
        <v>7579.71</v>
      </c>
      <c r="F583" s="685" t="s">
        <v>2228</v>
      </c>
      <c r="G583" s="685" t="s">
        <v>2272</v>
      </c>
      <c r="H583" s="686" t="s">
        <v>3074</v>
      </c>
      <c r="I583" s="687"/>
      <c r="J583" s="687"/>
      <c r="K583" s="687"/>
      <c r="L583" s="149" t="str">
        <f t="shared" si="45"/>
        <v>89A</v>
      </c>
      <c r="M583" s="150" t="str">
        <f t="shared" si="46"/>
        <v>TAXES &amp; PERMIS - NEUF BMW</v>
      </c>
      <c r="N583" s="151">
        <f>+IF(OR($Q583=Parametres!$G$2,$Q583=Parametres!$G$3),I583,C583)</f>
        <v>6528</v>
      </c>
      <c r="O583" s="151">
        <f>+IF(OR($Q583=Parametres!$G$2,$Q583=Parametres!$G$3),J583,D583)</f>
        <v>1051.71</v>
      </c>
      <c r="P583" s="151">
        <f>+IF(OR($Q583=Parametres!$G$2,$Q583=Parametres!$G$3),K583,E583)</f>
        <v>7579.71</v>
      </c>
      <c r="Q583" s="150" t="str">
        <f t="shared" si="47"/>
        <v>7-Dépenses</v>
      </c>
      <c r="R583" s="149" t="str">
        <f t="shared" si="48"/>
        <v>89</v>
      </c>
      <c r="S583" s="150" t="str">
        <f t="shared" si="49"/>
        <v>_</v>
      </c>
      <c r="T583" s="152" t="str">
        <f>+VLOOKUP($L583,Data_Validation!$A:$D,1,0)</f>
        <v>89A</v>
      </c>
      <c r="U583" s="152" t="str">
        <f>+VLOOKUP($L583,Data_Validation!$A:$D,3,0)</f>
        <v>Véhicules neufs</v>
      </c>
      <c r="V583" s="152" t="str">
        <f>+VLOOKUP($L583,Data_Validation!$A:$D,4,0)</f>
        <v>Taxes d`affaires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1660</v>
      </c>
      <c r="B584" s="685" t="s">
        <v>817</v>
      </c>
      <c r="C584" s="687">
        <v>2448</v>
      </c>
      <c r="D584" s="687">
        <v>394.39</v>
      </c>
      <c r="E584" s="687">
        <v>2842.39</v>
      </c>
      <c r="F584" s="685" t="s">
        <v>2228</v>
      </c>
      <c r="G584" s="685" t="s">
        <v>2272</v>
      </c>
      <c r="H584" s="641" t="s">
        <v>3074</v>
      </c>
      <c r="I584" s="640"/>
      <c r="J584" s="640"/>
      <c r="K584" s="640"/>
      <c r="L584" s="149" t="str">
        <f t="shared" si="45"/>
        <v>89C</v>
      </c>
      <c r="M584" s="150" t="str">
        <f t="shared" si="46"/>
        <v>TAXES &amp; PERMIS - USAGE BMW</v>
      </c>
      <c r="N584" s="151">
        <f>+IF(OR($Q584=Parametres!$G$2,$Q584=Parametres!$G$3),I584,C584)</f>
        <v>2448</v>
      </c>
      <c r="O584" s="151">
        <f>+IF(OR($Q584=Parametres!$G$2,$Q584=Parametres!$G$3),J584,D584)</f>
        <v>394.39</v>
      </c>
      <c r="P584" s="151">
        <f>+IF(OR($Q584=Parametres!$G$2,$Q584=Parametres!$G$3),K584,E584)</f>
        <v>2842.39</v>
      </c>
      <c r="Q584" s="150" t="str">
        <f t="shared" si="47"/>
        <v>7-Dépenses</v>
      </c>
      <c r="R584" s="149" t="str">
        <f t="shared" si="48"/>
        <v>89</v>
      </c>
      <c r="S584" s="150" t="str">
        <f t="shared" si="49"/>
        <v>_</v>
      </c>
      <c r="T584" s="152" t="str">
        <f>+VLOOKUP($L584,Data_Validation!$A:$D,1,0)</f>
        <v>89C</v>
      </c>
      <c r="U584" s="152" t="str">
        <f>+VLOOKUP($L584,Data_Validation!$A:$D,3,0)</f>
        <v>Véhicules usagés</v>
      </c>
      <c r="V584" s="152" t="str">
        <f>+VLOOKUP($L584,Data_Validation!$A:$D,4,0)</f>
        <v>Taxes d`affaires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1684</v>
      </c>
      <c r="B585" s="685" t="s">
        <v>839</v>
      </c>
      <c r="C585" s="687">
        <v>4080</v>
      </c>
      <c r="D585" s="687">
        <v>657.32</v>
      </c>
      <c r="E585" s="687">
        <v>4737.32</v>
      </c>
      <c r="F585" s="685" t="s">
        <v>2228</v>
      </c>
      <c r="G585" s="685" t="s">
        <v>2272</v>
      </c>
      <c r="H585" s="634" t="s">
        <v>3074</v>
      </c>
      <c r="I585" s="633"/>
      <c r="J585" s="633"/>
      <c r="K585" s="633"/>
      <c r="L585" s="149" t="str">
        <f t="shared" si="45"/>
        <v>89E</v>
      </c>
      <c r="M585" s="150" t="str">
        <f t="shared" si="46"/>
        <v>TAXES &amp; PERMIS - SERV. BMW</v>
      </c>
      <c r="N585" s="151">
        <f>+IF(OR($Q585=Parametres!$G$2,$Q585=Parametres!$G$3),I585,C585)</f>
        <v>4080</v>
      </c>
      <c r="O585" s="151">
        <f>+IF(OR($Q585=Parametres!$G$2,$Q585=Parametres!$G$3),J585,D585)</f>
        <v>657.32</v>
      </c>
      <c r="P585" s="151">
        <f>+IF(OR($Q585=Parametres!$G$2,$Q585=Parametres!$G$3),K585,E585)</f>
        <v>4737.32</v>
      </c>
      <c r="Q585" s="150" t="str">
        <f t="shared" si="47"/>
        <v>7-Dépenses</v>
      </c>
      <c r="R585" s="149" t="str">
        <f t="shared" si="48"/>
        <v>89</v>
      </c>
      <c r="S585" s="150" t="str">
        <f t="shared" si="49"/>
        <v>_</v>
      </c>
      <c r="T585" s="152" t="str">
        <f>+VLOOKUP($L585,Data_Validation!$A:$D,1,0)</f>
        <v>89E</v>
      </c>
      <c r="U585" s="152" t="str">
        <f>+VLOOKUP($L585,Data_Validation!$A:$D,3,0)</f>
        <v>Service</v>
      </c>
      <c r="V585" s="152" t="str">
        <f>+VLOOKUP($L585,Data_Validation!$A:$D,4,0)</f>
        <v>Taxes d`affaires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1678</v>
      </c>
      <c r="B586" s="685" t="s">
        <v>835</v>
      </c>
      <c r="C586" s="687">
        <v>3263.94</v>
      </c>
      <c r="D586" s="687">
        <v>525.85</v>
      </c>
      <c r="E586" s="687">
        <v>3789.79</v>
      </c>
      <c r="F586" s="685" t="s">
        <v>2228</v>
      </c>
      <c r="G586" s="685" t="s">
        <v>2272</v>
      </c>
      <c r="H586" s="641" t="s">
        <v>3074</v>
      </c>
      <c r="I586" s="640"/>
      <c r="J586" s="640"/>
      <c r="K586" s="640"/>
      <c r="L586" s="149" t="str">
        <f t="shared" si="45"/>
        <v>89G</v>
      </c>
      <c r="M586" s="150" t="str">
        <f t="shared" si="46"/>
        <v>TAXES &amp; PERMIS - PIECE BMW</v>
      </c>
      <c r="N586" s="151">
        <f>+IF(OR($Q586=Parametres!$G$2,$Q586=Parametres!$G$3),I586,C586)</f>
        <v>3263.94</v>
      </c>
      <c r="O586" s="151">
        <f>+IF(OR($Q586=Parametres!$G$2,$Q586=Parametres!$G$3),J586,D586)</f>
        <v>525.85</v>
      </c>
      <c r="P586" s="151">
        <f>+IF(OR($Q586=Parametres!$G$2,$Q586=Parametres!$G$3),K586,E586)</f>
        <v>3789.79</v>
      </c>
      <c r="Q586" s="150" t="str">
        <f t="shared" si="47"/>
        <v>7-Dépenses</v>
      </c>
      <c r="R586" s="149" t="str">
        <f t="shared" si="48"/>
        <v>89</v>
      </c>
      <c r="S586" s="150" t="str">
        <f t="shared" si="49"/>
        <v>_</v>
      </c>
      <c r="T586" s="152" t="str">
        <f>+VLOOKUP($L586,Data_Validation!$A:$D,1,0)</f>
        <v>89G</v>
      </c>
      <c r="U586" s="152" t="str">
        <f>+VLOOKUP($L586,Data_Validation!$A:$D,3,0)</f>
        <v>pièces</v>
      </c>
      <c r="V586" s="152" t="str">
        <f>+VLOOKUP($L586,Data_Validation!$A:$D,4,0)</f>
        <v>Taxes d`affaires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1183</v>
      </c>
      <c r="B587" s="685" t="s">
        <v>687</v>
      </c>
      <c r="C587" s="687">
        <v>2700</v>
      </c>
      <c r="D587" s="687">
        <v>450</v>
      </c>
      <c r="E587" s="687">
        <v>3150</v>
      </c>
      <c r="F587" s="685" t="s">
        <v>2228</v>
      </c>
      <c r="G587" s="685" t="s">
        <v>2289</v>
      </c>
      <c r="H587" s="641" t="s">
        <v>3074</v>
      </c>
      <c r="I587" s="640"/>
      <c r="J587" s="640"/>
      <c r="K587" s="640"/>
      <c r="L587" s="149" t="str">
        <f t="shared" si="45"/>
        <v>90E</v>
      </c>
      <c r="M587" s="150" t="str">
        <f t="shared" si="46"/>
        <v>REP. EQUIPEMENT - SERV. BMW</v>
      </c>
      <c r="N587" s="151">
        <f>+IF(OR($Q587=Parametres!$G$2,$Q587=Parametres!$G$3),I587,C587)</f>
        <v>2700</v>
      </c>
      <c r="O587" s="151">
        <f>+IF(OR($Q587=Parametres!$G$2,$Q587=Parametres!$G$3),J587,D587)</f>
        <v>450</v>
      </c>
      <c r="P587" s="151">
        <f>+IF(OR($Q587=Parametres!$G$2,$Q587=Parametres!$G$3),K587,E587)</f>
        <v>3150</v>
      </c>
      <c r="Q587" s="150" t="str">
        <f t="shared" si="47"/>
        <v>7-Dépenses</v>
      </c>
      <c r="R587" s="149" t="str">
        <f t="shared" si="48"/>
        <v>90</v>
      </c>
      <c r="S587" s="150" t="str">
        <f t="shared" si="49"/>
        <v>_</v>
      </c>
      <c r="T587" s="152" t="str">
        <f>+VLOOKUP($L587,Data_Validation!$A:$D,1,0)</f>
        <v>90E</v>
      </c>
      <c r="U587" s="152" t="str">
        <f>+VLOOKUP($L587,Data_Validation!$A:$D,3,0)</f>
        <v>Service</v>
      </c>
      <c r="V587" s="152" t="str">
        <f>+VLOOKUP($L587,Data_Validation!$A:$D,4,0)</f>
        <v>Réparation équipement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1175</v>
      </c>
      <c r="B588" s="685" t="s">
        <v>894</v>
      </c>
      <c r="C588" s="687">
        <v>5260.2</v>
      </c>
      <c r="D588" s="687">
        <v>876.7</v>
      </c>
      <c r="E588" s="687">
        <v>6136.9</v>
      </c>
      <c r="F588" s="685" t="s">
        <v>2228</v>
      </c>
      <c r="G588" s="685" t="s">
        <v>2277</v>
      </c>
      <c r="H588" s="641" t="s">
        <v>3074</v>
      </c>
      <c r="I588" s="640"/>
      <c r="J588" s="640"/>
      <c r="K588" s="640"/>
      <c r="L588" s="149" t="str">
        <f t="shared" si="45"/>
        <v>91A</v>
      </c>
      <c r="M588" s="150" t="str">
        <f t="shared" si="46"/>
        <v>DEPREC. EQUIP. - NEUF BMW</v>
      </c>
      <c r="N588" s="151">
        <f>+IF(OR($Q588=Parametres!$G$2,$Q588=Parametres!$G$3),I588,C588)</f>
        <v>5260.2</v>
      </c>
      <c r="O588" s="151">
        <f>+IF(OR($Q588=Parametres!$G$2,$Q588=Parametres!$G$3),J588,D588)</f>
        <v>876.7</v>
      </c>
      <c r="P588" s="151">
        <f>+IF(OR($Q588=Parametres!$G$2,$Q588=Parametres!$G$3),K588,E588)</f>
        <v>6136.9</v>
      </c>
      <c r="Q588" s="150" t="str">
        <f t="shared" si="47"/>
        <v>7-Dépenses</v>
      </c>
      <c r="R588" s="149" t="str">
        <f t="shared" si="48"/>
        <v>91</v>
      </c>
      <c r="S588" s="150" t="str">
        <f t="shared" si="49"/>
        <v>_</v>
      </c>
      <c r="T588" s="152" t="str">
        <f>+VLOOKUP($L588,Data_Validation!$A:$D,1,0)</f>
        <v>91A</v>
      </c>
      <c r="U588" s="152" t="str">
        <f>+VLOOKUP($L588,Data_Validation!$A:$D,3,0)</f>
        <v>Véhicules neufs</v>
      </c>
      <c r="V588" s="152" t="str">
        <f>+VLOOKUP($L588,Data_Validation!$A:$D,4,0)</f>
        <v>amortissement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1214</v>
      </c>
      <c r="B589" s="685" t="s">
        <v>836</v>
      </c>
      <c r="C589" s="687">
        <v>1972.56</v>
      </c>
      <c r="D589" s="687">
        <v>328.76</v>
      </c>
      <c r="E589" s="687">
        <v>2301.3200000000002</v>
      </c>
      <c r="F589" s="685" t="s">
        <v>2228</v>
      </c>
      <c r="G589" s="685" t="s">
        <v>2277</v>
      </c>
      <c r="H589" s="641" t="s">
        <v>3074</v>
      </c>
      <c r="I589" s="640"/>
      <c r="J589" s="640"/>
      <c r="K589" s="640"/>
      <c r="L589" s="149" t="str">
        <f t="shared" si="45"/>
        <v>91C</v>
      </c>
      <c r="M589" s="150" t="str">
        <f t="shared" si="46"/>
        <v>DEPREC. EQUIP. - USAGE BMW</v>
      </c>
      <c r="N589" s="151">
        <f>+IF(OR($Q589=Parametres!$G$2,$Q589=Parametres!$G$3),I589,C589)</f>
        <v>1972.56</v>
      </c>
      <c r="O589" s="151">
        <f>+IF(OR($Q589=Parametres!$G$2,$Q589=Parametres!$G$3),J589,D589)</f>
        <v>328.76</v>
      </c>
      <c r="P589" s="151">
        <f>+IF(OR($Q589=Parametres!$G$2,$Q589=Parametres!$G$3),K589,E589)</f>
        <v>2301.3200000000002</v>
      </c>
      <c r="Q589" s="150" t="str">
        <f t="shared" si="47"/>
        <v>7-Dépenses</v>
      </c>
      <c r="R589" s="149" t="str">
        <f t="shared" si="48"/>
        <v>91</v>
      </c>
      <c r="S589" s="150" t="str">
        <f t="shared" si="49"/>
        <v>_</v>
      </c>
      <c r="T589" s="152" t="str">
        <f>+VLOOKUP($L589,Data_Validation!$A:$D,1,0)</f>
        <v>91C</v>
      </c>
      <c r="U589" s="152" t="str">
        <f>+VLOOKUP($L589,Data_Validation!$A:$D,3,0)</f>
        <v>Véhicules usagés</v>
      </c>
      <c r="V589" s="152" t="str">
        <f>+VLOOKUP($L589,Data_Validation!$A:$D,4,0)</f>
        <v>amortissement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1173</v>
      </c>
      <c r="B590" s="685" t="s">
        <v>944</v>
      </c>
      <c r="C590" s="1038">
        <v>14539.14</v>
      </c>
      <c r="D590" s="1038">
        <v>2423.19</v>
      </c>
      <c r="E590" s="1038">
        <v>16962.330000000002</v>
      </c>
      <c r="F590" s="685" t="s">
        <v>2228</v>
      </c>
      <c r="G590" s="685" t="s">
        <v>2277</v>
      </c>
      <c r="H590" s="686" t="s">
        <v>3074</v>
      </c>
      <c r="I590" s="687"/>
      <c r="J590" s="687"/>
      <c r="K590" s="687"/>
      <c r="L590" s="149" t="str">
        <f t="shared" si="45"/>
        <v>91E</v>
      </c>
      <c r="M590" s="150" t="str">
        <f t="shared" si="46"/>
        <v>DEPREC. EQUIP. - SERV. BMW</v>
      </c>
      <c r="N590" s="151">
        <f>+IF(OR($Q590=Parametres!$G$2,$Q590=Parametres!$G$3),I590,C590)</f>
        <v>14539.14</v>
      </c>
      <c r="O590" s="496">
        <f>+IF(OR($Q590=Parametres!$G$2,$Q590=Parametres!$G$3),J590,D590)</f>
        <v>2423.19</v>
      </c>
      <c r="P590" s="151">
        <f>+IF(OR($Q590=Parametres!$G$2,$Q590=Parametres!$G$3),K590,E590)</f>
        <v>16962.330000000002</v>
      </c>
      <c r="Q590" s="150" t="str">
        <f t="shared" si="47"/>
        <v>7-Dépenses</v>
      </c>
      <c r="R590" s="149" t="str">
        <f t="shared" si="48"/>
        <v>91</v>
      </c>
      <c r="S590" s="150" t="str">
        <f t="shared" si="49"/>
        <v>_</v>
      </c>
      <c r="T590" s="152" t="str">
        <f>+VLOOKUP($L590,Data_Validation!$A:$D,1,0)</f>
        <v>91E</v>
      </c>
      <c r="U590" s="152" t="str">
        <f>+VLOOKUP($L590,Data_Validation!$A:$D,3,0)</f>
        <v>Service</v>
      </c>
      <c r="V590" s="152" t="str">
        <f>+VLOOKUP($L590,Data_Validation!$A:$D,4,0)</f>
        <v>amortissement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1188</v>
      </c>
      <c r="B591" s="685" t="s">
        <v>866</v>
      </c>
      <c r="C591" s="1038">
        <v>2694.6</v>
      </c>
      <c r="D591" s="1038">
        <v>449.1</v>
      </c>
      <c r="E591" s="1038">
        <v>3143.7</v>
      </c>
      <c r="F591" s="685" t="s">
        <v>2228</v>
      </c>
      <c r="G591" s="685" t="s">
        <v>2277</v>
      </c>
      <c r="H591" s="686" t="s">
        <v>3074</v>
      </c>
      <c r="I591" s="687"/>
      <c r="J591" s="687"/>
      <c r="K591" s="687"/>
      <c r="L591" s="149" t="str">
        <f t="shared" si="45"/>
        <v>91G</v>
      </c>
      <c r="M591" s="150" t="str">
        <f t="shared" si="46"/>
        <v>DEPREC. EQUIP. - PIECE BMW</v>
      </c>
      <c r="N591" s="151">
        <f>+IF(OR($Q591=Parametres!$G$2,$Q591=Parametres!$G$3),I591,C591)</f>
        <v>2694.6</v>
      </c>
      <c r="O591" s="497">
        <f>+IF(OR($Q591=Parametres!$G$2,$Q591=Parametres!$G$3),J591,D591)</f>
        <v>449.1</v>
      </c>
      <c r="P591" s="151">
        <f>+IF(OR($Q591=Parametres!$G$2,$Q591=Parametres!$G$3),K591,E591)</f>
        <v>3143.7</v>
      </c>
      <c r="Q591" s="150" t="str">
        <f t="shared" si="47"/>
        <v>7-Dépenses</v>
      </c>
      <c r="R591" s="149" t="str">
        <f t="shared" si="48"/>
        <v>91</v>
      </c>
      <c r="S591" s="150" t="str">
        <f t="shared" si="49"/>
        <v>_</v>
      </c>
      <c r="T591" s="152" t="str">
        <f>+VLOOKUP($L591,Data_Validation!$A:$D,1,0)</f>
        <v>91G</v>
      </c>
      <c r="U591" s="152" t="str">
        <f>+VLOOKUP($L591,Data_Validation!$A:$D,3,0)</f>
        <v>pièces</v>
      </c>
      <c r="V591" s="152" t="str">
        <f>+VLOOKUP($L591,Data_Validation!$A:$D,4,0)</f>
        <v>amortissement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1615</v>
      </c>
      <c r="B592" s="685" t="s">
        <v>789</v>
      </c>
      <c r="C592" s="1038">
        <v>433.6</v>
      </c>
      <c r="D592" s="1038">
        <v>65.599999999999994</v>
      </c>
      <c r="E592" s="1038">
        <v>499.2</v>
      </c>
      <c r="F592" s="685" t="s">
        <v>2228</v>
      </c>
      <c r="G592" s="685" t="s">
        <v>2260</v>
      </c>
      <c r="H592" s="686" t="s">
        <v>3074</v>
      </c>
      <c r="I592" s="687"/>
      <c r="J592" s="687"/>
      <c r="K592" s="687"/>
      <c r="L592" s="149" t="str">
        <f t="shared" si="45"/>
        <v>92A</v>
      </c>
      <c r="M592" s="150" t="str">
        <f t="shared" si="46"/>
        <v>LOCATION EQUIP. - NEUF BMW</v>
      </c>
      <c r="N592" s="151">
        <f>+IF(OR($Q592=Parametres!$G$2,$Q592=Parametres!$G$3),I592,C592)</f>
        <v>433.6</v>
      </c>
      <c r="O592" s="496">
        <f>+IF(OR($Q592=Parametres!$G$2,$Q592=Parametres!$G$3),J592,D592)</f>
        <v>65.599999999999994</v>
      </c>
      <c r="P592" s="151">
        <f>+IF(OR($Q592=Parametres!$G$2,$Q592=Parametres!$G$3),K592,E592)</f>
        <v>499.2</v>
      </c>
      <c r="Q592" s="150" t="str">
        <f t="shared" si="47"/>
        <v>7-Dépenses</v>
      </c>
      <c r="R592" s="149" t="str">
        <f t="shared" si="48"/>
        <v>92</v>
      </c>
      <c r="S592" s="150" t="str">
        <f t="shared" si="49"/>
        <v>_</v>
      </c>
      <c r="T592" s="152" t="str">
        <f>+VLOOKUP($L592,Data_Validation!$A:$D,1,0)</f>
        <v>92A</v>
      </c>
      <c r="U592" s="152" t="str">
        <f>+VLOOKUP($L592,Data_Validation!$A:$D,3,0)</f>
        <v>Véhicules neufs</v>
      </c>
      <c r="V592" s="152" t="str">
        <f>+VLOOKUP($L592,Data_Validation!$A:$D,4,0)</f>
        <v>Location équipement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1607</v>
      </c>
      <c r="B593" s="685" t="s">
        <v>771</v>
      </c>
      <c r="C593" s="1038">
        <v>162.6</v>
      </c>
      <c r="D593" s="1038">
        <v>24.6</v>
      </c>
      <c r="E593" s="1038">
        <v>187.2</v>
      </c>
      <c r="F593" s="685" t="s">
        <v>2228</v>
      </c>
      <c r="G593" s="685" t="s">
        <v>2260</v>
      </c>
      <c r="H593" s="686" t="s">
        <v>3074</v>
      </c>
      <c r="I593" s="687"/>
      <c r="J593" s="687"/>
      <c r="K593" s="687"/>
      <c r="L593" s="149" t="str">
        <f t="shared" si="45"/>
        <v>92C</v>
      </c>
      <c r="M593" s="150" t="str">
        <f t="shared" si="46"/>
        <v>LOCATION EQUIP. - USAGE BMW</v>
      </c>
      <c r="N593" s="151">
        <f>+IF(OR($Q593=Parametres!$G$2,$Q593=Parametres!$G$3),I593,C593)</f>
        <v>162.6</v>
      </c>
      <c r="O593" s="497">
        <f>+IF(OR($Q593=Parametres!$G$2,$Q593=Parametres!$G$3),J593,D593)</f>
        <v>24.6</v>
      </c>
      <c r="P593" s="151">
        <f>+IF(OR($Q593=Parametres!$G$2,$Q593=Parametres!$G$3),K593,E593)</f>
        <v>187.2</v>
      </c>
      <c r="Q593" s="150" t="str">
        <f t="shared" si="47"/>
        <v>7-Dépenses</v>
      </c>
      <c r="R593" s="149" t="str">
        <f t="shared" si="48"/>
        <v>92</v>
      </c>
      <c r="S593" s="150" t="str">
        <f t="shared" si="49"/>
        <v>_</v>
      </c>
      <c r="T593" s="152" t="str">
        <f>+VLOOKUP($L593,Data_Validation!$A:$D,1,0)</f>
        <v>92C</v>
      </c>
      <c r="U593" s="152" t="str">
        <f>+VLOOKUP($L593,Data_Validation!$A:$D,3,0)</f>
        <v>Véhicules usagés</v>
      </c>
      <c r="V593" s="152" t="str">
        <f>+VLOOKUP($L593,Data_Validation!$A:$D,4,0)</f>
        <v>Location équipement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1611</v>
      </c>
      <c r="B594" s="685" t="s">
        <v>775</v>
      </c>
      <c r="C594" s="687">
        <v>1304.5999999999999</v>
      </c>
      <c r="D594" s="687">
        <v>623.32000000000005</v>
      </c>
      <c r="E594" s="687">
        <v>1927.92</v>
      </c>
      <c r="F594" s="685" t="s">
        <v>2228</v>
      </c>
      <c r="G594" s="685" t="s">
        <v>2260</v>
      </c>
      <c r="H594" s="641" t="s">
        <v>3074</v>
      </c>
      <c r="I594" s="640"/>
      <c r="J594" s="640"/>
      <c r="K594" s="640"/>
      <c r="L594" s="149" t="str">
        <f t="shared" si="45"/>
        <v>92E</v>
      </c>
      <c r="M594" s="150" t="str">
        <f t="shared" si="46"/>
        <v>LOCATION EQUIP. - SERV. BMW</v>
      </c>
      <c r="N594" s="151">
        <f>+IF(OR($Q594=Parametres!$G$2,$Q594=Parametres!$G$3),I594,C594)</f>
        <v>1304.5999999999999</v>
      </c>
      <c r="O594" s="151">
        <f>+IF(OR($Q594=Parametres!$G$2,$Q594=Parametres!$G$3),J594,D594)</f>
        <v>623.32000000000005</v>
      </c>
      <c r="P594" s="151">
        <f>+IF(OR($Q594=Parametres!$G$2,$Q594=Parametres!$G$3),K594,E594)</f>
        <v>1927.92</v>
      </c>
      <c r="Q594" s="150" t="str">
        <f t="shared" si="47"/>
        <v>7-Dépenses</v>
      </c>
      <c r="R594" s="149" t="str">
        <f t="shared" si="48"/>
        <v>92</v>
      </c>
      <c r="S594" s="150" t="str">
        <f t="shared" si="49"/>
        <v>_</v>
      </c>
      <c r="T594" s="152" t="str">
        <f>+VLOOKUP($L594,Data_Validation!$A:$D,1,0)</f>
        <v>92E</v>
      </c>
      <c r="U594" s="152" t="str">
        <f>+VLOOKUP($L594,Data_Validation!$A:$D,3,0)</f>
        <v>Service</v>
      </c>
      <c r="V594" s="152" t="str">
        <f>+VLOOKUP($L594,Data_Validation!$A:$D,4,0)</f>
        <v>Location équipement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1610</v>
      </c>
      <c r="B595" s="685" t="s">
        <v>774</v>
      </c>
      <c r="C595" s="687">
        <v>216.8</v>
      </c>
      <c r="D595" s="687">
        <v>32.799999999999997</v>
      </c>
      <c r="E595" s="687">
        <v>249.6</v>
      </c>
      <c r="F595" s="685" t="s">
        <v>2228</v>
      </c>
      <c r="G595" s="685" t="s">
        <v>2260</v>
      </c>
      <c r="H595" s="641" t="s">
        <v>3074</v>
      </c>
      <c r="I595" s="640"/>
      <c r="J595" s="640"/>
      <c r="K595" s="640"/>
      <c r="L595" s="149" t="str">
        <f t="shared" si="45"/>
        <v>92G</v>
      </c>
      <c r="M595" s="150" t="str">
        <f t="shared" si="46"/>
        <v>LOCATION EQUIP. - PIECE BMW</v>
      </c>
      <c r="N595" s="151">
        <f>+IF(OR($Q595=Parametres!$G$2,$Q595=Parametres!$G$3),I595,C595)</f>
        <v>216.8</v>
      </c>
      <c r="O595" s="151">
        <f>+IF(OR($Q595=Parametres!$G$2,$Q595=Parametres!$G$3),J595,D595)</f>
        <v>32.799999999999997</v>
      </c>
      <c r="P595" s="151">
        <f>+IF(OR($Q595=Parametres!$G$2,$Q595=Parametres!$G$3),K595,E595)</f>
        <v>249.6</v>
      </c>
      <c r="Q595" s="150" t="str">
        <f t="shared" si="47"/>
        <v>7-Dépenses</v>
      </c>
      <c r="R595" s="149" t="str">
        <f t="shared" si="48"/>
        <v>92</v>
      </c>
      <c r="S595" s="150" t="str">
        <f t="shared" si="49"/>
        <v>_</v>
      </c>
      <c r="T595" s="152" t="str">
        <f>+VLOOKUP($L595,Data_Validation!$A:$D,1,0)</f>
        <v>92G</v>
      </c>
      <c r="U595" s="152" t="str">
        <f>+VLOOKUP($L595,Data_Validation!$A:$D,3,0)</f>
        <v>pièces</v>
      </c>
      <c r="V595" s="152" t="str">
        <f>+VLOOKUP($L595,Data_Validation!$A:$D,4,0)</f>
        <v>Location équipement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1478</v>
      </c>
      <c r="B596" s="685" t="s">
        <v>1479</v>
      </c>
      <c r="C596" s="687">
        <v>0</v>
      </c>
      <c r="D596" s="687">
        <v>-229.58</v>
      </c>
      <c r="E596" s="687">
        <v>-229.58</v>
      </c>
      <c r="F596" s="685" t="s">
        <v>2229</v>
      </c>
      <c r="G596" s="685" t="s">
        <v>1479</v>
      </c>
      <c r="H596" s="593" t="s">
        <v>3074</v>
      </c>
      <c r="I596" s="153"/>
      <c r="J596" s="153"/>
      <c r="K596" s="153"/>
      <c r="L596" s="149" t="str">
        <f t="shared" si="45"/>
        <v>801</v>
      </c>
      <c r="M596" s="150" t="str">
        <f t="shared" si="46"/>
        <v>INTERETS GAGNES</v>
      </c>
      <c r="N596" s="151">
        <f>+IF(OR($Q596=Parametres!$G$2,$Q596=Parametres!$G$3),I596,C596)</f>
        <v>0</v>
      </c>
      <c r="O596" s="151">
        <f>+IF(OR($Q596=Parametres!$G$2,$Q596=Parametres!$G$3),J596,D596)</f>
        <v>-229.58</v>
      </c>
      <c r="P596" s="151">
        <f>+IF(OR($Q596=Parametres!$G$2,$Q596=Parametres!$G$3),K596,E596)</f>
        <v>-229.58</v>
      </c>
      <c r="Q596" s="150" t="str">
        <f t="shared" si="47"/>
        <v>8-Autres revenus</v>
      </c>
      <c r="R596" s="149" t="str">
        <f t="shared" si="48"/>
        <v>801</v>
      </c>
      <c r="S596" s="150" t="str">
        <f t="shared" si="49"/>
        <v>_</v>
      </c>
      <c r="T596" s="152" t="str">
        <f>+VLOOKUP($L596,Data_Validation!$A:$D,1,0)</f>
        <v>801</v>
      </c>
      <c r="U596" s="152" t="str">
        <f>+VLOOKUP($L596,Data_Validation!$A:$D,3,0)</f>
        <v>TOTAL  DES  REVENUS  ET  DÉPENSES</v>
      </c>
      <c r="V596" s="152" t="str">
        <f>+VLOOKUP($L596,Data_Validation!$A:$D,4,0)</f>
        <v>Revenus autres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138</v>
      </c>
      <c r="B597" s="685" t="s">
        <v>430</v>
      </c>
      <c r="C597" s="687">
        <v>-47357.36</v>
      </c>
      <c r="D597" s="687">
        <v>-1303.95</v>
      </c>
      <c r="E597" s="687">
        <v>-48661.31</v>
      </c>
      <c r="F597" s="685" t="s">
        <v>2229</v>
      </c>
      <c r="G597" s="685" t="s">
        <v>430</v>
      </c>
      <c r="H597" s="686" t="s">
        <v>3074</v>
      </c>
      <c r="I597" s="686"/>
      <c r="J597" s="686"/>
      <c r="K597" s="686"/>
      <c r="L597" s="149" t="str">
        <f t="shared" si="45"/>
        <v>805</v>
      </c>
      <c r="M597" s="150" t="str">
        <f t="shared" si="46"/>
        <v>AUTRES REVENUS</v>
      </c>
      <c r="N597" s="151">
        <f>+IF(OR($Q597=Parametres!$G$2,$Q597=Parametres!$G$3),I597,C597)</f>
        <v>-47357.36</v>
      </c>
      <c r="O597" s="151">
        <f>+IF(OR($Q597=Parametres!$G$2,$Q597=Parametres!$G$3),J597,D597)</f>
        <v>-1303.95</v>
      </c>
      <c r="P597" s="151">
        <f>+IF(OR($Q597=Parametres!$G$2,$Q597=Parametres!$G$3),K597,E597)</f>
        <v>-48661.31</v>
      </c>
      <c r="Q597" s="150" t="str">
        <f t="shared" si="47"/>
        <v>8-Autres revenus</v>
      </c>
      <c r="R597" s="149" t="str">
        <f t="shared" si="48"/>
        <v>805</v>
      </c>
      <c r="S597" s="150" t="str">
        <f t="shared" si="49"/>
        <v>_</v>
      </c>
      <c r="T597" s="152" t="str">
        <f>+VLOOKUP($L597,Data_Validation!$A:$D,1,0)</f>
        <v>805</v>
      </c>
      <c r="U597" s="152" t="str">
        <f>+VLOOKUP($L597,Data_Validation!$A:$D,3,0)</f>
        <v>TOTAL  DES  REVENUS  ET  DÉPENSES</v>
      </c>
      <c r="V597" s="152" t="str">
        <f>+VLOOKUP($L597,Data_Validation!$A:$D,4,0)</f>
        <v>Revenus autres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1123</v>
      </c>
      <c r="B598" s="685" t="s">
        <v>440</v>
      </c>
      <c r="C598" s="687">
        <v>-87465</v>
      </c>
      <c r="D598" s="687">
        <v>-14280</v>
      </c>
      <c r="E598" s="687">
        <v>-101745</v>
      </c>
      <c r="F598" s="685" t="s">
        <v>2229</v>
      </c>
      <c r="G598" s="685" t="s">
        <v>2299</v>
      </c>
      <c r="H598" s="686" t="s">
        <v>3074</v>
      </c>
      <c r="I598" s="686"/>
      <c r="J598" s="686"/>
      <c r="K598" s="686"/>
      <c r="L598" s="149" t="str">
        <f t="shared" si="45"/>
        <v>806A</v>
      </c>
      <c r="M598" s="150" t="str">
        <f t="shared" si="46"/>
        <v>FRAIS D'ADMINISTRATION NEUF</v>
      </c>
      <c r="N598" s="151">
        <f>+IF(OR($Q598=Parametres!$G$2,$Q598=Parametres!$G$3),I598,C598)</f>
        <v>-87465</v>
      </c>
      <c r="O598" s="496">
        <f>+IF(OR($Q598=Parametres!$G$2,$Q598=Parametres!$G$3),J598,D598)</f>
        <v>-14280</v>
      </c>
      <c r="P598" s="151">
        <f>+IF(OR($Q598=Parametres!$G$2,$Q598=Parametres!$G$3),K598,E598)</f>
        <v>-101745</v>
      </c>
      <c r="Q598" s="150" t="str">
        <f t="shared" si="47"/>
        <v>8-Autres revenus</v>
      </c>
      <c r="R598" s="149" t="str">
        <f t="shared" si="48"/>
        <v>806</v>
      </c>
      <c r="S598" s="150" t="str">
        <f t="shared" si="49"/>
        <v>_</v>
      </c>
      <c r="T598" s="152" t="str">
        <f>+VLOOKUP($L598,Data_Validation!$A:$D,1,0)</f>
        <v>806A</v>
      </c>
      <c r="U598" s="152" t="str">
        <f>+VLOOKUP($L598,Data_Validation!$A:$D,3,0)</f>
        <v>Véhicules neufs</v>
      </c>
      <c r="V598" s="152" t="str">
        <f>+VLOOKUP($L598,Data_Validation!$A:$D,4,0)</f>
        <v>Frais administration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1144</v>
      </c>
      <c r="B599" s="685" t="s">
        <v>447</v>
      </c>
      <c r="C599" s="687">
        <v>-60095</v>
      </c>
      <c r="D599" s="687">
        <v>-16660</v>
      </c>
      <c r="E599" s="687">
        <v>-76755</v>
      </c>
      <c r="F599" s="685" t="s">
        <v>2229</v>
      </c>
      <c r="G599" s="685" t="s">
        <v>2299</v>
      </c>
      <c r="H599" s="686" t="s">
        <v>3074</v>
      </c>
      <c r="I599" s="686"/>
      <c r="J599" s="686"/>
      <c r="K599" s="686"/>
      <c r="L599" s="149" t="str">
        <f t="shared" si="45"/>
        <v>806C</v>
      </c>
      <c r="M599" s="150" t="str">
        <f t="shared" si="46"/>
        <v>FRAIS ADMINISTRATION USAGE</v>
      </c>
      <c r="N599" s="151">
        <f>+IF(OR($Q599=Parametres!$G$2,$Q599=Parametres!$G$3),I599,C599)</f>
        <v>-60095</v>
      </c>
      <c r="O599" s="151">
        <f>+IF(OR($Q599=Parametres!$G$2,$Q599=Parametres!$G$3),J599,D599)</f>
        <v>-16660</v>
      </c>
      <c r="P599" s="151">
        <f>+IF(OR($Q599=Parametres!$G$2,$Q599=Parametres!$G$3),K599,E599)</f>
        <v>-76755</v>
      </c>
      <c r="Q599" s="150" t="str">
        <f t="shared" si="47"/>
        <v>8-Autres revenus</v>
      </c>
      <c r="R599" s="149" t="str">
        <f t="shared" si="48"/>
        <v>806</v>
      </c>
      <c r="S599" s="150" t="str">
        <f t="shared" si="49"/>
        <v>_</v>
      </c>
      <c r="T599" s="152" t="str">
        <f>+VLOOKUP($L599,Data_Validation!$A:$D,1,0)</f>
        <v>806C</v>
      </c>
      <c r="U599" s="152" t="str">
        <f>+VLOOKUP($L599,Data_Validation!$A:$D,3,0)</f>
        <v>Véhicules usagés</v>
      </c>
      <c r="V599" s="152" t="str">
        <f>+VLOOKUP($L599,Data_Validation!$A:$D,4,0)</f>
        <v>Frais administration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1106</v>
      </c>
      <c r="B600" s="685" t="s">
        <v>433</v>
      </c>
      <c r="C600" s="687">
        <v>-151554.04</v>
      </c>
      <c r="D600" s="687">
        <v>-22650.09</v>
      </c>
      <c r="E600" s="687">
        <v>-174204.13</v>
      </c>
      <c r="F600" s="685" t="s">
        <v>2229</v>
      </c>
      <c r="G600" s="685" t="s">
        <v>2298</v>
      </c>
      <c r="H600" s="593" t="s">
        <v>3074</v>
      </c>
      <c r="I600" s="153"/>
      <c r="J600" s="153"/>
      <c r="K600" s="153"/>
      <c r="L600" s="149" t="str">
        <f t="shared" si="45"/>
        <v>814A</v>
      </c>
      <c r="M600" s="150" t="str">
        <f t="shared" si="46"/>
        <v>MSP - BMW</v>
      </c>
      <c r="N600" s="151">
        <f>+IF(OR($Q600=Parametres!$G$2,$Q600=Parametres!$G$3),I600,C600)</f>
        <v>-151554.04</v>
      </c>
      <c r="O600" s="151">
        <f>+IF(OR($Q600=Parametres!$G$2,$Q600=Parametres!$G$3),J600,D600)</f>
        <v>-22650.09</v>
      </c>
      <c r="P600" s="151">
        <f>+IF(OR($Q600=Parametres!$G$2,$Q600=Parametres!$G$3),K600,E600)</f>
        <v>-174204.13</v>
      </c>
      <c r="Q600" s="150" t="str">
        <f t="shared" si="47"/>
        <v>8-Autres revenus</v>
      </c>
      <c r="R600" s="149" t="str">
        <f t="shared" si="48"/>
        <v>814</v>
      </c>
      <c r="S600" s="150" t="str">
        <f t="shared" si="49"/>
        <v>_</v>
      </c>
      <c r="T600" s="152" t="str">
        <f>+VLOOKUP($L600,Data_Validation!$A:$D,1,0)</f>
        <v>814A</v>
      </c>
      <c r="U600" s="152" t="str">
        <f>+VLOOKUP($L600,Data_Validation!$A:$D,3,0)</f>
        <v>TOTAL  DES  REVENUS  ET  DÉPENSES</v>
      </c>
      <c r="V600" s="152" t="str">
        <f>+VLOOKUP($L600,Data_Validation!$A:$D,4,0)</f>
        <v>Facility Fund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1098</v>
      </c>
      <c r="B601" s="685" t="s">
        <v>428</v>
      </c>
      <c r="C601" s="687">
        <v>-229935.92</v>
      </c>
      <c r="D601" s="687">
        <v>-35427.29</v>
      </c>
      <c r="E601" s="687">
        <v>-265363.21000000002</v>
      </c>
      <c r="F601" s="685" t="s">
        <v>2229</v>
      </c>
      <c r="G601" s="685" t="s">
        <v>428</v>
      </c>
      <c r="H601" s="593" t="s">
        <v>3074</v>
      </c>
      <c r="I601" s="153"/>
      <c r="J601" s="153"/>
      <c r="K601" s="153"/>
      <c r="L601" s="149" t="str">
        <f t="shared" si="45"/>
        <v>815</v>
      </c>
      <c r="M601" s="150" t="str">
        <f t="shared" si="46"/>
        <v>REVENU RBSC BMW</v>
      </c>
      <c r="N601" s="151">
        <f>+IF(OR($Q601=Parametres!$G$2,$Q601=Parametres!$G$3),I601,C601)</f>
        <v>-229935.92</v>
      </c>
      <c r="O601" s="496">
        <f>+IF(OR($Q601=Parametres!$G$2,$Q601=Parametres!$G$3),J601,D601)</f>
        <v>-35427.29</v>
      </c>
      <c r="P601" s="151">
        <f>+IF(OR($Q601=Parametres!$G$2,$Q601=Parametres!$G$3),K601,E601)</f>
        <v>-265363.21000000002</v>
      </c>
      <c r="Q601" s="150" t="str">
        <f t="shared" si="47"/>
        <v>8-Autres revenus</v>
      </c>
      <c r="R601" s="149" t="str">
        <f t="shared" si="48"/>
        <v>815</v>
      </c>
      <c r="S601" s="150" t="str">
        <f t="shared" si="49"/>
        <v>_</v>
      </c>
      <c r="T601" s="152" t="str">
        <f>+VLOOKUP($L601,Data_Validation!$A:$D,1,0)</f>
        <v>815</v>
      </c>
      <c r="U601" s="152" t="str">
        <f>+VLOOKUP($L601,Data_Validation!$A:$D,3,0)</f>
        <v>Véhicules neufs</v>
      </c>
      <c r="V601" s="152" t="str">
        <f>+VLOOKUP($L601,Data_Validation!$A:$D,4,0)</f>
        <v>RBSC NEUF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438</v>
      </c>
      <c r="B602" s="685" t="s">
        <v>439</v>
      </c>
      <c r="C602" s="687">
        <v>-21850</v>
      </c>
      <c r="D602" s="687">
        <v>-6800</v>
      </c>
      <c r="E602" s="687">
        <v>-28650</v>
      </c>
      <c r="F602" s="685" t="s">
        <v>2229</v>
      </c>
      <c r="G602" s="685" t="s">
        <v>428</v>
      </c>
      <c r="H602" s="686" t="s">
        <v>3074</v>
      </c>
      <c r="I602" s="686"/>
      <c r="J602" s="686"/>
      <c r="K602" s="686"/>
      <c r="L602" s="149" t="str">
        <f t="shared" si="45"/>
        <v>815C</v>
      </c>
      <c r="M602" s="150" t="str">
        <f t="shared" si="46"/>
        <v>REVENU RBSC BMW USAGE</v>
      </c>
      <c r="N602" s="151">
        <f>+IF(OR($Q602=Parametres!$G$2,$Q602=Parametres!$G$3),I602,C602)</f>
        <v>-21850</v>
      </c>
      <c r="O602" s="496">
        <f>+IF(OR($Q602=Parametres!$G$2,$Q602=Parametres!$G$3),J602,D602)</f>
        <v>-6800</v>
      </c>
      <c r="P602" s="151">
        <f>+IF(OR($Q602=Parametres!$G$2,$Q602=Parametres!$G$3),K602,E602)</f>
        <v>-28650</v>
      </c>
      <c r="Q602" s="150" t="str">
        <f t="shared" si="47"/>
        <v>8-Autres revenus</v>
      </c>
      <c r="R602" s="149" t="str">
        <f t="shared" si="48"/>
        <v>815</v>
      </c>
      <c r="S602" s="150" t="str">
        <f t="shared" si="49"/>
        <v>_</v>
      </c>
      <c r="T602" s="152" t="str">
        <f>+VLOOKUP($L602,Data_Validation!$A:$D,1,0)</f>
        <v>815C</v>
      </c>
      <c r="U602" s="152" t="str">
        <f>+VLOOKUP($L602,Data_Validation!$A:$D,3,0)</f>
        <v>Véhicules usagés</v>
      </c>
      <c r="V602" s="152" t="str">
        <f>+VLOOKUP($L602,Data_Validation!$A:$D,4,0)</f>
        <v>RBSC used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413</v>
      </c>
      <c r="B603" s="685" t="s">
        <v>414</v>
      </c>
      <c r="C603" s="687">
        <v>-25600</v>
      </c>
      <c r="D603" s="687">
        <v>3625</v>
      </c>
      <c r="E603" s="687">
        <v>-21975</v>
      </c>
      <c r="F603" s="685" t="s">
        <v>2300</v>
      </c>
      <c r="G603" s="685" t="s">
        <v>414</v>
      </c>
      <c r="H603" s="686" t="s">
        <v>3074</v>
      </c>
      <c r="I603" s="686"/>
      <c r="J603" s="686"/>
      <c r="K603" s="686"/>
      <c r="L603" s="149" t="str">
        <f t="shared" si="45"/>
        <v>817</v>
      </c>
      <c r="M603" s="150" t="str">
        <f t="shared" si="46"/>
        <v>REVENU PERFORMANCE 360</v>
      </c>
      <c r="N603" s="151">
        <f>+IF(OR($Q603=Parametres!$G$2,$Q603=Parametres!$G$3),I603,C603)</f>
        <v>-25600</v>
      </c>
      <c r="O603" s="496">
        <f>+IF(OR($Q603=Parametres!$G$2,$Q603=Parametres!$G$3),J603,D603)</f>
        <v>3625</v>
      </c>
      <c r="P603" s="151">
        <f>+IF(OR($Q603=Parametres!$G$2,$Q603=Parametres!$G$3),K603,E603)</f>
        <v>-21975</v>
      </c>
      <c r="Q603" s="150" t="str">
        <f t="shared" si="47"/>
        <v>9-Autres déductions</v>
      </c>
      <c r="R603" s="149" t="str">
        <f t="shared" si="48"/>
        <v>817</v>
      </c>
      <c r="S603" s="150" t="str">
        <f t="shared" si="49"/>
        <v>_</v>
      </c>
      <c r="T603" s="152" t="str">
        <f>+VLOOKUP($L603,Data_Validation!$A:$D,1,0)</f>
        <v>817</v>
      </c>
      <c r="U603" s="152" t="str">
        <f>+VLOOKUP($L603,Data_Validation!$A:$D,3,0)</f>
        <v>Véhicules usagés</v>
      </c>
      <c r="V603" s="152" t="str">
        <f>+VLOOKUP($L603,Data_Validation!$A:$D,4,0)</f>
        <v>Programme 360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801</v>
      </c>
      <c r="B604" s="685" t="s">
        <v>802</v>
      </c>
      <c r="C604" s="687">
        <v>34.119999999999997</v>
      </c>
      <c r="D604" s="687">
        <v>0</v>
      </c>
      <c r="E604" s="687">
        <v>34.119999999999997</v>
      </c>
      <c r="F604" s="685" t="s">
        <v>2300</v>
      </c>
      <c r="G604" s="685" t="s">
        <v>2282</v>
      </c>
      <c r="H604" s="593" t="s">
        <v>3074</v>
      </c>
      <c r="I604" s="594"/>
      <c r="J604" s="594"/>
      <c r="K604" s="594"/>
      <c r="L604" s="149" t="str">
        <f t="shared" si="45"/>
        <v>851</v>
      </c>
      <c r="M604" s="150" t="str">
        <f t="shared" si="46"/>
        <v>INTERETS PAYES</v>
      </c>
      <c r="N604" s="151">
        <f>+IF(OR($Q604=Parametres!$G$2,$Q604=Parametres!$G$3),I604,C604)</f>
        <v>34.119999999999997</v>
      </c>
      <c r="O604" s="151">
        <f>+IF(OR($Q604=Parametres!$G$2,$Q604=Parametres!$G$3),J604,D604)</f>
        <v>0</v>
      </c>
      <c r="P604" s="151">
        <f>+IF(OR($Q604=Parametres!$G$2,$Q604=Parametres!$G$3),K604,E604)</f>
        <v>34.119999999999997</v>
      </c>
      <c r="Q604" s="150" t="str">
        <f t="shared" si="47"/>
        <v>9-Autres déductions</v>
      </c>
      <c r="R604" s="149" t="str">
        <f t="shared" si="48"/>
        <v>73</v>
      </c>
      <c r="S604" s="150" t="str">
        <f t="shared" si="49"/>
        <v>_</v>
      </c>
      <c r="T604" s="152" t="str">
        <f>+VLOOKUP($L604,Data_Validation!$A:$D,1,0)</f>
        <v>851</v>
      </c>
      <c r="U604" s="152" t="str">
        <f>+VLOOKUP($L604,Data_Validation!$A:$D,3,0)</f>
        <v>TOTAL  DES  REVENUS  ET  DÉPENSES</v>
      </c>
      <c r="V604" s="152" t="str">
        <f>+VLOOKUP($L604,Data_Validation!$A:$D,4,0)</f>
        <v>Revenus autres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1480</v>
      </c>
      <c r="B605" s="685" t="s">
        <v>1481</v>
      </c>
      <c r="C605" s="687">
        <v>10</v>
      </c>
      <c r="D605" s="687">
        <v>0</v>
      </c>
      <c r="E605" s="687">
        <v>10</v>
      </c>
      <c r="F605" s="685" t="s">
        <v>2300</v>
      </c>
      <c r="G605" s="685" t="s">
        <v>1481</v>
      </c>
      <c r="H605" s="593" t="s">
        <v>3074</v>
      </c>
      <c r="I605" s="594"/>
      <c r="J605" s="594"/>
      <c r="K605" s="594"/>
      <c r="L605" s="149" t="str">
        <f t="shared" si="45"/>
        <v>855</v>
      </c>
      <c r="M605" s="150" t="str">
        <f t="shared" si="46"/>
        <v>AUTRES DEDUCTIONS</v>
      </c>
      <c r="N605" s="151">
        <f>+IF(OR($Q605=Parametres!$G$2,$Q605=Parametres!$G$3),I605,C605)</f>
        <v>10</v>
      </c>
      <c r="O605" s="151">
        <f>+IF(OR($Q605=Parametres!$G$2,$Q605=Parametres!$G$3),J605,D605)</f>
        <v>0</v>
      </c>
      <c r="P605" s="151">
        <f>+IF(OR($Q605=Parametres!$G$2,$Q605=Parametres!$G$3),K605,E605)</f>
        <v>10</v>
      </c>
      <c r="Q605" s="150" t="str">
        <f t="shared" si="47"/>
        <v>9-Autres déductions</v>
      </c>
      <c r="R605" s="149" t="str">
        <f t="shared" si="48"/>
        <v>855</v>
      </c>
      <c r="S605" s="150" t="str">
        <f t="shared" si="49"/>
        <v>_</v>
      </c>
      <c r="T605" s="152" t="str">
        <f>+VLOOKUP($L605,Data_Validation!$A:$D,1,0)</f>
        <v>855</v>
      </c>
      <c r="U605" s="152" t="str">
        <f>+VLOOKUP($L605,Data_Validation!$A:$D,3,0)</f>
        <v>TOTAL  DES  REVENUS  ET  DÉPENSES</v>
      </c>
      <c r="V605" s="152" t="str">
        <f>+VLOOKUP($L605,Data_Validation!$A:$D,4,0)</f>
        <v>Revenus autres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1482</v>
      </c>
      <c r="B606" s="685" t="s">
        <v>688</v>
      </c>
      <c r="C606" s="687"/>
      <c r="D606" s="687"/>
      <c r="E606" s="687"/>
      <c r="F606" s="685" t="s">
        <v>4</v>
      </c>
      <c r="G606" s="685" t="s">
        <v>352</v>
      </c>
      <c r="H606" s="593" t="s">
        <v>3074</v>
      </c>
      <c r="I606" s="153">
        <v>23</v>
      </c>
      <c r="J606" s="153">
        <v>4</v>
      </c>
      <c r="K606" s="153">
        <v>27</v>
      </c>
      <c r="L606" s="149" t="str">
        <f t="shared" si="45"/>
        <v>230@</v>
      </c>
      <c r="M606" s="150" t="str">
        <f t="shared" si="46"/>
        <v># DE VOITURES NEUVES BMW</v>
      </c>
      <c r="N606" s="151">
        <f>+IF(OR($Q606=Parametres!$G$2,$Q606=Parametres!$G$3),I606,C606)</f>
        <v>23</v>
      </c>
      <c r="O606" s="151">
        <f>+IF(OR($Q606=Parametres!$G$2,$Q606=Parametres!$G$3),J606,D606)</f>
        <v>4</v>
      </c>
      <c r="P606" s="151">
        <f>+IF(OR($Q606=Parametres!$G$2,$Q606=Parametres!$G$3),K606,E606)</f>
        <v>27</v>
      </c>
      <c r="Q606" s="150" t="str">
        <f t="shared" si="47"/>
        <v>10-Compte compteur</v>
      </c>
      <c r="R606" s="149" t="str">
        <f t="shared" si="48"/>
        <v>230</v>
      </c>
      <c r="S606" s="150" t="str">
        <f t="shared" si="49"/>
        <v>_</v>
      </c>
      <c r="T606" s="152" t="str">
        <f>+VLOOKUP($L606,Data_Validation!$A:$D,1,0)</f>
        <v>230@</v>
      </c>
      <c r="U606" s="152" t="str">
        <f>+VLOOKUP($L606,Data_Validation!$A:$D,3,0)</f>
        <v>Autres</v>
      </c>
      <c r="V606" s="152">
        <f>+VLOOKUP($L606,Data_Validation!$A:$D,4,0)</f>
        <v>0</v>
      </c>
      <c r="W606" s="152">
        <f>+VLOOKUP($L606,Data_Validation!$A:$E,5,0)</f>
        <v>0</v>
      </c>
      <c r="X606" s="152">
        <f>+VLOOKUP($L606,Data_Validation!$A:$F,6,0)</f>
        <v>0</v>
      </c>
    </row>
    <row r="607" spans="1:24" ht="15" customHeight="1">
      <c r="A607" s="685" t="s">
        <v>1483</v>
      </c>
      <c r="B607" s="685" t="s">
        <v>689</v>
      </c>
      <c r="C607" s="687"/>
      <c r="D607" s="687"/>
      <c r="E607" s="687"/>
      <c r="F607" s="685" t="s">
        <v>4</v>
      </c>
      <c r="G607" s="685" t="s">
        <v>382</v>
      </c>
      <c r="H607" s="641" t="s">
        <v>3074</v>
      </c>
      <c r="I607" s="640">
        <v>59</v>
      </c>
      <c r="J607" s="640">
        <v>3</v>
      </c>
      <c r="K607" s="640">
        <v>62</v>
      </c>
      <c r="L607" s="149" t="str">
        <f t="shared" si="45"/>
        <v>232@</v>
      </c>
      <c r="M607" s="150" t="str">
        <f t="shared" si="46"/>
        <v># DE CAMIONS NEUFS BMW</v>
      </c>
      <c r="N607" s="151">
        <f>+IF(OR($Q607=Parametres!$G$2,$Q607=Parametres!$G$3),I607,C607)</f>
        <v>59</v>
      </c>
      <c r="O607" s="151">
        <f>+IF(OR($Q607=Parametres!$G$2,$Q607=Parametres!$G$3),J607,D607)</f>
        <v>3</v>
      </c>
      <c r="P607" s="151">
        <f>+IF(OR($Q607=Parametres!$G$2,$Q607=Parametres!$G$3),K607,E607)</f>
        <v>62</v>
      </c>
      <c r="Q607" s="150" t="str">
        <f t="shared" si="47"/>
        <v>10-Compte compteur</v>
      </c>
      <c r="R607" s="149" t="str">
        <f t="shared" si="48"/>
        <v>232</v>
      </c>
      <c r="S607" s="150" t="str">
        <f t="shared" si="49"/>
        <v>_</v>
      </c>
      <c r="T607" s="152" t="str">
        <f>+VLOOKUP($L607,Data_Validation!$A:$D,1,0)</f>
        <v>232@</v>
      </c>
      <c r="U607" s="152" t="str">
        <f>+VLOOKUP($L607,Data_Validation!$A:$D,3,0)</f>
        <v>Autres</v>
      </c>
      <c r="V607" s="152">
        <f>+VLOOKUP($L607,Data_Validation!$A:$D,4,0)</f>
        <v>0</v>
      </c>
      <c r="W607" s="152">
        <f>+VLOOKUP($L607,Data_Validation!$A:$E,5,0)</f>
        <v>0</v>
      </c>
      <c r="X607" s="152">
        <f>+VLOOKUP($L607,Data_Validation!$A:$F,6,0)</f>
        <v>0</v>
      </c>
    </row>
    <row r="608" spans="1:24" ht="15" customHeight="1">
      <c r="A608" s="685" t="s">
        <v>1875</v>
      </c>
      <c r="B608" s="685" t="s">
        <v>1001</v>
      </c>
      <c r="C608" s="687"/>
      <c r="D608" s="687"/>
      <c r="E608" s="687"/>
      <c r="F608" s="685" t="s">
        <v>4</v>
      </c>
      <c r="G608" s="685" t="s">
        <v>353</v>
      </c>
      <c r="H608" s="641" t="s">
        <v>3074</v>
      </c>
      <c r="I608" s="640">
        <v>4</v>
      </c>
      <c r="J608" s="640">
        <v>10</v>
      </c>
      <c r="K608" s="640">
        <v>14</v>
      </c>
      <c r="L608" s="149" t="str">
        <f t="shared" si="45"/>
        <v>234@</v>
      </c>
      <c r="M608" s="150" t="str">
        <f t="shared" si="46"/>
        <v># OF INVENTAIRE VEHICULES I</v>
      </c>
      <c r="N608" s="151">
        <f>+IF(OR($Q608=Parametres!$G$2,$Q608=Parametres!$G$3),I608,C608)</f>
        <v>4</v>
      </c>
      <c r="O608" s="496">
        <f>+IF(OR($Q608=Parametres!$G$2,$Q608=Parametres!$G$3),J608,D608)</f>
        <v>10</v>
      </c>
      <c r="P608" s="151">
        <f>+IF(OR($Q608=Parametres!$G$2,$Q608=Parametres!$G$3),K608,E608)</f>
        <v>14</v>
      </c>
      <c r="Q608" s="150" t="str">
        <f t="shared" si="47"/>
        <v>10-Compte compteur</v>
      </c>
      <c r="R608" s="149" t="str">
        <f t="shared" si="48"/>
        <v>234</v>
      </c>
      <c r="S608" s="150" t="str">
        <f t="shared" si="49"/>
        <v>_</v>
      </c>
      <c r="T608" s="152" t="str">
        <f>+VLOOKUP($L608,Data_Validation!$A:$D,1,0)</f>
        <v>234@</v>
      </c>
      <c r="U608" s="152" t="str">
        <f>+VLOOKUP($L608,Data_Validation!$A:$D,3,0)</f>
        <v>Autres</v>
      </c>
      <c r="V608" s="152">
        <f>+VLOOKUP($L608,Data_Validation!$A:$D,4,0)</f>
        <v>0</v>
      </c>
      <c r="W608" s="152">
        <f>+VLOOKUP($L608,Data_Validation!$A:$E,5,0)</f>
        <v>0</v>
      </c>
      <c r="X608" s="152">
        <f>+VLOOKUP($L608,Data_Validation!$A:$F,6,0)</f>
        <v>0</v>
      </c>
    </row>
    <row r="609" spans="1:24" ht="15" customHeight="1">
      <c r="A609" s="685" t="s">
        <v>1484</v>
      </c>
      <c r="B609" s="685" t="s">
        <v>690</v>
      </c>
      <c r="C609" s="687"/>
      <c r="D609" s="687"/>
      <c r="E609" s="687"/>
      <c r="F609" s="685" t="s">
        <v>4</v>
      </c>
      <c r="G609" s="685" t="s">
        <v>408</v>
      </c>
      <c r="H609" s="686" t="s">
        <v>3074</v>
      </c>
      <c r="I609" s="686">
        <v>15</v>
      </c>
      <c r="J609" s="686">
        <v>2</v>
      </c>
      <c r="K609" s="686">
        <v>17</v>
      </c>
      <c r="L609" s="149" t="str">
        <f t="shared" si="45"/>
        <v>240A@</v>
      </c>
      <c r="M609" s="150" t="str">
        <f t="shared" si="46"/>
        <v># DE VOITURES USAGEES BMW</v>
      </c>
      <c r="N609" s="151">
        <f>+IF(OR($Q609=Parametres!$G$2,$Q609=Parametres!$G$3),I609,C609)</f>
        <v>15</v>
      </c>
      <c r="O609" s="496">
        <f>+IF(OR($Q609=Parametres!$G$2,$Q609=Parametres!$G$3),J609,D609)</f>
        <v>2</v>
      </c>
      <c r="P609" s="151">
        <f>+IF(OR($Q609=Parametres!$G$2,$Q609=Parametres!$G$3),K609,E609)</f>
        <v>17</v>
      </c>
      <c r="Q609" s="150" t="str">
        <f t="shared" si="47"/>
        <v>10-Compte compteur</v>
      </c>
      <c r="R609" s="149" t="str">
        <f t="shared" si="48"/>
        <v>240A</v>
      </c>
      <c r="S609" s="150" t="str">
        <f t="shared" si="49"/>
        <v>_</v>
      </c>
      <c r="T609" s="152" t="str">
        <f>+VLOOKUP($L609,Data_Validation!$A:$D,1,0)</f>
        <v>240A@</v>
      </c>
      <c r="U609" s="152" t="str">
        <f>+VLOOKUP($L609,Data_Validation!$A:$D,3,0)</f>
        <v>Autres</v>
      </c>
      <c r="V609" s="152">
        <f>+VLOOKUP($L609,Data_Validation!$A:$D,4,0)</f>
        <v>0</v>
      </c>
      <c r="W609" s="152">
        <f>+VLOOKUP($L609,Data_Validation!$A:$E,5,0)</f>
        <v>0</v>
      </c>
      <c r="X609" s="152">
        <f>+VLOOKUP($L609,Data_Validation!$A:$F,6,0)</f>
        <v>0</v>
      </c>
    </row>
    <row r="610" spans="1:24" ht="15" customHeight="1">
      <c r="A610" s="639" t="s">
        <v>1485</v>
      </c>
      <c r="B610" s="639" t="s">
        <v>691</v>
      </c>
      <c r="C610" s="640"/>
      <c r="D610" s="640"/>
      <c r="E610" s="640"/>
      <c r="F610" s="639" t="s">
        <v>4</v>
      </c>
      <c r="G610" s="639" t="s">
        <v>432</v>
      </c>
      <c r="H610" s="634" t="s">
        <v>3074</v>
      </c>
      <c r="I610" s="633">
        <v>25</v>
      </c>
      <c r="J610" s="633">
        <v>-7</v>
      </c>
      <c r="K610" s="633">
        <v>18</v>
      </c>
      <c r="L610" s="149" t="str">
        <f t="shared" si="45"/>
        <v>240C@</v>
      </c>
      <c r="M610" s="150" t="str">
        <f t="shared" si="46"/>
        <v># DE VEHICULES USAGES AUTRES</v>
      </c>
      <c r="N610" s="151">
        <f>+IF(OR($Q610=Parametres!$G$2,$Q610=Parametres!$G$3),I610,C610)</f>
        <v>25</v>
      </c>
      <c r="O610" s="151">
        <f>+IF(OR($Q610=Parametres!$G$2,$Q610=Parametres!$G$3),J610,D610)</f>
        <v>-7</v>
      </c>
      <c r="P610" s="151">
        <f>+IF(OR($Q610=Parametres!$G$2,$Q610=Parametres!$G$3),K610,E610)</f>
        <v>18</v>
      </c>
      <c r="Q610" s="150" t="str">
        <f t="shared" si="47"/>
        <v>10-Compte compteur</v>
      </c>
      <c r="R610" s="149" t="str">
        <f t="shared" si="48"/>
        <v>240C</v>
      </c>
      <c r="S610" s="150" t="str">
        <f t="shared" si="49"/>
        <v>_</v>
      </c>
      <c r="T610" s="152" t="str">
        <f>+VLOOKUP($L610,Data_Validation!$A:$D,1,0)</f>
        <v>240C@</v>
      </c>
      <c r="U610" s="152" t="str">
        <f>+VLOOKUP($L610,Data_Validation!$A:$D,3,0)</f>
        <v>Autres</v>
      </c>
      <c r="V610" s="152">
        <f>+VLOOKUP($L610,Data_Validation!$A:$D,4,0)</f>
        <v>0</v>
      </c>
      <c r="W610" s="152">
        <f>+VLOOKUP($L610,Data_Validation!$A:$E,5,0)</f>
        <v>0</v>
      </c>
      <c r="X610" s="152">
        <f>+VLOOKUP($L610,Data_Validation!$A:$F,6,0)</f>
        <v>0</v>
      </c>
    </row>
    <row r="611" spans="1:24" ht="15" customHeight="1">
      <c r="A611" s="639" t="s">
        <v>1486</v>
      </c>
      <c r="B611" s="639" t="s">
        <v>1035</v>
      </c>
      <c r="C611" s="640"/>
      <c r="D611" s="640"/>
      <c r="E611" s="640"/>
      <c r="F611" s="639" t="s">
        <v>4</v>
      </c>
      <c r="G611" s="639" t="s">
        <v>819</v>
      </c>
      <c r="H611" s="634" t="s">
        <v>3074</v>
      </c>
      <c r="I611" s="633">
        <v>36</v>
      </c>
      <c r="J611" s="633">
        <v>-10</v>
      </c>
      <c r="K611" s="633">
        <v>26</v>
      </c>
      <c r="L611" s="149" t="str">
        <f t="shared" si="45"/>
        <v>242A@</v>
      </c>
      <c r="M611" s="150" t="str">
        <f t="shared" si="46"/>
        <v># DE CAMIONS USAGES BMW</v>
      </c>
      <c r="N611" s="151">
        <f>+IF(OR($Q611=Parametres!$G$2,$Q611=Parametres!$G$3),I611,C611)</f>
        <v>36</v>
      </c>
      <c r="O611" s="151">
        <f>+IF(OR($Q611=Parametres!$G$2,$Q611=Parametres!$G$3),J611,D611)</f>
        <v>-10</v>
      </c>
      <c r="P611" s="151">
        <f>+IF(OR($Q611=Parametres!$G$2,$Q611=Parametres!$G$3),K611,E611)</f>
        <v>26</v>
      </c>
      <c r="Q611" s="150" t="str">
        <f t="shared" si="47"/>
        <v>10-Compte compteur</v>
      </c>
      <c r="R611" s="149" t="str">
        <f t="shared" si="48"/>
        <v>242A</v>
      </c>
      <c r="S611" s="150" t="str">
        <f t="shared" si="49"/>
        <v>_</v>
      </c>
      <c r="T611" s="152" t="str">
        <f>+VLOOKUP($L611,Data_Validation!$A:$D,1,0)</f>
        <v>242A@</v>
      </c>
      <c r="U611" s="152" t="str">
        <f>+VLOOKUP($L611,Data_Validation!$A:$D,3,0)</f>
        <v>Autres</v>
      </c>
      <c r="V611" s="152">
        <f>+VLOOKUP($L611,Data_Validation!$A:$D,4,0)</f>
        <v>0</v>
      </c>
      <c r="W611" s="152">
        <f>+VLOOKUP($L611,Data_Validation!$A:$E,5,0)</f>
        <v>0</v>
      </c>
      <c r="X611" s="152">
        <f>+VLOOKUP($L611,Data_Validation!$A:$F,6,0)</f>
        <v>0</v>
      </c>
    </row>
    <row r="612" spans="1:24" ht="15" customHeight="1">
      <c r="A612" s="639" t="s">
        <v>2924</v>
      </c>
      <c r="B612" s="639" t="s">
        <v>2925</v>
      </c>
      <c r="C612" s="640"/>
      <c r="D612" s="640"/>
      <c r="E612" s="640"/>
      <c r="F612" s="639" t="s">
        <v>4</v>
      </c>
      <c r="G612" s="639" t="s">
        <v>2921</v>
      </c>
      <c r="H612" s="634" t="s">
        <v>3074</v>
      </c>
      <c r="I612" s="633">
        <v>-1</v>
      </c>
      <c r="J612" s="633">
        <v>-1</v>
      </c>
      <c r="K612" s="633">
        <v>-2</v>
      </c>
      <c r="L612" s="149" t="str">
        <f t="shared" si="45"/>
        <v>401A@</v>
      </c>
      <c r="M612" s="150" t="str">
        <f t="shared" si="46"/>
        <v># DE VTE - M240I COUPE</v>
      </c>
      <c r="N612" s="151">
        <f>+IF(OR($Q612=Parametres!$G$2,$Q612=Parametres!$G$3),I612,C612)</f>
        <v>-1</v>
      </c>
      <c r="O612" s="151">
        <f>+IF(OR($Q612=Parametres!$G$2,$Q612=Parametres!$G$3),J612,D612)</f>
        <v>-1</v>
      </c>
      <c r="P612" s="151">
        <f>+IF(OR($Q612=Parametres!$G$2,$Q612=Parametres!$G$3),K612,E612)</f>
        <v>-2</v>
      </c>
      <c r="Q612" s="150" t="str">
        <f t="shared" si="47"/>
        <v>10-Compte compteur</v>
      </c>
      <c r="R612" s="149" t="str">
        <f t="shared" si="48"/>
        <v>401A</v>
      </c>
      <c r="S612" s="150" t="str">
        <f t="shared" si="49"/>
        <v>_</v>
      </c>
      <c r="T612" s="152" t="str">
        <f>+VLOOKUP($L612,Data_Validation!$A:$D,1,0)</f>
        <v>401A@</v>
      </c>
      <c r="U612" s="152" t="str">
        <f>+VLOOKUP($L612,Data_Validation!$A:$D,3,0)</f>
        <v>Véhicules neufs</v>
      </c>
      <c r="V612" s="152" t="str">
        <f>+VLOOKUP($L612,Data_Validation!$A:$D,4,0)</f>
        <v>Autos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39" t="s">
        <v>3024</v>
      </c>
      <c r="B613" s="639" t="s">
        <v>3035</v>
      </c>
      <c r="C613" s="640"/>
      <c r="D613" s="640"/>
      <c r="E613" s="640"/>
      <c r="F613" s="639" t="s">
        <v>4</v>
      </c>
      <c r="G613" s="639" t="s">
        <v>3091</v>
      </c>
      <c r="H613" s="634" t="s">
        <v>3074</v>
      </c>
      <c r="I613" s="633">
        <v>-1</v>
      </c>
      <c r="J613" s="633">
        <v>0</v>
      </c>
      <c r="K613" s="633">
        <v>-1</v>
      </c>
      <c r="L613" s="149" t="str">
        <f t="shared" si="45"/>
        <v>401G@</v>
      </c>
      <c r="M613" s="150" t="str">
        <f t="shared" si="46"/>
        <v>M2 CS</v>
      </c>
      <c r="N613" s="151">
        <f>+IF(OR($Q613=Parametres!$G$2,$Q613=Parametres!$G$3),I613,C613)</f>
        <v>-1</v>
      </c>
      <c r="O613" s="151">
        <f>+IF(OR($Q613=Parametres!$G$2,$Q613=Parametres!$G$3),J613,D613)</f>
        <v>0</v>
      </c>
      <c r="P613" s="151">
        <f>+IF(OR($Q613=Parametres!$G$2,$Q613=Parametres!$G$3),K613,E613)</f>
        <v>-1</v>
      </c>
      <c r="Q613" s="150" t="str">
        <f t="shared" si="47"/>
        <v>10-Compte compteur</v>
      </c>
      <c r="R613" s="149" t="str">
        <f t="shared" si="48"/>
        <v>401</v>
      </c>
      <c r="S613" s="150" t="str">
        <f t="shared" si="49"/>
        <v>_</v>
      </c>
      <c r="T613" s="152" t="str">
        <f>+VLOOKUP($L613,Data_Validation!$A:$D,1,0)</f>
        <v>401G@</v>
      </c>
      <c r="U613" s="152" t="str">
        <f>+VLOOKUP($L613,Data_Validation!$A:$D,3,0)</f>
        <v>Véhicules neufs</v>
      </c>
      <c r="V613" s="152" t="str">
        <f>+VLOOKUP($L613,Data_Validation!$A:$D,4,0)</f>
        <v>Autos détail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39" t="s">
        <v>2976</v>
      </c>
      <c r="B614" s="639" t="s">
        <v>2979</v>
      </c>
      <c r="C614" s="640"/>
      <c r="D614" s="640"/>
      <c r="E614" s="640"/>
      <c r="F614" s="639" t="s">
        <v>4</v>
      </c>
      <c r="G614" s="639" t="s">
        <v>3092</v>
      </c>
      <c r="H614" s="634" t="s">
        <v>3074</v>
      </c>
      <c r="I614" s="633">
        <v>-2</v>
      </c>
      <c r="J614" s="633">
        <v>0</v>
      </c>
      <c r="K614" s="633">
        <v>-2</v>
      </c>
      <c r="L614" s="149" t="str">
        <f t="shared" si="45"/>
        <v>402E@</v>
      </c>
      <c r="M614" s="150" t="str">
        <f t="shared" si="46"/>
        <v>IX XDRIVE60</v>
      </c>
      <c r="N614" s="151">
        <f>+IF(OR($Q614=Parametres!$G$2,$Q614=Parametres!$G$3),I614,C614)</f>
        <v>-2</v>
      </c>
      <c r="O614" s="151">
        <f>+IF(OR($Q614=Parametres!$G$2,$Q614=Parametres!$G$3),J614,D614)</f>
        <v>0</v>
      </c>
      <c r="P614" s="151">
        <f>+IF(OR($Q614=Parametres!$G$2,$Q614=Parametres!$G$3),K614,E614)</f>
        <v>-2</v>
      </c>
      <c r="Q614" s="150" t="str">
        <f t="shared" si="47"/>
        <v>10-Compte compteur</v>
      </c>
      <c r="R614" s="149" t="str">
        <f t="shared" si="48"/>
        <v>402</v>
      </c>
      <c r="S614" s="150" t="str">
        <f t="shared" si="49"/>
        <v>_</v>
      </c>
      <c r="T614" s="152" t="str">
        <f>+VLOOKUP($L614,Data_Validation!$A:$D,1,0)</f>
        <v>402E@</v>
      </c>
      <c r="U614" s="152" t="str">
        <f>+VLOOKUP($L614,Data_Validation!$A:$D,3,0)</f>
        <v>Véhicules neufs</v>
      </c>
      <c r="V614" s="152" t="str">
        <f>+VLOOKUP($L614,Data_Validation!$A:$D,4,0)</f>
        <v>Camions détail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39" t="s">
        <v>2354</v>
      </c>
      <c r="B615" s="639" t="s">
        <v>2355</v>
      </c>
      <c r="C615" s="640"/>
      <c r="D615" s="640"/>
      <c r="E615" s="640"/>
      <c r="F615" s="639" t="s">
        <v>4</v>
      </c>
      <c r="G615" s="639" t="s">
        <v>2343</v>
      </c>
      <c r="H615" s="634" t="s">
        <v>3074</v>
      </c>
      <c r="I615" s="633">
        <v>-2</v>
      </c>
      <c r="J615" s="633">
        <v>0</v>
      </c>
      <c r="K615" s="633">
        <v>-2</v>
      </c>
      <c r="L615" s="149" t="str">
        <f t="shared" si="45"/>
        <v>403I@</v>
      </c>
      <c r="M615" s="150" t="str">
        <f t="shared" si="46"/>
        <v># OF VTES -i4 M50i XDRIVE GRAN COUPE</v>
      </c>
      <c r="N615" s="151">
        <f>+IF(OR($Q615=Parametres!$G$2,$Q615=Parametres!$G$3),I615,C615)</f>
        <v>-2</v>
      </c>
      <c r="O615" s="151">
        <f>+IF(OR($Q615=Parametres!$G$2,$Q615=Parametres!$G$3),J615,D615)</f>
        <v>0</v>
      </c>
      <c r="P615" s="151">
        <f>+IF(OR($Q615=Parametres!$G$2,$Q615=Parametres!$G$3),K615,E615)</f>
        <v>-2</v>
      </c>
      <c r="Q615" s="150" t="str">
        <f t="shared" si="47"/>
        <v>10-Compte compteur</v>
      </c>
      <c r="R615" s="149" t="str">
        <f t="shared" si="48"/>
        <v>403I</v>
      </c>
      <c r="S615" s="150" t="str">
        <f t="shared" si="49"/>
        <v>_</v>
      </c>
      <c r="T615" s="152" t="str">
        <f>+VLOOKUP($L615,Data_Validation!$A:$D,1,0)</f>
        <v>403I@</v>
      </c>
      <c r="U615" s="152" t="str">
        <f>+VLOOKUP($L615,Data_Validation!$A:$D,3,0)</f>
        <v>Véhicules neufs</v>
      </c>
      <c r="V615" s="152" t="str">
        <f>+VLOOKUP($L615,Data_Validation!$A:$D,4,0)</f>
        <v>Autos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39" t="s">
        <v>3064</v>
      </c>
      <c r="B616" s="639" t="s">
        <v>3066</v>
      </c>
      <c r="C616" s="640"/>
      <c r="D616" s="640"/>
      <c r="E616" s="640"/>
      <c r="F616" s="639" t="s">
        <v>4</v>
      </c>
      <c r="G616" s="639" t="s">
        <v>3093</v>
      </c>
      <c r="H616" s="634" t="s">
        <v>3074</v>
      </c>
      <c r="I616" s="633">
        <v>-1</v>
      </c>
      <c r="J616" s="633">
        <v>0</v>
      </c>
      <c r="K616" s="633">
        <v>-1</v>
      </c>
      <c r="L616" s="149" t="str">
        <f t="shared" si="45"/>
        <v>404K@</v>
      </c>
      <c r="M616" s="150" t="str">
        <f t="shared" si="46"/>
        <v>I4 XDRIVE40 GRAN COUPE</v>
      </c>
      <c r="N616" s="151">
        <f>+IF(OR($Q616=Parametres!$G$2,$Q616=Parametres!$G$3),I616,C616)</f>
        <v>-1</v>
      </c>
      <c r="O616" s="151">
        <f>+IF(OR($Q616=Parametres!$G$2,$Q616=Parametres!$G$3),J616,D616)</f>
        <v>0</v>
      </c>
      <c r="P616" s="151">
        <f>+IF(OR($Q616=Parametres!$G$2,$Q616=Parametres!$G$3),K616,E616)</f>
        <v>-1</v>
      </c>
      <c r="Q616" s="150" t="str">
        <f t="shared" si="47"/>
        <v>10-Compte compteur</v>
      </c>
      <c r="R616" s="149" t="str">
        <f t="shared" si="48"/>
        <v>404</v>
      </c>
      <c r="S616" s="150" t="str">
        <f t="shared" si="49"/>
        <v>_</v>
      </c>
      <c r="T616" s="152" t="str">
        <f>+VLOOKUP($L616,Data_Validation!$A:$D,1,0)</f>
        <v>404K@</v>
      </c>
      <c r="U616" s="152" t="str">
        <f>+VLOOKUP($L616,Data_Validation!$A:$D,3,0)</f>
        <v>Véhicules neufs</v>
      </c>
      <c r="V616" s="152" t="str">
        <f>+VLOOKUP($L616,Data_Validation!$A:$D,4,0)</f>
        <v>Autos détail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39" t="s">
        <v>2371</v>
      </c>
      <c r="B617" s="639" t="s">
        <v>2372</v>
      </c>
      <c r="C617" s="640"/>
      <c r="D617" s="640"/>
      <c r="E617" s="640"/>
      <c r="F617" s="639" t="s">
        <v>4</v>
      </c>
      <c r="G617" s="639" t="s">
        <v>2479</v>
      </c>
      <c r="H617" s="634" t="s">
        <v>3074</v>
      </c>
      <c r="I617" s="633">
        <v>-2</v>
      </c>
      <c r="J617" s="633">
        <v>-2</v>
      </c>
      <c r="K617" s="633">
        <v>-4</v>
      </c>
      <c r="L617" s="149" t="str">
        <f t="shared" si="45"/>
        <v>405H@</v>
      </c>
      <c r="M617" s="150" t="str">
        <f t="shared" si="46"/>
        <v>M4 CABRIOLET</v>
      </c>
      <c r="N617" s="151">
        <f>+IF(OR($Q617=Parametres!$G$2,$Q617=Parametres!$G$3),I617,C617)</f>
        <v>-2</v>
      </c>
      <c r="O617" s="151">
        <f>+IF(OR($Q617=Parametres!$G$2,$Q617=Parametres!$G$3),J617,D617)</f>
        <v>-2</v>
      </c>
      <c r="P617" s="151">
        <f>+IF(OR($Q617=Parametres!$G$2,$Q617=Parametres!$G$3),K617,E617)</f>
        <v>-4</v>
      </c>
      <c r="Q617" s="150" t="str">
        <f t="shared" si="47"/>
        <v>10-Compte compteur</v>
      </c>
      <c r="R617" s="149" t="str">
        <f t="shared" si="48"/>
        <v>405</v>
      </c>
      <c r="S617" s="150" t="str">
        <f t="shared" si="49"/>
        <v>_</v>
      </c>
      <c r="T617" s="152" t="str">
        <f>+VLOOKUP($L617,Data_Validation!$A:$D,1,0)</f>
        <v>405H@</v>
      </c>
      <c r="U617" s="152" t="str">
        <f>+VLOOKUP($L617,Data_Validation!$A:$D,3,0)</f>
        <v>Véhicules neufs</v>
      </c>
      <c r="V617" s="152" t="str">
        <f>+VLOOKUP($L617,Data_Validation!$A:$D,4,0)</f>
        <v>Autos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39" t="s">
        <v>2151</v>
      </c>
      <c r="B618" s="639" t="s">
        <v>2152</v>
      </c>
      <c r="C618" s="640"/>
      <c r="D618" s="640"/>
      <c r="E618" s="640"/>
      <c r="F618" s="639" t="s">
        <v>4</v>
      </c>
      <c r="G618" s="639" t="s">
        <v>2144</v>
      </c>
      <c r="H618" s="634" t="s">
        <v>3074</v>
      </c>
      <c r="I618" s="633">
        <v>-1</v>
      </c>
      <c r="J618" s="633">
        <v>0</v>
      </c>
      <c r="K618" s="633">
        <v>-1</v>
      </c>
      <c r="L618" s="149" t="str">
        <f t="shared" si="45"/>
        <v>405J@</v>
      </c>
      <c r="M618" s="150" t="str">
        <f t="shared" si="46"/>
        <v># OF VTES -M4 COMPETITION</v>
      </c>
      <c r="N618" s="151">
        <f>+IF(OR($Q618=Parametres!$G$2,$Q618=Parametres!$G$3),I618,C618)</f>
        <v>-1</v>
      </c>
      <c r="O618" s="151">
        <f>+IF(OR($Q618=Parametres!$G$2,$Q618=Parametres!$G$3),J618,D618)</f>
        <v>0</v>
      </c>
      <c r="P618" s="151">
        <f>+IF(OR($Q618=Parametres!$G$2,$Q618=Parametres!$G$3),K618,E618)</f>
        <v>-1</v>
      </c>
      <c r="Q618" s="150" t="str">
        <f t="shared" si="47"/>
        <v>10-Compte compteur</v>
      </c>
      <c r="R618" s="149" t="str">
        <f t="shared" si="48"/>
        <v>405J</v>
      </c>
      <c r="S618" s="150" t="str">
        <f t="shared" si="49"/>
        <v>_</v>
      </c>
      <c r="T618" s="152" t="str">
        <f>+VLOOKUP($L618,Data_Validation!$A:$D,1,0)</f>
        <v>405J@</v>
      </c>
      <c r="U618" s="152" t="str">
        <f>+VLOOKUP($L618,Data_Validation!$A:$D,3,0)</f>
        <v>Véhicules neufs</v>
      </c>
      <c r="V618" s="152" t="str">
        <f>+VLOOKUP($L618,Data_Validation!$A:$D,4,0)</f>
        <v>Autos détail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39" t="s">
        <v>1990</v>
      </c>
      <c r="B619" s="639" t="s">
        <v>1991</v>
      </c>
      <c r="C619" s="640"/>
      <c r="D619" s="640"/>
      <c r="E619" s="640"/>
      <c r="F619" s="639" t="s">
        <v>4</v>
      </c>
      <c r="G619" s="639" t="s">
        <v>1983</v>
      </c>
      <c r="H619" s="634" t="s">
        <v>3074</v>
      </c>
      <c r="I619" s="633">
        <v>-5</v>
      </c>
      <c r="J619" s="633">
        <v>0</v>
      </c>
      <c r="K619" s="633">
        <v>-5</v>
      </c>
      <c r="L619" s="149" t="str">
        <f t="shared" si="45"/>
        <v>405K@</v>
      </c>
      <c r="M619" s="150" t="str">
        <f t="shared" si="46"/>
        <v># OF VTES -M440I XDR COUPE</v>
      </c>
      <c r="N619" s="151">
        <f>+IF(OR($Q619=Parametres!$G$2,$Q619=Parametres!$G$3),I619,C619)</f>
        <v>-5</v>
      </c>
      <c r="O619" s="151">
        <f>+IF(OR($Q619=Parametres!$G$2,$Q619=Parametres!$G$3),J619,D619)</f>
        <v>0</v>
      </c>
      <c r="P619" s="151">
        <f>+IF(OR($Q619=Parametres!$G$2,$Q619=Parametres!$G$3),K619,E619)</f>
        <v>-5</v>
      </c>
      <c r="Q619" s="150" t="str">
        <f t="shared" si="47"/>
        <v>10-Compte compteur</v>
      </c>
      <c r="R619" s="149" t="str">
        <f t="shared" si="48"/>
        <v>405K</v>
      </c>
      <c r="S619" s="150" t="str">
        <f t="shared" si="49"/>
        <v>_</v>
      </c>
      <c r="T619" s="152" t="str">
        <f>+VLOOKUP($L619,Data_Validation!$A:$D,1,0)</f>
        <v>405K@</v>
      </c>
      <c r="U619" s="152" t="str">
        <f>+VLOOKUP($L619,Data_Validation!$A:$D,3,0)</f>
        <v>Véhicules neufs</v>
      </c>
      <c r="V619" s="152" t="str">
        <f>+VLOOKUP($L619,Data_Validation!$A:$D,4,0)</f>
        <v>Autos détail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39" t="s">
        <v>2877</v>
      </c>
      <c r="B620" s="639" t="s">
        <v>2886</v>
      </c>
      <c r="C620" s="640"/>
      <c r="D620" s="640"/>
      <c r="E620" s="640"/>
      <c r="F620" s="639" t="s">
        <v>4</v>
      </c>
      <c r="G620" s="639" t="s">
        <v>2878</v>
      </c>
      <c r="H620" s="634" t="s">
        <v>3074</v>
      </c>
      <c r="I620" s="633">
        <v>-1</v>
      </c>
      <c r="J620" s="633">
        <v>-1</v>
      </c>
      <c r="K620" s="633">
        <v>-2</v>
      </c>
      <c r="L620" s="149" t="str">
        <f t="shared" si="45"/>
        <v>405L@</v>
      </c>
      <c r="M620" s="150" t="str">
        <f t="shared" si="46"/>
        <v>M440I XDRIVE CABRIOLET</v>
      </c>
      <c r="N620" s="151">
        <f>+IF(OR($Q620=Parametres!$G$2,$Q620=Parametres!$G$3),I620,C620)</f>
        <v>-1</v>
      </c>
      <c r="O620" s="151">
        <f>+IF(OR($Q620=Parametres!$G$2,$Q620=Parametres!$G$3),J620,D620)</f>
        <v>-1</v>
      </c>
      <c r="P620" s="151">
        <f>+IF(OR($Q620=Parametres!$G$2,$Q620=Parametres!$G$3),K620,E620)</f>
        <v>-2</v>
      </c>
      <c r="Q620" s="150" t="str">
        <f t="shared" si="47"/>
        <v>10-Compte compteur</v>
      </c>
      <c r="R620" s="149" t="str">
        <f t="shared" si="48"/>
        <v>405L</v>
      </c>
      <c r="S620" s="150" t="str">
        <f t="shared" si="49"/>
        <v>_</v>
      </c>
      <c r="T620" s="152" t="str">
        <f>+VLOOKUP($L620,Data_Validation!$A:$D,1,0)</f>
        <v>405L@</v>
      </c>
      <c r="U620" s="152" t="str">
        <f>+VLOOKUP($L620,Data_Validation!$A:$D,3,0)</f>
        <v>Véhicules neufs</v>
      </c>
      <c r="V620" s="152" t="str">
        <f>+VLOOKUP($L620,Data_Validation!$A:$D,4,0)</f>
        <v>Autos détail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39" t="s">
        <v>1489</v>
      </c>
      <c r="B621" s="639" t="s">
        <v>696</v>
      </c>
      <c r="C621" s="640"/>
      <c r="D621" s="640"/>
      <c r="E621" s="640"/>
      <c r="F621" s="639" t="s">
        <v>4</v>
      </c>
      <c r="G621" s="639" t="s">
        <v>608</v>
      </c>
      <c r="H621" s="634" t="s">
        <v>3074</v>
      </c>
      <c r="I621" s="633">
        <v>-1</v>
      </c>
      <c r="J621" s="633">
        <v>0</v>
      </c>
      <c r="K621" s="633">
        <v>-1</v>
      </c>
      <c r="L621" s="149" t="str">
        <f t="shared" si="45"/>
        <v>406D@</v>
      </c>
      <c r="M621" s="150" t="str">
        <f t="shared" si="46"/>
        <v># DE VTE - 228I XDR COUPE / 230I XDR COUPE</v>
      </c>
      <c r="N621" s="151">
        <f>+IF(OR($Q621=Parametres!$G$2,$Q621=Parametres!$G$3),I621,C621)</f>
        <v>-1</v>
      </c>
      <c r="O621" s="151">
        <f>+IF(OR($Q621=Parametres!$G$2,$Q621=Parametres!$G$3),J621,D621)</f>
        <v>0</v>
      </c>
      <c r="P621" s="151">
        <f>+IF(OR($Q621=Parametres!$G$2,$Q621=Parametres!$G$3),K621,E621)</f>
        <v>-1</v>
      </c>
      <c r="Q621" s="150" t="str">
        <f t="shared" si="47"/>
        <v>10-Compte compteur</v>
      </c>
      <c r="R621" s="149" t="str">
        <f t="shared" si="48"/>
        <v>406D</v>
      </c>
      <c r="S621" s="150" t="str">
        <f t="shared" si="49"/>
        <v>_</v>
      </c>
      <c r="T621" s="152" t="str">
        <f>+VLOOKUP($L621,Data_Validation!$A:$D,1,0)</f>
        <v>406D@</v>
      </c>
      <c r="U621" s="152" t="str">
        <f>+VLOOKUP($L621,Data_Validation!$A:$D,3,0)</f>
        <v>Véhicules neufs</v>
      </c>
      <c r="V621" s="152" t="str">
        <f>+VLOOKUP($L621,Data_Validation!$A:$D,4,0)</f>
        <v>Autos détail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39" t="s">
        <v>2043</v>
      </c>
      <c r="B622" s="639" t="s">
        <v>2044</v>
      </c>
      <c r="C622" s="640"/>
      <c r="D622" s="640"/>
      <c r="E622" s="640"/>
      <c r="F622" s="639" t="s">
        <v>4</v>
      </c>
      <c r="G622" s="639" t="s">
        <v>2030</v>
      </c>
      <c r="H622" s="634" t="s">
        <v>3074</v>
      </c>
      <c r="I622" s="633">
        <v>-3</v>
      </c>
      <c r="J622" s="633">
        <v>0</v>
      </c>
      <c r="K622" s="633">
        <v>-3</v>
      </c>
      <c r="L622" s="149" t="str">
        <f t="shared" si="45"/>
        <v>407C@</v>
      </c>
      <c r="M622" s="150" t="str">
        <f t="shared" si="46"/>
        <v># OF VTES -M3 COMPETITION</v>
      </c>
      <c r="N622" s="151">
        <f>+IF(OR($Q622=Parametres!$G$2,$Q622=Parametres!$G$3),I622,C622)</f>
        <v>-3</v>
      </c>
      <c r="O622" s="151">
        <f>+IF(OR($Q622=Parametres!$G$2,$Q622=Parametres!$G$3),J622,D622)</f>
        <v>0</v>
      </c>
      <c r="P622" s="151">
        <f>+IF(OR($Q622=Parametres!$G$2,$Q622=Parametres!$G$3),K622,E622)</f>
        <v>-3</v>
      </c>
      <c r="Q622" s="150" t="str">
        <f t="shared" si="47"/>
        <v>10-Compte compteur</v>
      </c>
      <c r="R622" s="149" t="str">
        <f t="shared" si="48"/>
        <v>407C</v>
      </c>
      <c r="S622" s="150" t="str">
        <f t="shared" si="49"/>
        <v>_</v>
      </c>
      <c r="T622" s="152" t="str">
        <f>+VLOOKUP($L622,Data_Validation!$A:$D,1,0)</f>
        <v>407C@</v>
      </c>
      <c r="U622" s="152" t="str">
        <f>+VLOOKUP($L622,Data_Validation!$A:$D,3,0)</f>
        <v>Véhicules neufs</v>
      </c>
      <c r="V622" s="152" t="str">
        <f>+VLOOKUP($L622,Data_Validation!$A:$D,4,0)</f>
        <v>Autos détail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39" t="s">
        <v>2872</v>
      </c>
      <c r="B623" s="639" t="s">
        <v>2875</v>
      </c>
      <c r="C623" s="640"/>
      <c r="D623" s="640"/>
      <c r="E623" s="640"/>
      <c r="F623" s="639" t="s">
        <v>4</v>
      </c>
      <c r="G623" s="639" t="s">
        <v>2873</v>
      </c>
      <c r="H623" s="634" t="s">
        <v>3074</v>
      </c>
      <c r="I623" s="633">
        <v>-4</v>
      </c>
      <c r="J623" s="633">
        <v>0</v>
      </c>
      <c r="K623" s="633">
        <v>-4</v>
      </c>
      <c r="L623" s="149" t="str">
        <f t="shared" si="45"/>
        <v>409@</v>
      </c>
      <c r="M623" s="150" t="str">
        <f t="shared" si="46"/>
        <v>X2 XDRIVE28I</v>
      </c>
      <c r="N623" s="151">
        <f>+IF(OR($Q623=Parametres!$G$2,$Q623=Parametres!$G$3),I623,C623)</f>
        <v>-4</v>
      </c>
      <c r="O623" s="151">
        <f>+IF(OR($Q623=Parametres!$G$2,$Q623=Parametres!$G$3),J623,D623)</f>
        <v>0</v>
      </c>
      <c r="P623" s="151">
        <f>+IF(OR($Q623=Parametres!$G$2,$Q623=Parametres!$G$3),K623,E623)</f>
        <v>-4</v>
      </c>
      <c r="Q623" s="150" t="str">
        <f t="shared" si="47"/>
        <v>10-Compte compteur</v>
      </c>
      <c r="R623" s="149" t="str">
        <f t="shared" si="48"/>
        <v>409</v>
      </c>
      <c r="S623" s="150" t="str">
        <f t="shared" si="49"/>
        <v>_</v>
      </c>
      <c r="T623" s="152" t="str">
        <f>+VLOOKUP($L623,Data_Validation!$A:$D,1,0)</f>
        <v>409@</v>
      </c>
      <c r="U623" s="152" t="str">
        <f>+VLOOKUP($L623,Data_Validation!$A:$D,3,0)</f>
        <v>Véhicules neufs</v>
      </c>
      <c r="V623" s="152" t="str">
        <f>+VLOOKUP($L623,Data_Validation!$A:$D,4,0)</f>
        <v>Camions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2862</v>
      </c>
      <c r="B624" s="639" t="s">
        <v>2865</v>
      </c>
      <c r="C624" s="640"/>
      <c r="D624" s="640"/>
      <c r="E624" s="640"/>
      <c r="F624" s="639" t="s">
        <v>4</v>
      </c>
      <c r="G624" s="639" t="s">
        <v>2863</v>
      </c>
      <c r="H624" s="634" t="s">
        <v>3074</v>
      </c>
      <c r="I624" s="633">
        <v>-3</v>
      </c>
      <c r="J624" s="633">
        <v>0</v>
      </c>
      <c r="K624" s="633">
        <v>-3</v>
      </c>
      <c r="L624" s="149" t="str">
        <f t="shared" si="45"/>
        <v>409A@</v>
      </c>
      <c r="M624" s="150" t="str">
        <f t="shared" si="46"/>
        <v>X2 M35I XDRIVE</v>
      </c>
      <c r="N624" s="151">
        <f>+IF(OR($Q624=Parametres!$G$2,$Q624=Parametres!$G$3),I624,C624)</f>
        <v>-3</v>
      </c>
      <c r="O624" s="151">
        <f>+IF(OR($Q624=Parametres!$G$2,$Q624=Parametres!$G$3),J624,D624)</f>
        <v>0</v>
      </c>
      <c r="P624" s="151">
        <f>+IF(OR($Q624=Parametres!$G$2,$Q624=Parametres!$G$3),K624,E624)</f>
        <v>-3</v>
      </c>
      <c r="Q624" s="150" t="str">
        <f t="shared" si="47"/>
        <v>10-Compte compteur</v>
      </c>
      <c r="R624" s="149" t="str">
        <f t="shared" si="48"/>
        <v>409A</v>
      </c>
      <c r="S624" s="150" t="str">
        <f t="shared" si="49"/>
        <v>_</v>
      </c>
      <c r="T624" s="152" t="str">
        <f>+VLOOKUP($L624,Data_Validation!$A:$D,1,0)</f>
        <v>409A@</v>
      </c>
      <c r="U624" s="152" t="str">
        <f>+VLOOKUP($L624,Data_Validation!$A:$D,3,0)</f>
        <v>Véhicules neufs</v>
      </c>
      <c r="V624" s="152" t="str">
        <f>+VLOOKUP($L624,Data_Validation!$A:$D,4,0)</f>
        <v>Camions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2955</v>
      </c>
      <c r="B625" s="639" t="s">
        <v>2958</v>
      </c>
      <c r="C625" s="640"/>
      <c r="D625" s="640"/>
      <c r="E625" s="640"/>
      <c r="F625" s="639" t="s">
        <v>4</v>
      </c>
      <c r="G625" s="639" t="s">
        <v>2956</v>
      </c>
      <c r="H625" s="634" t="s">
        <v>3074</v>
      </c>
      <c r="I625" s="633">
        <v>-15</v>
      </c>
      <c r="J625" s="633">
        <v>0</v>
      </c>
      <c r="K625" s="633">
        <v>-15</v>
      </c>
      <c r="L625" s="149" t="str">
        <f t="shared" si="45"/>
        <v>409C@</v>
      </c>
      <c r="M625" s="150" t="str">
        <f t="shared" si="46"/>
        <v>X3 M50 XDRIVE</v>
      </c>
      <c r="N625" s="151">
        <f>+IF(OR($Q625=Parametres!$G$2,$Q625=Parametres!$G$3),I625,C625)</f>
        <v>-15</v>
      </c>
      <c r="O625" s="151">
        <f>+IF(OR($Q625=Parametres!$G$2,$Q625=Parametres!$G$3),J625,D625)</f>
        <v>0</v>
      </c>
      <c r="P625" s="151">
        <f>+IF(OR($Q625=Parametres!$G$2,$Q625=Parametres!$G$3),K625,E625)</f>
        <v>-15</v>
      </c>
      <c r="Q625" s="150" t="str">
        <f t="shared" si="47"/>
        <v>10-Compte compteur</v>
      </c>
      <c r="R625" s="149" t="str">
        <f t="shared" si="48"/>
        <v>409C</v>
      </c>
      <c r="S625" s="150" t="str">
        <f t="shared" si="49"/>
        <v>_</v>
      </c>
      <c r="T625" s="152" t="str">
        <f>+VLOOKUP($L625,Data_Validation!$A:$D,1,0)</f>
        <v>409C@</v>
      </c>
      <c r="U625" s="152" t="str">
        <f>+VLOOKUP($L625,Data_Validation!$A:$D,3,0)</f>
        <v>Véhicules neufs</v>
      </c>
      <c r="V625" s="152" t="str">
        <f>+VLOOKUP($L625,Data_Validation!$A:$D,4,0)</f>
        <v>Camions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1037</v>
      </c>
      <c r="B626" s="639" t="s">
        <v>700</v>
      </c>
      <c r="C626" s="640"/>
      <c r="D626" s="640"/>
      <c r="E626" s="640"/>
      <c r="F626" s="639" t="s">
        <v>4</v>
      </c>
      <c r="G626" s="639" t="s">
        <v>612</v>
      </c>
      <c r="H626" s="634" t="s">
        <v>3074</v>
      </c>
      <c r="I626" s="633">
        <v>-4</v>
      </c>
      <c r="J626" s="633">
        <v>0</v>
      </c>
      <c r="K626" s="633">
        <v>-4</v>
      </c>
      <c r="L626" s="149" t="str">
        <f t="shared" si="45"/>
        <v>411C@</v>
      </c>
      <c r="M626" s="150" t="str">
        <f t="shared" si="46"/>
        <v># DE VTE - 330I XDRIVE SEDAN</v>
      </c>
      <c r="N626" s="151">
        <f>+IF(OR($Q626=Parametres!$G$2,$Q626=Parametres!$G$3),I626,C626)</f>
        <v>-4</v>
      </c>
      <c r="O626" s="151">
        <f>+IF(OR($Q626=Parametres!$G$2,$Q626=Parametres!$G$3),J626,D626)</f>
        <v>0</v>
      </c>
      <c r="P626" s="151">
        <f>+IF(OR($Q626=Parametres!$G$2,$Q626=Parametres!$G$3),K626,E626)</f>
        <v>-4</v>
      </c>
      <c r="Q626" s="150" t="str">
        <f t="shared" si="47"/>
        <v>10-Compte compteur</v>
      </c>
      <c r="R626" s="149" t="str">
        <f t="shared" si="48"/>
        <v>411C</v>
      </c>
      <c r="S626" s="150" t="str">
        <f t="shared" si="49"/>
        <v>_</v>
      </c>
      <c r="T626" s="152" t="str">
        <f>+VLOOKUP($L626,Data_Validation!$A:$D,1,0)</f>
        <v>411C@</v>
      </c>
      <c r="U626" s="152" t="str">
        <f>+VLOOKUP($L626,Data_Validation!$A:$D,3,0)</f>
        <v>Véhicules neufs</v>
      </c>
      <c r="V626" s="152" t="str">
        <f>+VLOOKUP($L626,Data_Validation!$A:$D,4,0)</f>
        <v>Autos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1978</v>
      </c>
      <c r="B627" s="639" t="s">
        <v>1981</v>
      </c>
      <c r="C627" s="640"/>
      <c r="D627" s="640"/>
      <c r="E627" s="640"/>
      <c r="F627" s="639" t="s">
        <v>4</v>
      </c>
      <c r="G627" s="639" t="s">
        <v>1979</v>
      </c>
      <c r="H627" s="634" t="s">
        <v>3074</v>
      </c>
      <c r="I627" s="633">
        <v>-2</v>
      </c>
      <c r="J627" s="633">
        <v>-2</v>
      </c>
      <c r="K627" s="633">
        <v>-4</v>
      </c>
      <c r="L627" s="149" t="str">
        <f t="shared" si="45"/>
        <v>412C@</v>
      </c>
      <c r="M627" s="150" t="str">
        <f t="shared" si="46"/>
        <v>M340I XDRIVE</v>
      </c>
      <c r="N627" s="151">
        <f>+IF(OR($Q627=Parametres!$G$2,$Q627=Parametres!$G$3),I627,C627)</f>
        <v>-2</v>
      </c>
      <c r="O627" s="151">
        <f>+IF(OR($Q627=Parametres!$G$2,$Q627=Parametres!$G$3),J627,D627)</f>
        <v>-2</v>
      </c>
      <c r="P627" s="151">
        <f>+IF(OR($Q627=Parametres!$G$2,$Q627=Parametres!$G$3),K627,E627)</f>
        <v>-4</v>
      </c>
      <c r="Q627" s="150" t="str">
        <f t="shared" si="47"/>
        <v>10-Compte compteur</v>
      </c>
      <c r="R627" s="149" t="str">
        <f t="shared" si="48"/>
        <v>412C</v>
      </c>
      <c r="S627" s="150" t="str">
        <f t="shared" si="49"/>
        <v>_</v>
      </c>
      <c r="T627" s="152" t="str">
        <f>+VLOOKUP($L627,Data_Validation!$A:$D,1,0)</f>
        <v>412C@</v>
      </c>
      <c r="U627" s="152" t="str">
        <f>+VLOOKUP($L627,Data_Validation!$A:$D,3,0)</f>
        <v>Véhicules neufs</v>
      </c>
      <c r="V627" s="152" t="str">
        <f>+VLOOKUP($L627,Data_Validation!$A:$D,4,0)</f>
        <v>Autos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3026</v>
      </c>
      <c r="B628" s="639" t="s">
        <v>3036</v>
      </c>
      <c r="C628" s="640"/>
      <c r="D628" s="640"/>
      <c r="E628" s="640"/>
      <c r="F628" s="639" t="s">
        <v>4</v>
      </c>
      <c r="G628" s="639" t="s">
        <v>3027</v>
      </c>
      <c r="H628" s="634" t="s">
        <v>3074</v>
      </c>
      <c r="I628" s="633">
        <v>-2</v>
      </c>
      <c r="J628" s="633">
        <v>0</v>
      </c>
      <c r="K628" s="633">
        <v>-2</v>
      </c>
      <c r="L628" s="149" t="str">
        <f t="shared" si="45"/>
        <v>414C@</v>
      </c>
      <c r="M628" s="150" t="str">
        <f t="shared" si="46"/>
        <v>I4 M60 XDRIVE GRAN COUPE</v>
      </c>
      <c r="N628" s="151">
        <f>+IF(OR($Q628=Parametres!$G$2,$Q628=Parametres!$G$3),I628,C628)</f>
        <v>-2</v>
      </c>
      <c r="O628" s="151">
        <f>+IF(OR($Q628=Parametres!$G$2,$Q628=Parametres!$G$3),J628,D628)</f>
        <v>0</v>
      </c>
      <c r="P628" s="151">
        <f>+IF(OR($Q628=Parametres!$G$2,$Q628=Parametres!$G$3),K628,E628)</f>
        <v>-2</v>
      </c>
      <c r="Q628" s="150" t="str">
        <f t="shared" si="47"/>
        <v>10-Compte compteur</v>
      </c>
      <c r="R628" s="149" t="str">
        <f t="shared" si="48"/>
        <v>414C</v>
      </c>
      <c r="S628" s="150" t="str">
        <f t="shared" si="49"/>
        <v>_</v>
      </c>
      <c r="T628" s="152" t="str">
        <f>+VLOOKUP($L628,Data_Validation!$A:$D,1,0)</f>
        <v>414C@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2887</v>
      </c>
      <c r="B629" s="639" t="s">
        <v>2888</v>
      </c>
      <c r="C629" s="640"/>
      <c r="D629" s="640"/>
      <c r="E629" s="640"/>
      <c r="F629" s="639" t="s">
        <v>4</v>
      </c>
      <c r="G629" s="639" t="s">
        <v>2880</v>
      </c>
      <c r="H629" s="634" t="s">
        <v>3074</v>
      </c>
      <c r="I629" s="633">
        <v>-1</v>
      </c>
      <c r="J629" s="633">
        <v>0</v>
      </c>
      <c r="K629" s="633">
        <v>-1</v>
      </c>
      <c r="L629" s="149" t="str">
        <f t="shared" si="45"/>
        <v>415A@</v>
      </c>
      <c r="M629" s="150" t="str">
        <f t="shared" si="46"/>
        <v># DE VTE - 750e xDRIVE</v>
      </c>
      <c r="N629" s="151">
        <f>+IF(OR($Q629=Parametres!$G$2,$Q629=Parametres!$G$3),I629,C629)</f>
        <v>-1</v>
      </c>
      <c r="O629" s="151">
        <f>+IF(OR($Q629=Parametres!$G$2,$Q629=Parametres!$G$3),J629,D629)</f>
        <v>0</v>
      </c>
      <c r="P629" s="151">
        <f>+IF(OR($Q629=Parametres!$G$2,$Q629=Parametres!$G$3),K629,E629)</f>
        <v>-1</v>
      </c>
      <c r="Q629" s="150" t="str">
        <f t="shared" si="47"/>
        <v>10-Compte compteur</v>
      </c>
      <c r="R629" s="149" t="str">
        <f t="shared" si="48"/>
        <v>415A</v>
      </c>
      <c r="S629" s="150" t="str">
        <f t="shared" si="49"/>
        <v>_</v>
      </c>
      <c r="T629" s="152" t="str">
        <f>+VLOOKUP($L629,Data_Validation!$A:$D,1,0)</f>
        <v>415A@</v>
      </c>
      <c r="U629" s="152" t="str">
        <f>+VLOOKUP($L629,Data_Validation!$A:$D,3,0)</f>
        <v>Véhicules neufs</v>
      </c>
      <c r="V629" s="152" t="str">
        <f>+VLOOKUP($L629,Data_Validation!$A:$D,4,0)</f>
        <v>Autos détail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1498</v>
      </c>
      <c r="B630" s="639" t="s">
        <v>702</v>
      </c>
      <c r="C630" s="640"/>
      <c r="D630" s="640"/>
      <c r="E630" s="640"/>
      <c r="F630" s="639" t="s">
        <v>4</v>
      </c>
      <c r="G630" s="639" t="s">
        <v>410</v>
      </c>
      <c r="H630" s="634" t="s">
        <v>3074</v>
      </c>
      <c r="I630" s="633">
        <v>-17</v>
      </c>
      <c r="J630" s="633">
        <v>-5</v>
      </c>
      <c r="K630" s="633">
        <v>-22</v>
      </c>
      <c r="L630" s="149" t="str">
        <f t="shared" si="45"/>
        <v>416@</v>
      </c>
      <c r="M630" s="150" t="str">
        <f t="shared" si="46"/>
        <v># DE VTE - X1 XDRIVE 28I</v>
      </c>
      <c r="N630" s="151">
        <f>+IF(OR($Q630=Parametres!$G$2,$Q630=Parametres!$G$3),I630,C630)</f>
        <v>-17</v>
      </c>
      <c r="O630" s="151">
        <f>+IF(OR($Q630=Parametres!$G$2,$Q630=Parametres!$G$3),J630,D630)</f>
        <v>-5</v>
      </c>
      <c r="P630" s="151">
        <f>+IF(OR($Q630=Parametres!$G$2,$Q630=Parametres!$G$3),K630,E630)</f>
        <v>-22</v>
      </c>
      <c r="Q630" s="150" t="str">
        <f t="shared" si="47"/>
        <v>10-Compte compteur</v>
      </c>
      <c r="R630" s="149" t="str">
        <f t="shared" si="48"/>
        <v>416</v>
      </c>
      <c r="S630" s="150" t="str">
        <f t="shared" si="49"/>
        <v>_</v>
      </c>
      <c r="T630" s="152" t="str">
        <f>+VLOOKUP($L630,Data_Validation!$A:$D,1,0)</f>
        <v>416@</v>
      </c>
      <c r="U630" s="152" t="str">
        <f>+VLOOKUP($L630,Data_Validation!$A:$D,3,0)</f>
        <v>Véhicules neufs</v>
      </c>
      <c r="V630" s="152" t="str">
        <f>+VLOOKUP($L630,Data_Validation!$A:$D,4,0)</f>
        <v>Camions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2533</v>
      </c>
      <c r="B631" s="639" t="s">
        <v>2534</v>
      </c>
      <c r="C631" s="640"/>
      <c r="D631" s="640"/>
      <c r="E631" s="640"/>
      <c r="F631" s="639" t="s">
        <v>4</v>
      </c>
      <c r="G631" s="639" t="s">
        <v>2526</v>
      </c>
      <c r="H631" s="634" t="s">
        <v>3074</v>
      </c>
      <c r="I631" s="633">
        <v>-3</v>
      </c>
      <c r="J631" s="633">
        <v>-2</v>
      </c>
      <c r="K631" s="633">
        <v>-5</v>
      </c>
      <c r="L631" s="149" t="str">
        <f t="shared" si="45"/>
        <v>416A@</v>
      </c>
      <c r="M631" s="150" t="str">
        <f t="shared" si="46"/>
        <v># DE VTE - X1 M35i xDRIVE</v>
      </c>
      <c r="N631" s="151">
        <f>+IF(OR($Q631=Parametres!$G$2,$Q631=Parametres!$G$3),I631,C631)</f>
        <v>-3</v>
      </c>
      <c r="O631" s="151">
        <f>+IF(OR($Q631=Parametres!$G$2,$Q631=Parametres!$G$3),J631,D631)</f>
        <v>-2</v>
      </c>
      <c r="P631" s="151">
        <f>+IF(OR($Q631=Parametres!$G$2,$Q631=Parametres!$G$3),K631,E631)</f>
        <v>-5</v>
      </c>
      <c r="Q631" s="150" t="str">
        <f t="shared" si="47"/>
        <v>10-Compte compteur</v>
      </c>
      <c r="R631" s="149" t="str">
        <f t="shared" si="48"/>
        <v>416A</v>
      </c>
      <c r="S631" s="150" t="str">
        <f t="shared" si="49"/>
        <v>_</v>
      </c>
      <c r="T631" s="152" t="str">
        <f>+VLOOKUP($L631,Data_Validation!$A:$D,1,0)</f>
        <v>416A@</v>
      </c>
      <c r="U631" s="152" t="str">
        <f>+VLOOKUP($L631,Data_Validation!$A:$D,3,0)</f>
        <v>Véhicules neufs</v>
      </c>
      <c r="V631" s="152" t="str">
        <f>+VLOOKUP($L631,Data_Validation!$A:$D,4,0)</f>
        <v>Camions détail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1500</v>
      </c>
      <c r="B632" s="639" t="s">
        <v>705</v>
      </c>
      <c r="C632" s="640"/>
      <c r="D632" s="640"/>
      <c r="E632" s="640"/>
      <c r="F632" s="639" t="s">
        <v>4</v>
      </c>
      <c r="G632" s="639" t="s">
        <v>616</v>
      </c>
      <c r="H632" s="634" t="s">
        <v>3074</v>
      </c>
      <c r="I632" s="633">
        <v>-25</v>
      </c>
      <c r="J632" s="633">
        <v>-2</v>
      </c>
      <c r="K632" s="633">
        <v>-27</v>
      </c>
      <c r="L632" s="149" t="str">
        <f t="shared" si="45"/>
        <v>418@</v>
      </c>
      <c r="M632" s="150" t="str">
        <f t="shared" si="46"/>
        <v># DE VTE - AUTRES MODELES BMW</v>
      </c>
      <c r="N632" s="151">
        <f>+IF(OR($Q632=Parametres!$G$2,$Q632=Parametres!$G$3),I632,C632)</f>
        <v>-25</v>
      </c>
      <c r="O632" s="151">
        <f>+IF(OR($Q632=Parametres!$G$2,$Q632=Parametres!$G$3),J632,D632)</f>
        <v>-2</v>
      </c>
      <c r="P632" s="151">
        <f>+IF(OR($Q632=Parametres!$G$2,$Q632=Parametres!$G$3),K632,E632)</f>
        <v>-27</v>
      </c>
      <c r="Q632" s="150" t="str">
        <f t="shared" si="47"/>
        <v>10-Compte compteur</v>
      </c>
      <c r="R632" s="149" t="str">
        <f t="shared" si="48"/>
        <v>418</v>
      </c>
      <c r="S632" s="150" t="str">
        <f t="shared" si="49"/>
        <v>_</v>
      </c>
      <c r="T632" s="152" t="str">
        <f>+VLOOKUP($L632,Data_Validation!$A:$D,1,0)</f>
        <v>418@</v>
      </c>
      <c r="U632" s="152" t="str">
        <f>+VLOOKUP($L632,Data_Validation!$A:$D,3,0)</f>
        <v>Véhicules neufs</v>
      </c>
      <c r="V632" s="152" t="str">
        <f>+VLOOKUP($L632,Data_Validation!$A:$D,4,0)</f>
        <v>Ex-Démos et courtoisies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1501</v>
      </c>
      <c r="B633" s="639" t="s">
        <v>706</v>
      </c>
      <c r="C633" s="640"/>
      <c r="D633" s="640"/>
      <c r="E633" s="640"/>
      <c r="F633" s="639" t="s">
        <v>4</v>
      </c>
      <c r="G633" s="639" t="s">
        <v>616</v>
      </c>
      <c r="H633" s="634" t="s">
        <v>3074</v>
      </c>
      <c r="I633" s="633">
        <v>-3</v>
      </c>
      <c r="J633" s="633">
        <v>0</v>
      </c>
      <c r="K633" s="633">
        <v>-3</v>
      </c>
      <c r="L633" s="149" t="str">
        <f t="shared" si="45"/>
        <v>418A@</v>
      </c>
      <c r="M633" s="150" t="str">
        <f t="shared" si="46"/>
        <v># DE VTE - AUTRES MODELES BMW CAMION</v>
      </c>
      <c r="N633" s="151">
        <f>+IF(OR($Q633=Parametres!$G$2,$Q633=Parametres!$G$3),I633,C633)</f>
        <v>-3</v>
      </c>
      <c r="O633" s="151">
        <f>+IF(OR($Q633=Parametres!$G$2,$Q633=Parametres!$G$3),J633,D633)</f>
        <v>0</v>
      </c>
      <c r="P633" s="151">
        <f>+IF(OR($Q633=Parametres!$G$2,$Q633=Parametres!$G$3),K633,E633)</f>
        <v>-3</v>
      </c>
      <c r="Q633" s="150" t="str">
        <f t="shared" si="47"/>
        <v>10-Compte compteur</v>
      </c>
      <c r="R633" s="149" t="str">
        <f t="shared" si="48"/>
        <v>418</v>
      </c>
      <c r="S633" s="150" t="str">
        <f t="shared" si="49"/>
        <v>_</v>
      </c>
      <c r="T633" s="152" t="str">
        <f>+VLOOKUP($L633,Data_Validation!$A:$D,1,0)</f>
        <v>418A@</v>
      </c>
      <c r="U633" s="152" t="str">
        <f>+VLOOKUP($L633,Data_Validation!$A:$D,3,0)</f>
        <v>Véhicules neufs</v>
      </c>
      <c r="V633" s="152" t="str">
        <f>+VLOOKUP($L633,Data_Validation!$A:$D,4,0)</f>
        <v>Ex-Démos et courtoisies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1502</v>
      </c>
      <c r="B634" s="639" t="s">
        <v>707</v>
      </c>
      <c r="C634" s="640"/>
      <c r="D634" s="640"/>
      <c r="E634" s="640"/>
      <c r="F634" s="639" t="s">
        <v>4</v>
      </c>
      <c r="G634" s="639" t="s">
        <v>423</v>
      </c>
      <c r="H634" s="634" t="s">
        <v>3074</v>
      </c>
      <c r="I634" s="633">
        <v>-11</v>
      </c>
      <c r="J634" s="633">
        <v>-1</v>
      </c>
      <c r="K634" s="633">
        <v>-12</v>
      </c>
      <c r="L634" s="149" t="str">
        <f t="shared" si="45"/>
        <v>419@</v>
      </c>
      <c r="M634" s="150" t="str">
        <f t="shared" si="46"/>
        <v># DE VTE - FLEET VOITURE BMW</v>
      </c>
      <c r="N634" s="151">
        <f>+IF(OR($Q634=Parametres!$G$2,$Q634=Parametres!$G$3),I634,C634)</f>
        <v>-11</v>
      </c>
      <c r="O634" s="151">
        <f>+IF(OR($Q634=Parametres!$G$2,$Q634=Parametres!$G$3),J634,D634)</f>
        <v>-1</v>
      </c>
      <c r="P634" s="151">
        <f>+IF(OR($Q634=Parametres!$G$2,$Q634=Parametres!$G$3),K634,E634)</f>
        <v>-12</v>
      </c>
      <c r="Q634" s="150" t="str">
        <f t="shared" si="47"/>
        <v>10-Compte compteur</v>
      </c>
      <c r="R634" s="149" t="str">
        <f t="shared" si="48"/>
        <v>419</v>
      </c>
      <c r="S634" s="150" t="str">
        <f t="shared" si="49"/>
        <v>_</v>
      </c>
      <c r="T634" s="152" t="str">
        <f>+VLOOKUP($L634,Data_Validation!$A:$D,1,0)</f>
        <v>419@</v>
      </c>
      <c r="U634" s="152" t="str">
        <f>+VLOOKUP($L634,Data_Validation!$A:$D,3,0)</f>
        <v>Véhicules neufs</v>
      </c>
      <c r="V634" s="152" t="str">
        <f>+VLOOKUP($L634,Data_Validation!$A:$D,4,0)</f>
        <v>Flottes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1503</v>
      </c>
      <c r="B635" s="639" t="s">
        <v>708</v>
      </c>
      <c r="C635" s="640"/>
      <c r="D635" s="640"/>
      <c r="E635" s="640"/>
      <c r="F635" s="639" t="s">
        <v>4</v>
      </c>
      <c r="G635" s="639" t="s">
        <v>412</v>
      </c>
      <c r="H635" s="634" t="s">
        <v>3074</v>
      </c>
      <c r="I635" s="633">
        <v>-6</v>
      </c>
      <c r="J635" s="633">
        <v>-1</v>
      </c>
      <c r="K635" s="633">
        <v>-7</v>
      </c>
      <c r="L635" s="149" t="str">
        <f t="shared" si="45"/>
        <v>419A@</v>
      </c>
      <c r="M635" s="150" t="str">
        <f t="shared" si="46"/>
        <v># DE VTE - FLEET CAMION BMW</v>
      </c>
      <c r="N635" s="151">
        <f>+IF(OR($Q635=Parametres!$G$2,$Q635=Parametres!$G$3),I635,C635)</f>
        <v>-6</v>
      </c>
      <c r="O635" s="151">
        <f>+IF(OR($Q635=Parametres!$G$2,$Q635=Parametres!$G$3),J635,D635)</f>
        <v>-1</v>
      </c>
      <c r="P635" s="151">
        <f>+IF(OR($Q635=Parametres!$G$2,$Q635=Parametres!$G$3),K635,E635)</f>
        <v>-7</v>
      </c>
      <c r="Q635" s="150" t="str">
        <f t="shared" si="47"/>
        <v>10-Compte compteur</v>
      </c>
      <c r="R635" s="149" t="str">
        <f t="shared" si="48"/>
        <v>419A</v>
      </c>
      <c r="S635" s="150" t="str">
        <f t="shared" si="49"/>
        <v>_</v>
      </c>
      <c r="T635" s="152" t="str">
        <f>+VLOOKUP($L635,Data_Validation!$A:$D,1,0)</f>
        <v>419A@</v>
      </c>
      <c r="U635" s="152" t="str">
        <f>+VLOOKUP($L635,Data_Validation!$A:$D,3,0)</f>
        <v>Véhicules neufs</v>
      </c>
      <c r="V635" s="152" t="str">
        <f>+VLOOKUP($L635,Data_Validation!$A:$D,4,0)</f>
        <v>Flottes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1504</v>
      </c>
      <c r="B636" s="639" t="s">
        <v>709</v>
      </c>
      <c r="C636" s="640"/>
      <c r="D636" s="640"/>
      <c r="E636" s="640"/>
      <c r="F636" s="639" t="s">
        <v>4</v>
      </c>
      <c r="G636" s="639" t="s">
        <v>419</v>
      </c>
      <c r="H636" s="634" t="s">
        <v>3074</v>
      </c>
      <c r="I636" s="633">
        <v>-3</v>
      </c>
      <c r="J636" s="633">
        <v>0</v>
      </c>
      <c r="K636" s="633">
        <v>-3</v>
      </c>
      <c r="L636" s="149" t="str">
        <f t="shared" si="45"/>
        <v>422A@</v>
      </c>
      <c r="M636" s="150" t="str">
        <f t="shared" si="46"/>
        <v># DE VTE - X6 XDRIVE 35I</v>
      </c>
      <c r="N636" s="151">
        <f>+IF(OR($Q636=Parametres!$G$2,$Q636=Parametres!$G$3),I636,C636)</f>
        <v>-3</v>
      </c>
      <c r="O636" s="151">
        <f>+IF(OR($Q636=Parametres!$G$2,$Q636=Parametres!$G$3),J636,D636)</f>
        <v>0</v>
      </c>
      <c r="P636" s="151">
        <f>+IF(OR($Q636=Parametres!$G$2,$Q636=Parametres!$G$3),K636,E636)</f>
        <v>-3</v>
      </c>
      <c r="Q636" s="150" t="str">
        <f t="shared" si="47"/>
        <v>10-Compte compteur</v>
      </c>
      <c r="R636" s="149" t="str">
        <f t="shared" si="48"/>
        <v>422A</v>
      </c>
      <c r="S636" s="150" t="str">
        <f t="shared" si="49"/>
        <v>_</v>
      </c>
      <c r="T636" s="152" t="str">
        <f>+VLOOKUP($L636,Data_Validation!$A:$D,1,0)</f>
        <v>422A@</v>
      </c>
      <c r="U636" s="152" t="str">
        <f>+VLOOKUP($L636,Data_Validation!$A:$D,3,0)</f>
        <v>Véhicules neufs</v>
      </c>
      <c r="V636" s="152" t="str">
        <f>+VLOOKUP($L636,Data_Validation!$A:$D,4,0)</f>
        <v>Camions détail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2552</v>
      </c>
      <c r="B637" s="639" t="s">
        <v>2553</v>
      </c>
      <c r="C637" s="640"/>
      <c r="D637" s="640"/>
      <c r="E637" s="640"/>
      <c r="F637" s="639" t="s">
        <v>4</v>
      </c>
      <c r="G637" s="639" t="s">
        <v>2549</v>
      </c>
      <c r="H637" s="634" t="s">
        <v>3074</v>
      </c>
      <c r="I637" s="633">
        <v>-2</v>
      </c>
      <c r="J637" s="633">
        <v>-1</v>
      </c>
      <c r="K637" s="633">
        <v>-3</v>
      </c>
      <c r="L637" s="149" t="str">
        <f t="shared" si="45"/>
        <v>422C@</v>
      </c>
      <c r="M637" s="150" t="str">
        <f t="shared" si="46"/>
        <v># DE VTE - X6 M60i</v>
      </c>
      <c r="N637" s="151">
        <f>+IF(OR($Q637=Parametres!$G$2,$Q637=Parametres!$G$3),I637,C637)</f>
        <v>-2</v>
      </c>
      <c r="O637" s="151">
        <f>+IF(OR($Q637=Parametres!$G$2,$Q637=Parametres!$G$3),J637,D637)</f>
        <v>-1</v>
      </c>
      <c r="P637" s="151">
        <f>+IF(OR($Q637=Parametres!$G$2,$Q637=Parametres!$G$3),K637,E637)</f>
        <v>-3</v>
      </c>
      <c r="Q637" s="150" t="str">
        <f t="shared" si="47"/>
        <v>10-Compte compteur</v>
      </c>
      <c r="R637" s="149" t="str">
        <f t="shared" si="48"/>
        <v>422C</v>
      </c>
      <c r="S637" s="150" t="str">
        <f t="shared" si="49"/>
        <v>_</v>
      </c>
      <c r="T637" s="152" t="str">
        <f>+VLOOKUP($L637,Data_Validation!$A:$D,1,0)</f>
        <v>422C@</v>
      </c>
      <c r="U637" s="152" t="str">
        <f>+VLOOKUP($L637,Data_Validation!$A:$D,3,0)</f>
        <v>Véhicules neufs</v>
      </c>
      <c r="V637" s="152" t="str">
        <f>+VLOOKUP($L637,Data_Validation!$A:$D,4,0)</f>
        <v>Camions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1505</v>
      </c>
      <c r="B638" s="639" t="s">
        <v>711</v>
      </c>
      <c r="C638" s="640"/>
      <c r="D638" s="640"/>
      <c r="E638" s="640"/>
      <c r="F638" s="639" t="s">
        <v>4</v>
      </c>
      <c r="G638" s="639" t="s">
        <v>617</v>
      </c>
      <c r="H638" s="634" t="s">
        <v>3074</v>
      </c>
      <c r="I638" s="633">
        <v>-12</v>
      </c>
      <c r="J638" s="633">
        <v>0</v>
      </c>
      <c r="K638" s="633">
        <v>-12</v>
      </c>
      <c r="L638" s="149" t="str">
        <f t="shared" si="45"/>
        <v>423C@</v>
      </c>
      <c r="M638" s="150" t="str">
        <f t="shared" si="46"/>
        <v># DE VTE - X3 XDRIVE 30E</v>
      </c>
      <c r="N638" s="151">
        <f>+IF(OR($Q638=Parametres!$G$2,$Q638=Parametres!$G$3),I638,C638)</f>
        <v>-12</v>
      </c>
      <c r="O638" s="151">
        <f>+IF(OR($Q638=Parametres!$G$2,$Q638=Parametres!$G$3),J638,D638)</f>
        <v>0</v>
      </c>
      <c r="P638" s="151">
        <f>+IF(OR($Q638=Parametres!$G$2,$Q638=Parametres!$G$3),K638,E638)</f>
        <v>-12</v>
      </c>
      <c r="Q638" s="150" t="str">
        <f t="shared" si="47"/>
        <v>10-Compte compteur</v>
      </c>
      <c r="R638" s="149" t="str">
        <f t="shared" si="48"/>
        <v>423C</v>
      </c>
      <c r="S638" s="150" t="str">
        <f t="shared" si="49"/>
        <v>_</v>
      </c>
      <c r="T638" s="152" t="str">
        <f>+VLOOKUP($L638,Data_Validation!$A:$D,1,0)</f>
        <v>423C@</v>
      </c>
      <c r="U638" s="152" t="str">
        <f>+VLOOKUP($L638,Data_Validation!$A:$D,3,0)</f>
        <v>Véhicules neufs</v>
      </c>
      <c r="V638" s="152" t="str">
        <f>+VLOOKUP($L638,Data_Validation!$A:$D,4,0)</f>
        <v>Camions détail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1506</v>
      </c>
      <c r="B639" s="639" t="s">
        <v>712</v>
      </c>
      <c r="C639" s="640"/>
      <c r="D639" s="640"/>
      <c r="E639" s="640"/>
      <c r="F639" s="639" t="s">
        <v>4</v>
      </c>
      <c r="G639" s="639" t="s">
        <v>618</v>
      </c>
      <c r="H639" s="634" t="s">
        <v>3074</v>
      </c>
      <c r="I639" s="633">
        <v>-3</v>
      </c>
      <c r="J639" s="633">
        <v>-3</v>
      </c>
      <c r="K639" s="633">
        <v>-6</v>
      </c>
      <c r="L639" s="149" t="str">
        <f t="shared" si="45"/>
        <v>423D@</v>
      </c>
      <c r="M639" s="150" t="str">
        <f t="shared" si="46"/>
        <v># DE VTE - X5 XDRIVE 35I/ X5 XDRIVE 40I</v>
      </c>
      <c r="N639" s="151">
        <f>+IF(OR($Q639=Parametres!$G$2,$Q639=Parametres!$G$3),I639,C639)</f>
        <v>-3</v>
      </c>
      <c r="O639" s="151">
        <f>+IF(OR($Q639=Parametres!$G$2,$Q639=Parametres!$G$3),J639,D639)</f>
        <v>-3</v>
      </c>
      <c r="P639" s="151">
        <f>+IF(OR($Q639=Parametres!$G$2,$Q639=Parametres!$G$3),K639,E639)</f>
        <v>-6</v>
      </c>
      <c r="Q639" s="150" t="str">
        <f t="shared" si="47"/>
        <v>10-Compte compteur</v>
      </c>
      <c r="R639" s="149" t="str">
        <f t="shared" si="48"/>
        <v>423D</v>
      </c>
      <c r="S639" s="150" t="str">
        <f t="shared" si="49"/>
        <v>_</v>
      </c>
      <c r="T639" s="152" t="str">
        <f>+VLOOKUP($L639,Data_Validation!$A:$D,1,0)</f>
        <v>423D@</v>
      </c>
      <c r="U639" s="152" t="str">
        <f>+VLOOKUP($L639,Data_Validation!$A:$D,3,0)</f>
        <v>Véhicules neufs</v>
      </c>
      <c r="V639" s="152" t="str">
        <f>+VLOOKUP($L639,Data_Validation!$A:$D,4,0)</f>
        <v>Camions détail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2488</v>
      </c>
      <c r="B640" s="639" t="s">
        <v>2489</v>
      </c>
      <c r="C640" s="640"/>
      <c r="D640" s="640"/>
      <c r="E640" s="640"/>
      <c r="F640" s="639" t="s">
        <v>4</v>
      </c>
      <c r="G640" s="639" t="s">
        <v>2485</v>
      </c>
      <c r="H640" s="634" t="s">
        <v>3074</v>
      </c>
      <c r="I640" s="633">
        <v>-6</v>
      </c>
      <c r="J640" s="633">
        <v>0</v>
      </c>
      <c r="K640" s="633">
        <v>-6</v>
      </c>
      <c r="L640" s="149" t="str">
        <f t="shared" si="45"/>
        <v>423F@</v>
      </c>
      <c r="M640" s="150" t="str">
        <f t="shared" si="46"/>
        <v># DE VTE - X5 xDRIVE50e</v>
      </c>
      <c r="N640" s="151">
        <f>+IF(OR($Q640=Parametres!$G$2,$Q640=Parametres!$G$3),I640,C640)</f>
        <v>-6</v>
      </c>
      <c r="O640" s="151">
        <f>+IF(OR($Q640=Parametres!$G$2,$Q640=Parametres!$G$3),J640,D640)</f>
        <v>0</v>
      </c>
      <c r="P640" s="151">
        <f>+IF(OR($Q640=Parametres!$G$2,$Q640=Parametres!$G$3),K640,E640)</f>
        <v>-6</v>
      </c>
      <c r="Q640" s="150" t="str">
        <f t="shared" si="47"/>
        <v>10-Compte compteur</v>
      </c>
      <c r="R640" s="149" t="str">
        <f t="shared" si="48"/>
        <v>423F</v>
      </c>
      <c r="S640" s="150" t="str">
        <f t="shared" si="49"/>
        <v>_</v>
      </c>
      <c r="T640" s="152" t="str">
        <f>+VLOOKUP($L640,Data_Validation!$A:$D,1,0)</f>
        <v>423F@</v>
      </c>
      <c r="U640" s="152" t="str">
        <f>+VLOOKUP($L640,Data_Validation!$A:$D,3,0)</f>
        <v>Véhicules neufs</v>
      </c>
      <c r="V640" s="152" t="str">
        <f>+VLOOKUP($L640,Data_Validation!$A:$D,4,0)</f>
        <v>Camions détail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3028</v>
      </c>
      <c r="B641" s="639" t="s">
        <v>3037</v>
      </c>
      <c r="C641" s="640"/>
      <c r="D641" s="640"/>
      <c r="E641" s="640"/>
      <c r="F641" s="639" t="s">
        <v>4</v>
      </c>
      <c r="G641" s="639" t="s">
        <v>3094</v>
      </c>
      <c r="H641" s="634" t="s">
        <v>3074</v>
      </c>
      <c r="I641" s="633">
        <v>-2</v>
      </c>
      <c r="J641" s="633">
        <v>-1</v>
      </c>
      <c r="K641" s="633">
        <v>-3</v>
      </c>
      <c r="L641" s="149" t="str">
        <f t="shared" si="45"/>
        <v>424A@</v>
      </c>
      <c r="M641" s="150" t="str">
        <f t="shared" si="46"/>
        <v>X3 30 XDRIVE</v>
      </c>
      <c r="N641" s="151">
        <f>+IF(OR($Q641=Parametres!$G$2,$Q641=Parametres!$G$3),I641,C641)</f>
        <v>-2</v>
      </c>
      <c r="O641" s="151">
        <f>+IF(OR($Q641=Parametres!$G$2,$Q641=Parametres!$G$3),J641,D641)</f>
        <v>-1</v>
      </c>
      <c r="P641" s="151">
        <f>+IF(OR($Q641=Parametres!$G$2,$Q641=Parametres!$G$3),K641,E641)</f>
        <v>-3</v>
      </c>
      <c r="Q641" s="150" t="str">
        <f t="shared" si="47"/>
        <v>10-Compte compteur</v>
      </c>
      <c r="R641" s="149" t="str">
        <f t="shared" si="48"/>
        <v>424</v>
      </c>
      <c r="S641" s="150" t="str">
        <f t="shared" si="49"/>
        <v>_</v>
      </c>
      <c r="T641" s="152" t="str">
        <f>+VLOOKUP($L641,Data_Validation!$A:$D,1,0)</f>
        <v>424A@</v>
      </c>
      <c r="U641" s="152" t="str">
        <f>+VLOOKUP($L641,Data_Validation!$A:$D,3,0)</f>
        <v>Véhicules neufs</v>
      </c>
      <c r="V641" s="152" t="str">
        <f>+VLOOKUP($L641,Data_Validation!$A:$D,4,0)</f>
        <v>Camions détail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2535</v>
      </c>
      <c r="B642" s="639" t="s">
        <v>2536</v>
      </c>
      <c r="C642" s="640"/>
      <c r="D642" s="640"/>
      <c r="E642" s="640"/>
      <c r="F642" s="639" t="s">
        <v>4</v>
      </c>
      <c r="G642" s="639" t="s">
        <v>2528</v>
      </c>
      <c r="H642" s="634" t="s">
        <v>3074</v>
      </c>
      <c r="I642" s="633">
        <v>-1</v>
      </c>
      <c r="J642" s="633">
        <v>0</v>
      </c>
      <c r="K642" s="633">
        <v>-1</v>
      </c>
      <c r="L642" s="149" t="str">
        <f t="shared" ref="L642:L705" si="50">+B642</f>
        <v>424E@</v>
      </c>
      <c r="M642" s="150" t="str">
        <f t="shared" ref="M642:M705" si="51">+A642</f>
        <v># OF VTES -VTE - i5 M60 xDRIVE</v>
      </c>
      <c r="N642" s="151">
        <f>+IF(OR($Q642=Parametres!$G$2,$Q642=Parametres!$G$3),I642,C642)</f>
        <v>-1</v>
      </c>
      <c r="O642" s="151">
        <f>+IF(OR($Q642=Parametres!$G$2,$Q642=Parametres!$G$3),J642,D642)</f>
        <v>0</v>
      </c>
      <c r="P642" s="151">
        <f>+IF(OR($Q642=Parametres!$G$2,$Q642=Parametres!$G$3),K642,E642)</f>
        <v>-1</v>
      </c>
      <c r="Q642" s="150" t="str">
        <f t="shared" ref="Q642:Q705" si="52">+F642</f>
        <v>10-Compte compteur</v>
      </c>
      <c r="R642" s="149" t="str">
        <f t="shared" ref="R642:R705" si="53">+G642</f>
        <v>424E</v>
      </c>
      <c r="S642" s="150" t="str">
        <f t="shared" ref="S642:S705" si="54">+H642</f>
        <v>_</v>
      </c>
      <c r="T642" s="152" t="str">
        <f>+VLOOKUP($L642,Data_Validation!$A:$D,1,0)</f>
        <v>424E@</v>
      </c>
      <c r="U642" s="152" t="str">
        <f>+VLOOKUP($L642,Data_Validation!$A:$D,3,0)</f>
        <v>Véhicules neufs</v>
      </c>
      <c r="V642" s="152" t="str">
        <f>+VLOOKUP($L642,Data_Validation!$A:$D,4,0)</f>
        <v>Autos détail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2021</v>
      </c>
      <c r="B643" s="639" t="s">
        <v>2022</v>
      </c>
      <c r="C643" s="640"/>
      <c r="D643" s="640"/>
      <c r="E643" s="640"/>
      <c r="F643" s="639" t="s">
        <v>4</v>
      </c>
      <c r="G643" s="639" t="s">
        <v>2008</v>
      </c>
      <c r="H643" s="634" t="s">
        <v>3074</v>
      </c>
      <c r="I643" s="633">
        <v>-1</v>
      </c>
      <c r="J643" s="633">
        <v>0</v>
      </c>
      <c r="K643" s="633">
        <v>-1</v>
      </c>
      <c r="L643" s="149" t="str">
        <f t="shared" si="50"/>
        <v>426A@</v>
      </c>
      <c r="M643" s="150" t="str">
        <f t="shared" si="51"/>
        <v># DE VTE -530I XDRIVE</v>
      </c>
      <c r="N643" s="151">
        <f>+IF(OR($Q643=Parametres!$G$2,$Q643=Parametres!$G$3),I643,C643)</f>
        <v>-1</v>
      </c>
      <c r="O643" s="151">
        <f>+IF(OR($Q643=Parametres!$G$2,$Q643=Parametres!$G$3),J643,D643)</f>
        <v>0</v>
      </c>
      <c r="P643" s="151">
        <f>+IF(OR($Q643=Parametres!$G$2,$Q643=Parametres!$G$3),K643,E643)</f>
        <v>-1</v>
      </c>
      <c r="Q643" s="150" t="str">
        <f t="shared" si="52"/>
        <v>10-Compte compteur</v>
      </c>
      <c r="R643" s="149" t="str">
        <f t="shared" si="53"/>
        <v>426A</v>
      </c>
      <c r="S643" s="150" t="str">
        <f t="shared" si="54"/>
        <v>_</v>
      </c>
      <c r="T643" s="152" t="str">
        <f>+VLOOKUP($L643,Data_Validation!$A:$D,1,0)</f>
        <v>426A@</v>
      </c>
      <c r="U643" s="152" t="str">
        <f>+VLOOKUP($L643,Data_Validation!$A:$D,3,0)</f>
        <v>Véhicules neufs</v>
      </c>
      <c r="V643" s="152" t="str">
        <f>+VLOOKUP($L643,Data_Validation!$A:$D,4,0)</f>
        <v>Autos détail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1879</v>
      </c>
      <c r="B644" s="639" t="s">
        <v>719</v>
      </c>
      <c r="C644" s="640"/>
      <c r="D644" s="640"/>
      <c r="E644" s="640"/>
      <c r="F644" s="639" t="s">
        <v>4</v>
      </c>
      <c r="G644" s="639" t="s">
        <v>625</v>
      </c>
      <c r="H644" s="634" t="s">
        <v>3074</v>
      </c>
      <c r="I644" s="633">
        <v>-3</v>
      </c>
      <c r="J644" s="633">
        <v>0</v>
      </c>
      <c r="K644" s="633">
        <v>-3</v>
      </c>
      <c r="L644" s="149" t="str">
        <f t="shared" si="50"/>
        <v>430@</v>
      </c>
      <c r="M644" s="150" t="str">
        <f t="shared" si="51"/>
        <v># DE VTE - M5 SEDAN</v>
      </c>
      <c r="N644" s="151">
        <f>+IF(OR($Q644=Parametres!$G$2,$Q644=Parametres!$G$3),I644,C644)</f>
        <v>-3</v>
      </c>
      <c r="O644" s="151">
        <f>+IF(OR($Q644=Parametres!$G$2,$Q644=Parametres!$G$3),J644,D644)</f>
        <v>0</v>
      </c>
      <c r="P644" s="151">
        <f>+IF(OR($Q644=Parametres!$G$2,$Q644=Parametres!$G$3),K644,E644)</f>
        <v>-3</v>
      </c>
      <c r="Q644" s="150" t="str">
        <f t="shared" si="52"/>
        <v>10-Compte compteur</v>
      </c>
      <c r="R644" s="149" t="str">
        <f t="shared" si="53"/>
        <v>430</v>
      </c>
      <c r="S644" s="150" t="str">
        <f t="shared" si="54"/>
        <v>_</v>
      </c>
      <c r="T644" s="152" t="str">
        <f>+VLOOKUP($L644,Data_Validation!$A:$D,1,0)</f>
        <v>430@</v>
      </c>
      <c r="U644" s="152" t="str">
        <f>+VLOOKUP($L644,Data_Validation!$A:$D,3,0)</f>
        <v>Véhicules neufs</v>
      </c>
      <c r="V644" s="152" t="str">
        <f>+VLOOKUP($L644,Data_Validation!$A:$D,4,0)</f>
        <v>Autos détail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1510</v>
      </c>
      <c r="B645" s="639" t="s">
        <v>1041</v>
      </c>
      <c r="C645" s="640"/>
      <c r="D645" s="640"/>
      <c r="E645" s="640"/>
      <c r="F645" s="639" t="s">
        <v>4</v>
      </c>
      <c r="G645" s="639" t="s">
        <v>625</v>
      </c>
      <c r="H645" s="634" t="s">
        <v>3074</v>
      </c>
      <c r="I645" s="633">
        <v>-114</v>
      </c>
      <c r="J645" s="633">
        <v>-19</v>
      </c>
      <c r="K645" s="633">
        <v>-133</v>
      </c>
      <c r="L645" s="149" t="str">
        <f t="shared" si="50"/>
        <v>430A@</v>
      </c>
      <c r="M645" s="150" t="str">
        <f t="shared" si="51"/>
        <v># DE VTE - MARQUAGE OTOPROTEC NEUF BMW AUTO</v>
      </c>
      <c r="N645" s="151">
        <f>+IF(OR($Q645=Parametres!$G$2,$Q645=Parametres!$G$3),I645,C645)</f>
        <v>-114</v>
      </c>
      <c r="O645" s="151">
        <f>+IF(OR($Q645=Parametres!$G$2,$Q645=Parametres!$G$3),J645,D645)</f>
        <v>-19</v>
      </c>
      <c r="P645" s="151">
        <f>+IF(OR($Q645=Parametres!$G$2,$Q645=Parametres!$G$3),K645,E645)</f>
        <v>-133</v>
      </c>
      <c r="Q645" s="150" t="str">
        <f t="shared" si="52"/>
        <v>10-Compte compteur</v>
      </c>
      <c r="R645" s="149" t="str">
        <f t="shared" si="53"/>
        <v>430</v>
      </c>
      <c r="S645" s="150" t="str">
        <f t="shared" si="54"/>
        <v>_</v>
      </c>
      <c r="T645" s="152" t="str">
        <f>+VLOOKUP($L645,Data_Validation!$A:$D,1,0)</f>
        <v>430A@</v>
      </c>
      <c r="U645" s="152" t="str">
        <f>+VLOOKUP($L645,Data_Validation!$A:$D,3,0)</f>
        <v>Véhicules neufs</v>
      </c>
      <c r="V645" s="152" t="str">
        <f>+VLOOKUP($L645,Data_Validation!$A:$D,4,0)</f>
        <v>Rev. Autres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1511</v>
      </c>
      <c r="B646" s="639" t="s">
        <v>1042</v>
      </c>
      <c r="C646" s="640"/>
      <c r="D646" s="640"/>
      <c r="E646" s="640"/>
      <c r="F646" s="639" t="s">
        <v>4</v>
      </c>
      <c r="G646" s="639" t="s">
        <v>625</v>
      </c>
      <c r="H646" s="634" t="s">
        <v>3074</v>
      </c>
      <c r="I646" s="633">
        <v>-30</v>
      </c>
      <c r="J646" s="633">
        <v>-1</v>
      </c>
      <c r="K646" s="633">
        <v>-31</v>
      </c>
      <c r="L646" s="149" t="str">
        <f t="shared" si="50"/>
        <v>430C@</v>
      </c>
      <c r="M646" s="150" t="str">
        <f t="shared" si="51"/>
        <v># DE VTE - ACCESSOIRES NEUFS BMW AUTO</v>
      </c>
      <c r="N646" s="151">
        <f>+IF(OR($Q646=Parametres!$G$2,$Q646=Parametres!$G$3),I646,C646)</f>
        <v>-30</v>
      </c>
      <c r="O646" s="151">
        <f>+IF(OR($Q646=Parametres!$G$2,$Q646=Parametres!$G$3),J646,D646)</f>
        <v>-1</v>
      </c>
      <c r="P646" s="151">
        <f>+IF(OR($Q646=Parametres!$G$2,$Q646=Parametres!$G$3),K646,E646)</f>
        <v>-31</v>
      </c>
      <c r="Q646" s="150" t="str">
        <f t="shared" si="52"/>
        <v>10-Compte compteur</v>
      </c>
      <c r="R646" s="149" t="str">
        <f t="shared" si="53"/>
        <v>430</v>
      </c>
      <c r="S646" s="150" t="str">
        <f t="shared" si="54"/>
        <v>_</v>
      </c>
      <c r="T646" s="152" t="str">
        <f>+VLOOKUP($L646,Data_Validation!$A:$D,1,0)</f>
        <v>430C@</v>
      </c>
      <c r="U646" s="152" t="str">
        <f>+VLOOKUP($L646,Data_Validation!$A:$D,3,0)</f>
        <v>Véhicules neufs</v>
      </c>
      <c r="V646" s="152" t="str">
        <f>+VLOOKUP($L646,Data_Validation!$A:$D,4,0)</f>
        <v>Rev. Autres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1512</v>
      </c>
      <c r="B647" s="639" t="s">
        <v>1513</v>
      </c>
      <c r="C647" s="640"/>
      <c r="D647" s="640"/>
      <c r="E647" s="640"/>
      <c r="F647" s="639" t="s">
        <v>4</v>
      </c>
      <c r="G647" s="639" t="s">
        <v>625</v>
      </c>
      <c r="H647" s="634" t="s">
        <v>3074</v>
      </c>
      <c r="I647" s="633">
        <v>-113</v>
      </c>
      <c r="J647" s="633">
        <v>-16</v>
      </c>
      <c r="K647" s="633">
        <v>-129</v>
      </c>
      <c r="L647" s="149" t="str">
        <f t="shared" si="50"/>
        <v>430E@</v>
      </c>
      <c r="M647" s="150" t="str">
        <f t="shared" si="51"/>
        <v># DE SLS - PROTEC ESTHETIQUE NEUF BMW AUTO</v>
      </c>
      <c r="N647" s="151">
        <f>+IF(OR($Q647=Parametres!$G$2,$Q647=Parametres!$G$3),I647,C647)</f>
        <v>-113</v>
      </c>
      <c r="O647" s="151">
        <f>+IF(OR($Q647=Parametres!$G$2,$Q647=Parametres!$G$3),J647,D647)</f>
        <v>-16</v>
      </c>
      <c r="P647" s="151">
        <f>+IF(OR($Q647=Parametres!$G$2,$Q647=Parametres!$G$3),K647,E647)</f>
        <v>-129</v>
      </c>
      <c r="Q647" s="150" t="str">
        <f t="shared" si="52"/>
        <v>10-Compte compteur</v>
      </c>
      <c r="R647" s="149" t="str">
        <f t="shared" si="53"/>
        <v>430</v>
      </c>
      <c r="S647" s="150" t="str">
        <f t="shared" si="54"/>
        <v>_</v>
      </c>
      <c r="T647" s="152" t="str">
        <f>+VLOOKUP($L647,Data_Validation!$A:$D,1,0)</f>
        <v>430E@</v>
      </c>
      <c r="U647" s="152" t="str">
        <f>+VLOOKUP($L647,Data_Validation!$A:$D,3,0)</f>
        <v>Véhicules neufs</v>
      </c>
      <c r="V647" s="152" t="str">
        <f>+VLOOKUP($L647,Data_Validation!$A:$D,4,0)</f>
        <v>Rev. Protections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1514</v>
      </c>
      <c r="B648" s="639" t="s">
        <v>1515</v>
      </c>
      <c r="C648" s="640"/>
      <c r="D648" s="640"/>
      <c r="E648" s="640"/>
      <c r="F648" s="639" t="s">
        <v>4</v>
      </c>
      <c r="G648" s="639" t="s">
        <v>625</v>
      </c>
      <c r="H648" s="634" t="s">
        <v>3074</v>
      </c>
      <c r="I648" s="633">
        <v>-3</v>
      </c>
      <c r="J648" s="633">
        <v>0</v>
      </c>
      <c r="K648" s="633">
        <v>-3</v>
      </c>
      <c r="L648" s="149" t="str">
        <f t="shared" si="50"/>
        <v>430F@</v>
      </c>
      <c r="M648" s="150" t="str">
        <f t="shared" si="51"/>
        <v># DE VTE - RIST FIN NEUF BMW AUTO</v>
      </c>
      <c r="N648" s="151">
        <f>+IF(OR($Q648=Parametres!$G$2,$Q648=Parametres!$G$3),I648,C648)</f>
        <v>-3</v>
      </c>
      <c r="O648" s="151">
        <f>+IF(OR($Q648=Parametres!$G$2,$Q648=Parametres!$G$3),J648,D648)</f>
        <v>0</v>
      </c>
      <c r="P648" s="151">
        <f>+IF(OR($Q648=Parametres!$G$2,$Q648=Parametres!$G$3),K648,E648)</f>
        <v>-3</v>
      </c>
      <c r="Q648" s="150" t="str">
        <f t="shared" si="52"/>
        <v>10-Compte compteur</v>
      </c>
      <c r="R648" s="149" t="str">
        <f t="shared" si="53"/>
        <v>430</v>
      </c>
      <c r="S648" s="150" t="str">
        <f t="shared" si="54"/>
        <v>_</v>
      </c>
      <c r="T648" s="152" t="str">
        <f>+VLOOKUP($L648,Data_Validation!$A:$D,1,0)</f>
        <v>430F@</v>
      </c>
      <c r="U648" s="152" t="str">
        <f>+VLOOKUP($L648,Data_Validation!$A:$D,3,0)</f>
        <v>Véhicules neufs</v>
      </c>
      <c r="V648" s="152" t="str">
        <f>+VLOOKUP($L648,Data_Validation!$A:$D,4,0)</f>
        <v>Rev. Finances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1517</v>
      </c>
      <c r="B649" s="639" t="s">
        <v>1518</v>
      </c>
      <c r="C649" s="640"/>
      <c r="D649" s="640"/>
      <c r="E649" s="640"/>
      <c r="F649" s="639" t="s">
        <v>4</v>
      </c>
      <c r="G649" s="639" t="s">
        <v>625</v>
      </c>
      <c r="H649" s="634" t="s">
        <v>3074</v>
      </c>
      <c r="I649" s="633">
        <v>-5</v>
      </c>
      <c r="J649" s="633">
        <v>0</v>
      </c>
      <c r="K649" s="633">
        <v>-5</v>
      </c>
      <c r="L649" s="149" t="str">
        <f t="shared" si="50"/>
        <v>430T@</v>
      </c>
      <c r="M649" s="150" t="str">
        <f t="shared" si="51"/>
        <v># DE SLS - TRAITEMENT OTOPROTEC NEUF BMW AUTO</v>
      </c>
      <c r="N649" s="151">
        <f>+IF(OR($Q649=Parametres!$G$2,$Q649=Parametres!$G$3),I649,C649)</f>
        <v>-5</v>
      </c>
      <c r="O649" s="471">
        <f>+IF(OR($Q649=Parametres!$G$2,$Q649=Parametres!$G$3),J649,D649)</f>
        <v>0</v>
      </c>
      <c r="P649" s="151">
        <f>+IF(OR($Q649=Parametres!$G$2,$Q649=Parametres!$G$3),K649,E649)</f>
        <v>-5</v>
      </c>
      <c r="Q649" s="150" t="str">
        <f t="shared" si="52"/>
        <v>10-Compte compteur</v>
      </c>
      <c r="R649" s="149" t="str">
        <f t="shared" si="53"/>
        <v>430</v>
      </c>
      <c r="S649" s="150" t="str">
        <f t="shared" si="54"/>
        <v>_</v>
      </c>
      <c r="T649" s="152" t="str">
        <f>+VLOOKUP($L649,Data_Validation!$A:$D,1,0)</f>
        <v>430T@</v>
      </c>
      <c r="U649" s="152" t="str">
        <f>+VLOOKUP($L649,Data_Validation!$A:$D,3,0)</f>
        <v>Véhicules neufs</v>
      </c>
      <c r="V649" s="152" t="str">
        <f>+VLOOKUP($L649,Data_Validation!$A:$D,4,0)</f>
        <v>Rev. Autres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1519</v>
      </c>
      <c r="B650" s="639" t="s">
        <v>1520</v>
      </c>
      <c r="C650" s="640"/>
      <c r="D650" s="640"/>
      <c r="E650" s="640"/>
      <c r="F650" s="639" t="s">
        <v>4</v>
      </c>
      <c r="G650" s="639" t="s">
        <v>625</v>
      </c>
      <c r="H650" s="634" t="s">
        <v>3074</v>
      </c>
      <c r="I650" s="633">
        <v>-34</v>
      </c>
      <c r="J650" s="633">
        <v>-2</v>
      </c>
      <c r="K650" s="633">
        <v>-36</v>
      </c>
      <c r="L650" s="149" t="str">
        <f t="shared" si="50"/>
        <v>430U@</v>
      </c>
      <c r="M650" s="150" t="str">
        <f t="shared" si="51"/>
        <v># DE VTE - ASSIS USU NEUF BMW AUTO</v>
      </c>
      <c r="N650" s="151">
        <f>+IF(OR($Q650=Parametres!$G$2,$Q650=Parametres!$G$3),I650,C650)</f>
        <v>-34</v>
      </c>
      <c r="O650" s="151">
        <f>+IF(OR($Q650=Parametres!$G$2,$Q650=Parametres!$G$3),J650,D650)</f>
        <v>-2</v>
      </c>
      <c r="P650" s="151">
        <f>+IF(OR($Q650=Parametres!$G$2,$Q650=Parametres!$G$3),K650,E650)</f>
        <v>-36</v>
      </c>
      <c r="Q650" s="150" t="str">
        <f t="shared" si="52"/>
        <v>10-Compte compteur</v>
      </c>
      <c r="R650" s="149" t="str">
        <f t="shared" si="53"/>
        <v>430</v>
      </c>
      <c r="S650" s="150" t="str">
        <f t="shared" si="54"/>
        <v>_</v>
      </c>
      <c r="T650" s="152" t="str">
        <f>+VLOOKUP($L650,Data_Validation!$A:$D,1,0)</f>
        <v>430U@</v>
      </c>
      <c r="U650" s="152" t="str">
        <f>+VLOOKUP($L650,Data_Validation!$A:$D,3,0)</f>
        <v>Véhicules neufs</v>
      </c>
      <c r="V650" s="152" t="str">
        <f>+VLOOKUP($L650,Data_Validation!$A:$D,4,0)</f>
        <v>Rev. Protections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2062</v>
      </c>
      <c r="B651" s="639" t="s">
        <v>2063</v>
      </c>
      <c r="C651" s="640"/>
      <c r="D651" s="640"/>
      <c r="E651" s="640"/>
      <c r="F651" s="639" t="s">
        <v>4</v>
      </c>
      <c r="G651" s="639" t="s">
        <v>2011</v>
      </c>
      <c r="H651" s="634" t="s">
        <v>3074</v>
      </c>
      <c r="I651" s="633">
        <v>-3</v>
      </c>
      <c r="J651" s="633">
        <v>-1</v>
      </c>
      <c r="K651" s="633">
        <v>-4</v>
      </c>
      <c r="L651" s="149" t="str">
        <f t="shared" si="50"/>
        <v>432@</v>
      </c>
      <c r="M651" s="150" t="str">
        <f t="shared" si="51"/>
        <v># DE VTE - 530E XDRIVE</v>
      </c>
      <c r="N651" s="151">
        <f>+IF(OR($Q651=Parametres!$G$2,$Q651=Parametres!$G$3),I651,C651)</f>
        <v>-3</v>
      </c>
      <c r="O651" s="471">
        <f>+IF(OR($Q651=Parametres!$G$2,$Q651=Parametres!$G$3),J651,D651)</f>
        <v>-1</v>
      </c>
      <c r="P651" s="151">
        <f>+IF(OR($Q651=Parametres!$G$2,$Q651=Parametres!$G$3),K651,E651)</f>
        <v>-4</v>
      </c>
      <c r="Q651" s="150" t="str">
        <f t="shared" si="52"/>
        <v>10-Compte compteur</v>
      </c>
      <c r="R651" s="149" t="str">
        <f t="shared" si="53"/>
        <v>432</v>
      </c>
      <c r="S651" s="150" t="str">
        <f t="shared" si="54"/>
        <v>_</v>
      </c>
      <c r="T651" s="152" t="str">
        <f>+VLOOKUP($L651,Data_Validation!$A:$D,1,0)</f>
        <v>432@</v>
      </c>
      <c r="U651" s="152" t="str">
        <f>+VLOOKUP($L651,Data_Validation!$A:$D,3,0)</f>
        <v>Véhicules neufs</v>
      </c>
      <c r="V651" s="152" t="str">
        <f>+VLOOKUP($L651,Data_Validation!$A:$D,4,0)</f>
        <v>Autos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1524</v>
      </c>
      <c r="B652" s="639" t="s">
        <v>721</v>
      </c>
      <c r="C652" s="640"/>
      <c r="D652" s="640"/>
      <c r="E652" s="640"/>
      <c r="F652" s="639" t="s">
        <v>4</v>
      </c>
      <c r="G652" s="639" t="s">
        <v>2011</v>
      </c>
      <c r="H652" s="634" t="s">
        <v>3074</v>
      </c>
      <c r="I652" s="633">
        <v>-11</v>
      </c>
      <c r="J652" s="633">
        <v>0</v>
      </c>
      <c r="K652" s="633">
        <v>-11</v>
      </c>
      <c r="L652" s="149" t="str">
        <f t="shared" si="50"/>
        <v>432A@</v>
      </c>
      <c r="M652" s="150" t="str">
        <f t="shared" si="51"/>
        <v># DE VTE - GAR PROL NEUF BMW AUTO</v>
      </c>
      <c r="N652" s="151">
        <f>+IF(OR($Q652=Parametres!$G$2,$Q652=Parametres!$G$3),I652,C652)</f>
        <v>-11</v>
      </c>
      <c r="O652" s="151">
        <f>+IF(OR($Q652=Parametres!$G$2,$Q652=Parametres!$G$3),J652,D652)</f>
        <v>0</v>
      </c>
      <c r="P652" s="151">
        <f>+IF(OR($Q652=Parametres!$G$2,$Q652=Parametres!$G$3),K652,E652)</f>
        <v>-11</v>
      </c>
      <c r="Q652" s="150" t="str">
        <f t="shared" si="52"/>
        <v>10-Compte compteur</v>
      </c>
      <c r="R652" s="149" t="str">
        <f t="shared" si="53"/>
        <v>432</v>
      </c>
      <c r="S652" s="150" t="str">
        <f t="shared" si="54"/>
        <v>_</v>
      </c>
      <c r="T652" s="152" t="str">
        <f>+VLOOKUP($L652,Data_Validation!$A:$D,1,0)</f>
        <v>432A@</v>
      </c>
      <c r="U652" s="152" t="str">
        <f>+VLOOKUP($L652,Data_Validation!$A:$D,3,0)</f>
        <v>Véhicules neufs</v>
      </c>
      <c r="V652" s="152" t="str">
        <f>+VLOOKUP($L652,Data_Validation!$A:$D,4,0)</f>
        <v>Rev. Protections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2108</v>
      </c>
      <c r="B653" s="639" t="s">
        <v>2107</v>
      </c>
      <c r="C653" s="640"/>
      <c r="D653" s="640"/>
      <c r="E653" s="640"/>
      <c r="F653" s="639" t="s">
        <v>4</v>
      </c>
      <c r="G653" s="639" t="s">
        <v>2358</v>
      </c>
      <c r="H653" s="634" t="s">
        <v>3074</v>
      </c>
      <c r="I653" s="633">
        <v>-35</v>
      </c>
      <c r="J653" s="633">
        <v>-1</v>
      </c>
      <c r="K653" s="633">
        <v>-36</v>
      </c>
      <c r="L653" s="149" t="str">
        <f t="shared" si="50"/>
        <v>434A@</v>
      </c>
      <c r="M653" s="150" t="str">
        <f t="shared" si="51"/>
        <v># DE VTE - CONT ENTR NEUF BMW AUTO</v>
      </c>
      <c r="N653" s="151">
        <f>+IF(OR($Q653=Parametres!$G$2,$Q653=Parametres!$G$3),I653,C653)</f>
        <v>-35</v>
      </c>
      <c r="O653" s="471">
        <f>+IF(OR($Q653=Parametres!$G$2,$Q653=Parametres!$G$3),J653,D653)</f>
        <v>-1</v>
      </c>
      <c r="P653" s="151">
        <f>+IF(OR($Q653=Parametres!$G$2,$Q653=Parametres!$G$3),K653,E653)</f>
        <v>-36</v>
      </c>
      <c r="Q653" s="150" t="str">
        <f t="shared" si="52"/>
        <v>10-Compte compteur</v>
      </c>
      <c r="R653" s="149" t="str">
        <f t="shared" si="53"/>
        <v>434</v>
      </c>
      <c r="S653" s="150" t="str">
        <f t="shared" si="54"/>
        <v>_</v>
      </c>
      <c r="T653" s="152" t="str">
        <f>+VLOOKUP($L653,Data_Validation!$A:$D,1,0)</f>
        <v>434A@</v>
      </c>
      <c r="U653" s="152" t="str">
        <f>+VLOOKUP($L653,Data_Validation!$A:$D,3,0)</f>
        <v>Véhicules neufs</v>
      </c>
      <c r="V653" s="152" t="str">
        <f>+VLOOKUP($L653,Data_Validation!$A:$D,4,0)</f>
        <v>Rev. Protections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1525</v>
      </c>
      <c r="B654" s="639" t="s">
        <v>722</v>
      </c>
      <c r="C654" s="640"/>
      <c r="D654" s="640"/>
      <c r="E654" s="640"/>
      <c r="F654" s="639" t="s">
        <v>4</v>
      </c>
      <c r="G654" s="639" t="s">
        <v>420</v>
      </c>
      <c r="H654" s="634" t="s">
        <v>3074</v>
      </c>
      <c r="I654" s="633">
        <v>-19</v>
      </c>
      <c r="J654" s="633">
        <v>-3</v>
      </c>
      <c r="K654" s="633">
        <v>-22</v>
      </c>
      <c r="L654" s="149" t="str">
        <f t="shared" si="50"/>
        <v>440A@</v>
      </c>
      <c r="M654" s="150" t="str">
        <f t="shared" si="51"/>
        <v># DE VTE - USAGE BMW AUTO CERT</v>
      </c>
      <c r="N654" s="151">
        <f>+IF(OR($Q654=Parametres!$G$2,$Q654=Parametres!$G$3),I654,C654)</f>
        <v>-19</v>
      </c>
      <c r="O654" s="151">
        <f>+IF(OR($Q654=Parametres!$G$2,$Q654=Parametres!$G$3),J654,D654)</f>
        <v>-3</v>
      </c>
      <c r="P654" s="151">
        <f>+IF(OR($Q654=Parametres!$G$2,$Q654=Parametres!$G$3),K654,E654)</f>
        <v>-22</v>
      </c>
      <c r="Q654" s="150" t="str">
        <f t="shared" si="52"/>
        <v>10-Compte compteur</v>
      </c>
      <c r="R654" s="149" t="str">
        <f t="shared" si="53"/>
        <v>440A</v>
      </c>
      <c r="S654" s="150" t="str">
        <f t="shared" si="54"/>
        <v>_</v>
      </c>
      <c r="T654" s="152" t="str">
        <f>+VLOOKUP($L654,Data_Validation!$A:$D,1,0)</f>
        <v>440A@</v>
      </c>
      <c r="U654" s="152" t="str">
        <f>+VLOOKUP($L654,Data_Validation!$A:$D,3,0)</f>
        <v>Véhicules usagés</v>
      </c>
      <c r="V654" s="152" t="str">
        <f>+VLOOKUP($L654,Data_Validation!$A:$D,4,0)</f>
        <v>Certifié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1526</v>
      </c>
      <c r="B655" s="639" t="s">
        <v>723</v>
      </c>
      <c r="C655" s="640"/>
      <c r="D655" s="640"/>
      <c r="E655" s="640"/>
      <c r="F655" s="639" t="s">
        <v>4</v>
      </c>
      <c r="G655" s="639" t="s">
        <v>416</v>
      </c>
      <c r="H655" s="634" t="s">
        <v>3074</v>
      </c>
      <c r="I655" s="633">
        <v>-8</v>
      </c>
      <c r="J655" s="633">
        <v>-4</v>
      </c>
      <c r="K655" s="633">
        <v>-12</v>
      </c>
      <c r="L655" s="149" t="str">
        <f t="shared" si="50"/>
        <v>440B@</v>
      </c>
      <c r="M655" s="150" t="str">
        <f t="shared" si="51"/>
        <v># DE VTE - USAGE BMW AUTO NON-CERT</v>
      </c>
      <c r="N655" s="151">
        <f>+IF(OR($Q655=Parametres!$G$2,$Q655=Parametres!$G$3),I655,C655)</f>
        <v>-8</v>
      </c>
      <c r="O655" s="471">
        <f>+IF(OR($Q655=Parametres!$G$2,$Q655=Parametres!$G$3),J655,D655)</f>
        <v>-4</v>
      </c>
      <c r="P655" s="151">
        <f>+IF(OR($Q655=Parametres!$G$2,$Q655=Parametres!$G$3),K655,E655)</f>
        <v>-12</v>
      </c>
      <c r="Q655" s="150" t="str">
        <f t="shared" si="52"/>
        <v>10-Compte compteur</v>
      </c>
      <c r="R655" s="149" t="str">
        <f t="shared" si="53"/>
        <v>440B</v>
      </c>
      <c r="S655" s="150" t="str">
        <f t="shared" si="54"/>
        <v>_</v>
      </c>
      <c r="T655" s="152" t="str">
        <f>+VLOOKUP($L655,Data_Validation!$A:$D,1,0)</f>
        <v>440B@</v>
      </c>
      <c r="U655" s="152" t="str">
        <f>+VLOOKUP($L655,Data_Validation!$A:$D,3,0)</f>
        <v>Véhicules usagés</v>
      </c>
      <c r="V655" s="152" t="str">
        <f>+VLOOKUP($L655,Data_Validation!$A:$D,4,0)</f>
        <v>Non Certifié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1527</v>
      </c>
      <c r="B656" s="639" t="s">
        <v>724</v>
      </c>
      <c r="C656" s="640"/>
      <c r="D656" s="640"/>
      <c r="E656" s="640"/>
      <c r="F656" s="639" t="s">
        <v>4</v>
      </c>
      <c r="G656" s="639" t="s">
        <v>384</v>
      </c>
      <c r="H656" s="634" t="s">
        <v>3074</v>
      </c>
      <c r="I656" s="633">
        <v>-26</v>
      </c>
      <c r="J656" s="633">
        <v>-4</v>
      </c>
      <c r="K656" s="633">
        <v>-30</v>
      </c>
      <c r="L656" s="149" t="str">
        <f t="shared" si="50"/>
        <v>442@</v>
      </c>
      <c r="M656" s="150" t="str">
        <f t="shared" si="51"/>
        <v># DE VTE - USAGE AUTRES</v>
      </c>
      <c r="N656" s="151">
        <f>+IF(OR($Q656=Parametres!$G$2,$Q656=Parametres!$G$3),I656,C656)</f>
        <v>-26</v>
      </c>
      <c r="O656" s="471">
        <f>+IF(OR($Q656=Parametres!$G$2,$Q656=Parametres!$G$3),J656,D656)</f>
        <v>-4</v>
      </c>
      <c r="P656" s="151">
        <f>+IF(OR($Q656=Parametres!$G$2,$Q656=Parametres!$G$3),K656,E656)</f>
        <v>-30</v>
      </c>
      <c r="Q656" s="150" t="str">
        <f t="shared" si="52"/>
        <v>10-Compte compteur</v>
      </c>
      <c r="R656" s="149" t="str">
        <f t="shared" si="53"/>
        <v>442</v>
      </c>
      <c r="S656" s="150" t="str">
        <f t="shared" si="54"/>
        <v>_</v>
      </c>
      <c r="T656" s="152" t="str">
        <f>+VLOOKUP($L656,Data_Validation!$A:$D,1,0)</f>
        <v>442@</v>
      </c>
      <c r="U656" s="152" t="str">
        <f>+VLOOKUP($L656,Data_Validation!$A:$D,3,0)</f>
        <v>Véhicules usagés</v>
      </c>
      <c r="V656" s="152" t="str">
        <f>+VLOOKUP($L656,Data_Validation!$A:$D,4,0)</f>
        <v>Autres marques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3096</v>
      </c>
      <c r="B657" s="639" t="s">
        <v>3114</v>
      </c>
      <c r="C657" s="640"/>
      <c r="D657" s="640"/>
      <c r="E657" s="640"/>
      <c r="F657" s="639" t="s">
        <v>4</v>
      </c>
      <c r="G657" s="639" t="s">
        <v>3098</v>
      </c>
      <c r="H657" s="634" t="s">
        <v>3074</v>
      </c>
      <c r="I657" s="633">
        <v>0</v>
      </c>
      <c r="J657" s="633">
        <v>-1</v>
      </c>
      <c r="K657" s="633">
        <v>-1</v>
      </c>
      <c r="L657" s="149" t="str">
        <f t="shared" si="50"/>
        <v>443B@</v>
      </c>
      <c r="M657" s="150" t="str">
        <f t="shared" si="51"/>
        <v>M440I XDRIVE GRAN COUPE</v>
      </c>
      <c r="N657" s="151">
        <f>+IF(OR($Q657=Parametres!$G$2,$Q657=Parametres!$G$3),I657,C657)</f>
        <v>0</v>
      </c>
      <c r="O657" s="471">
        <f>+IF(OR($Q657=Parametres!$G$2,$Q657=Parametres!$G$3),J657,D657)</f>
        <v>-1</v>
      </c>
      <c r="P657" s="151">
        <f>+IF(OR($Q657=Parametres!$G$2,$Q657=Parametres!$G$3),K657,E657)</f>
        <v>-1</v>
      </c>
      <c r="Q657" s="150" t="str">
        <f t="shared" si="52"/>
        <v>10-Compte compteur</v>
      </c>
      <c r="R657" s="149" t="str">
        <f t="shared" si="53"/>
        <v>443</v>
      </c>
      <c r="S657" s="150" t="str">
        <f t="shared" si="54"/>
        <v>_</v>
      </c>
      <c r="T657" s="152" t="str">
        <f>+VLOOKUP($L657,Data_Validation!$A:$D,1,0)</f>
        <v>443B@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1528</v>
      </c>
      <c r="B658" s="639" t="s">
        <v>1529</v>
      </c>
      <c r="C658" s="640"/>
      <c r="D658" s="640"/>
      <c r="E658" s="640"/>
      <c r="F658" s="639" t="s">
        <v>4</v>
      </c>
      <c r="G658" s="639" t="s">
        <v>1072</v>
      </c>
      <c r="H658" s="634" t="s">
        <v>3074</v>
      </c>
      <c r="I658" s="633">
        <v>-23</v>
      </c>
      <c r="J658" s="633">
        <v>0</v>
      </c>
      <c r="K658" s="633">
        <v>-23</v>
      </c>
      <c r="L658" s="149" t="str">
        <f t="shared" si="50"/>
        <v>444A@</v>
      </c>
      <c r="M658" s="150" t="str">
        <f t="shared" si="51"/>
        <v># DE VTE - GROS BMW AUTO</v>
      </c>
      <c r="N658" s="151">
        <f>+IF(OR($Q658=Parametres!$G$2,$Q658=Parametres!$G$3),I658,C658)</f>
        <v>-23</v>
      </c>
      <c r="O658" s="471">
        <f>+IF(OR($Q658=Parametres!$G$2,$Q658=Parametres!$G$3),J658,D658)</f>
        <v>0</v>
      </c>
      <c r="P658" s="151">
        <f>+IF(OR($Q658=Parametres!$G$2,$Q658=Parametres!$G$3),K658,E658)</f>
        <v>-23</v>
      </c>
      <c r="Q658" s="150" t="str">
        <f t="shared" si="52"/>
        <v>10-Compte compteur</v>
      </c>
      <c r="R658" s="149" t="str">
        <f t="shared" si="53"/>
        <v>444A</v>
      </c>
      <c r="S658" s="150" t="str">
        <f t="shared" si="54"/>
        <v>_</v>
      </c>
      <c r="T658" s="152" t="str">
        <f>+VLOOKUP($L658,Data_Validation!$A:$D,1,0)</f>
        <v>444A@</v>
      </c>
      <c r="U658" s="152" t="str">
        <f>+VLOOKUP($L658,Data_Validation!$A:$D,3,0)</f>
        <v>Véhicules usagés</v>
      </c>
      <c r="V658" s="152" t="str">
        <f>+VLOOKUP($L658,Data_Validation!$A:$D,4,0)</f>
        <v>Ventes au Gros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1530</v>
      </c>
      <c r="B659" s="639" t="s">
        <v>725</v>
      </c>
      <c r="C659" s="640"/>
      <c r="D659" s="640"/>
      <c r="E659" s="640"/>
      <c r="F659" s="639" t="s">
        <v>4</v>
      </c>
      <c r="G659" s="639" t="s">
        <v>398</v>
      </c>
      <c r="H659" s="634" t="s">
        <v>3074</v>
      </c>
      <c r="I659" s="633">
        <v>-74</v>
      </c>
      <c r="J659" s="633">
        <v>-6</v>
      </c>
      <c r="K659" s="633">
        <v>-80</v>
      </c>
      <c r="L659" s="149" t="str">
        <f t="shared" si="50"/>
        <v>444B@</v>
      </c>
      <c r="M659" s="150" t="str">
        <f t="shared" si="51"/>
        <v># DE VTE - GROS BMW CAMION</v>
      </c>
      <c r="N659" s="151">
        <f>+IF(OR($Q659=Parametres!$G$2,$Q659=Parametres!$G$3),I659,C659)</f>
        <v>-74</v>
      </c>
      <c r="O659" s="151">
        <f>+IF(OR($Q659=Parametres!$G$2,$Q659=Parametres!$G$3),J659,D659)</f>
        <v>-6</v>
      </c>
      <c r="P659" s="151">
        <f>+IF(OR($Q659=Parametres!$G$2,$Q659=Parametres!$G$3),K659,E659)</f>
        <v>-80</v>
      </c>
      <c r="Q659" s="150" t="str">
        <f t="shared" si="52"/>
        <v>10-Compte compteur</v>
      </c>
      <c r="R659" s="149" t="str">
        <f t="shared" si="53"/>
        <v>444B</v>
      </c>
      <c r="S659" s="150" t="str">
        <f t="shared" si="54"/>
        <v>_</v>
      </c>
      <c r="T659" s="152" t="str">
        <f>+VLOOKUP($L659,Data_Validation!$A:$D,1,0)</f>
        <v>444B@</v>
      </c>
      <c r="U659" s="152" t="str">
        <f>+VLOOKUP($L659,Data_Validation!$A:$D,3,0)</f>
        <v>Véhicules usagés</v>
      </c>
      <c r="V659" s="152" t="str">
        <f>+VLOOKUP($L659,Data_Validation!$A:$D,4,0)</f>
        <v>Ventes au Gros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1531</v>
      </c>
      <c r="B660" s="639" t="s">
        <v>726</v>
      </c>
      <c r="C660" s="640"/>
      <c r="D660" s="640"/>
      <c r="E660" s="640"/>
      <c r="F660" s="639" t="s">
        <v>4</v>
      </c>
      <c r="G660" s="639" t="s">
        <v>401</v>
      </c>
      <c r="H660" s="634" t="s">
        <v>3074</v>
      </c>
      <c r="I660" s="633">
        <v>-65</v>
      </c>
      <c r="J660" s="633">
        <v>-18</v>
      </c>
      <c r="K660" s="633">
        <v>-83</v>
      </c>
      <c r="L660" s="149" t="str">
        <f t="shared" si="50"/>
        <v>444C@</v>
      </c>
      <c r="M660" s="150" t="str">
        <f t="shared" si="51"/>
        <v># DE VTE - GROS AUTRE</v>
      </c>
      <c r="N660" s="151">
        <f>+IF(OR($Q660=Parametres!$G$2,$Q660=Parametres!$G$3),I660,C660)</f>
        <v>-65</v>
      </c>
      <c r="O660" s="151">
        <f>+IF(OR($Q660=Parametres!$G$2,$Q660=Parametres!$G$3),J660,D660)</f>
        <v>-18</v>
      </c>
      <c r="P660" s="151">
        <f>+IF(OR($Q660=Parametres!$G$2,$Q660=Parametres!$G$3),K660,E660)</f>
        <v>-83</v>
      </c>
      <c r="Q660" s="150" t="str">
        <f t="shared" si="52"/>
        <v>10-Compte compteur</v>
      </c>
      <c r="R660" s="149" t="str">
        <f t="shared" si="53"/>
        <v>444C</v>
      </c>
      <c r="S660" s="150" t="str">
        <f t="shared" si="54"/>
        <v>_</v>
      </c>
      <c r="T660" s="152" t="str">
        <f>+VLOOKUP($L660,Data_Validation!$A:$D,1,0)</f>
        <v>444C@</v>
      </c>
      <c r="U660" s="152" t="str">
        <f>+VLOOKUP($L660,Data_Validation!$A:$D,3,0)</f>
        <v>Véhicules usagés</v>
      </c>
      <c r="V660" s="152" t="str">
        <f>+VLOOKUP($L660,Data_Validation!$A:$D,4,0)</f>
        <v>Ventes au Gros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1532</v>
      </c>
      <c r="B661" s="639" t="s">
        <v>727</v>
      </c>
      <c r="C661" s="640"/>
      <c r="D661" s="640"/>
      <c r="E661" s="640"/>
      <c r="F661" s="639" t="s">
        <v>4</v>
      </c>
      <c r="G661" s="639" t="s">
        <v>418</v>
      </c>
      <c r="H661" s="634" t="s">
        <v>3074</v>
      </c>
      <c r="I661" s="633">
        <v>-44</v>
      </c>
      <c r="J661" s="633">
        <v>-11</v>
      </c>
      <c r="K661" s="633">
        <v>-55</v>
      </c>
      <c r="L661" s="149" t="str">
        <f t="shared" si="50"/>
        <v>446A@</v>
      </c>
      <c r="M661" s="150" t="str">
        <f t="shared" si="51"/>
        <v># DE VTE - USAGE BMW CAMION CERT</v>
      </c>
      <c r="N661" s="151">
        <f>+IF(OR($Q661=Parametres!$G$2,$Q661=Parametres!$G$3),I661,C661)</f>
        <v>-44</v>
      </c>
      <c r="O661" s="151">
        <f>+IF(OR($Q661=Parametres!$G$2,$Q661=Parametres!$G$3),J661,D661)</f>
        <v>-11</v>
      </c>
      <c r="P661" s="151">
        <f>+IF(OR($Q661=Parametres!$G$2,$Q661=Parametres!$G$3),K661,E661)</f>
        <v>-55</v>
      </c>
      <c r="Q661" s="150" t="str">
        <f t="shared" si="52"/>
        <v>10-Compte compteur</v>
      </c>
      <c r="R661" s="149" t="str">
        <f t="shared" si="53"/>
        <v>446A</v>
      </c>
      <c r="S661" s="150" t="str">
        <f t="shared" si="54"/>
        <v>_</v>
      </c>
      <c r="T661" s="152" t="str">
        <f>+VLOOKUP($L661,Data_Validation!$A:$D,1,0)</f>
        <v>446A@</v>
      </c>
      <c r="U661" s="152" t="str">
        <f>+VLOOKUP($L661,Data_Validation!$A:$D,3,0)</f>
        <v>Véhicules usagés</v>
      </c>
      <c r="V661" s="152" t="str">
        <f>+VLOOKUP($L661,Data_Validation!$A:$D,4,0)</f>
        <v>Certifié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1533</v>
      </c>
      <c r="B662" s="639" t="s">
        <v>728</v>
      </c>
      <c r="C662" s="640"/>
      <c r="D662" s="640"/>
      <c r="E662" s="640"/>
      <c r="F662" s="639" t="s">
        <v>4</v>
      </c>
      <c r="G662" s="639" t="s">
        <v>404</v>
      </c>
      <c r="H662" s="634" t="s">
        <v>3074</v>
      </c>
      <c r="I662" s="633">
        <v>-6</v>
      </c>
      <c r="J662" s="633">
        <v>-6</v>
      </c>
      <c r="K662" s="633">
        <v>-12</v>
      </c>
      <c r="L662" s="149" t="str">
        <f t="shared" si="50"/>
        <v>446B@</v>
      </c>
      <c r="M662" s="150" t="str">
        <f t="shared" si="51"/>
        <v># DE VTE - USAGE BMW CAMION NON-CERT</v>
      </c>
      <c r="N662" s="151">
        <f>+IF(OR($Q662=Parametres!$G$2,$Q662=Parametres!$G$3),I662,C662)</f>
        <v>-6</v>
      </c>
      <c r="O662" s="493">
        <f>+IF(OR($Q662=Parametres!$G$2,$Q662=Parametres!$G$3),J662,D662)</f>
        <v>-6</v>
      </c>
      <c r="P662" s="151">
        <f>+IF(OR($Q662=Parametres!$G$2,$Q662=Parametres!$G$3),K662,E662)</f>
        <v>-12</v>
      </c>
      <c r="Q662" s="150" t="str">
        <f t="shared" si="52"/>
        <v>10-Compte compteur</v>
      </c>
      <c r="R662" s="149" t="str">
        <f t="shared" si="53"/>
        <v>446B</v>
      </c>
      <c r="S662" s="150" t="str">
        <f t="shared" si="54"/>
        <v>_</v>
      </c>
      <c r="T662" s="152" t="str">
        <f>+VLOOKUP($L662,Data_Validation!$A:$D,1,0)</f>
        <v>446B@</v>
      </c>
      <c r="U662" s="152" t="str">
        <f>+VLOOKUP($L662,Data_Validation!$A:$D,3,0)</f>
        <v>Véhicules usagés</v>
      </c>
      <c r="V662" s="152" t="str">
        <f>+VLOOKUP($L662,Data_Validation!$A:$D,4,0)</f>
        <v>Non Certifié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1534</v>
      </c>
      <c r="B663" s="639" t="s">
        <v>729</v>
      </c>
      <c r="C663" s="640"/>
      <c r="D663" s="640"/>
      <c r="E663" s="640"/>
      <c r="F663" s="639" t="s">
        <v>4</v>
      </c>
      <c r="G663" s="639" t="s">
        <v>629</v>
      </c>
      <c r="H663" s="634" t="s">
        <v>3074</v>
      </c>
      <c r="I663" s="633">
        <v>-1</v>
      </c>
      <c r="J663" s="633">
        <v>-2</v>
      </c>
      <c r="K663" s="633">
        <v>-3</v>
      </c>
      <c r="L663" s="149" t="str">
        <f t="shared" si="50"/>
        <v>447@</v>
      </c>
      <c r="M663" s="150" t="str">
        <f t="shared" si="51"/>
        <v># DE VTE - X5 M</v>
      </c>
      <c r="N663" s="151">
        <f>+IF(OR($Q663=Parametres!$G$2,$Q663=Parametres!$G$3),I663,C663)</f>
        <v>-1</v>
      </c>
      <c r="O663" s="151">
        <f>+IF(OR($Q663=Parametres!$G$2,$Q663=Parametres!$G$3),J663,D663)</f>
        <v>-2</v>
      </c>
      <c r="P663" s="151">
        <f>+IF(OR($Q663=Parametres!$G$2,$Q663=Parametres!$G$3),K663,E663)</f>
        <v>-3</v>
      </c>
      <c r="Q663" s="150" t="str">
        <f t="shared" si="52"/>
        <v>10-Compte compteur</v>
      </c>
      <c r="R663" s="149" t="str">
        <f t="shared" si="53"/>
        <v>447</v>
      </c>
      <c r="S663" s="150" t="str">
        <f t="shared" si="54"/>
        <v>_</v>
      </c>
      <c r="T663" s="152" t="str">
        <f>+VLOOKUP($L663,Data_Validation!$A:$D,1,0)</f>
        <v>447@</v>
      </c>
      <c r="U663" s="152" t="str">
        <f>+VLOOKUP($L663,Data_Validation!$A:$D,3,0)</f>
        <v>Véhicules neufs</v>
      </c>
      <c r="V663" s="152" t="str">
        <f>+VLOOKUP($L663,Data_Validation!$A:$D,4,0)</f>
        <v>Camions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1535</v>
      </c>
      <c r="B664" s="639" t="s">
        <v>730</v>
      </c>
      <c r="C664" s="640"/>
      <c r="D664" s="640"/>
      <c r="E664" s="640"/>
      <c r="F664" s="639" t="s">
        <v>4</v>
      </c>
      <c r="G664" s="639" t="s">
        <v>400</v>
      </c>
      <c r="H664" s="634" t="s">
        <v>3074</v>
      </c>
      <c r="I664" s="633">
        <v>-16</v>
      </c>
      <c r="J664" s="633">
        <v>-1</v>
      </c>
      <c r="K664" s="633">
        <v>-17</v>
      </c>
      <c r="L664" s="149" t="str">
        <f t="shared" si="50"/>
        <v>448@</v>
      </c>
      <c r="M664" s="150" t="str">
        <f t="shared" si="51"/>
        <v># DE VTE - RACHAT LOCATION BMW</v>
      </c>
      <c r="N664" s="151">
        <f>+IF(OR($Q664=Parametres!$G$2,$Q664=Parametres!$G$3),I664,C664)</f>
        <v>-16</v>
      </c>
      <c r="O664" s="151">
        <f>+IF(OR($Q664=Parametres!$G$2,$Q664=Parametres!$G$3),J664,D664)</f>
        <v>-1</v>
      </c>
      <c r="P664" s="151">
        <f>+IF(OR($Q664=Parametres!$G$2,$Q664=Parametres!$G$3),K664,E664)</f>
        <v>-17</v>
      </c>
      <c r="Q664" s="150" t="str">
        <f t="shared" si="52"/>
        <v>10-Compte compteur</v>
      </c>
      <c r="R664" s="149" t="str">
        <f t="shared" si="53"/>
        <v>448</v>
      </c>
      <c r="S664" s="150" t="str">
        <f t="shared" si="54"/>
        <v>_</v>
      </c>
      <c r="T664" s="152" t="str">
        <f>+VLOOKUP($L664,Data_Validation!$A:$D,1,0)</f>
        <v>448@</v>
      </c>
      <c r="U664" s="152" t="str">
        <f>+VLOOKUP($L664,Data_Validation!$A:$D,3,0)</f>
        <v>Véhicules neufs</v>
      </c>
      <c r="V664" s="152" t="str">
        <f>+VLOOKUP($L664,Data_Validation!$A:$D,4,0)</f>
        <v>Rachat bail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1536</v>
      </c>
      <c r="B665" s="639" t="s">
        <v>1044</v>
      </c>
      <c r="C665" s="640"/>
      <c r="D665" s="640"/>
      <c r="E665" s="640"/>
      <c r="F665" s="639" t="s">
        <v>4</v>
      </c>
      <c r="G665" s="639" t="s">
        <v>1012</v>
      </c>
      <c r="H665" s="634" t="s">
        <v>3074</v>
      </c>
      <c r="I665" s="633">
        <v>-21</v>
      </c>
      <c r="J665" s="633">
        <v>0</v>
      </c>
      <c r="K665" s="633">
        <v>-21</v>
      </c>
      <c r="L665" s="149" t="str">
        <f t="shared" si="50"/>
        <v>450@</v>
      </c>
      <c r="M665" s="150" t="str">
        <f t="shared" si="51"/>
        <v># DE VTE - MARQUAGE OTOPROTEC USAGE BMW AUTO</v>
      </c>
      <c r="N665" s="151">
        <f>+IF(OR($Q665=Parametres!$G$2,$Q665=Parametres!$G$3),I665,C665)</f>
        <v>-21</v>
      </c>
      <c r="O665" s="151">
        <f>+IF(OR($Q665=Parametres!$G$2,$Q665=Parametres!$G$3),J665,D665)</f>
        <v>0</v>
      </c>
      <c r="P665" s="151">
        <f>+IF(OR($Q665=Parametres!$G$2,$Q665=Parametres!$G$3),K665,E665)</f>
        <v>-21</v>
      </c>
      <c r="Q665" s="150" t="str">
        <f t="shared" si="52"/>
        <v>10-Compte compteur</v>
      </c>
      <c r="R665" s="149" t="str">
        <f t="shared" si="53"/>
        <v>450</v>
      </c>
      <c r="S665" s="150" t="str">
        <f t="shared" si="54"/>
        <v>_</v>
      </c>
      <c r="T665" s="152" t="str">
        <f>+VLOOKUP($L665,Data_Validation!$A:$D,1,0)</f>
        <v>450@</v>
      </c>
      <c r="U665" s="152" t="str">
        <f>+VLOOKUP($L665,Data_Validation!$A:$D,3,0)</f>
        <v>Véhicules usagés</v>
      </c>
      <c r="V665" s="152" t="str">
        <f>+VLOOKUP($L665,Data_Validation!$A:$D,4,0)</f>
        <v>Rev. Autres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1538</v>
      </c>
      <c r="B666" s="639" t="s">
        <v>732</v>
      </c>
      <c r="C666" s="640"/>
      <c r="D666" s="640"/>
      <c r="E666" s="640"/>
      <c r="F666" s="639" t="s">
        <v>4</v>
      </c>
      <c r="G666" s="639" t="s">
        <v>1012</v>
      </c>
      <c r="H666" s="634" t="s">
        <v>3074</v>
      </c>
      <c r="I666" s="633">
        <v>-9</v>
      </c>
      <c r="J666" s="633">
        <v>0</v>
      </c>
      <c r="K666" s="633">
        <v>-9</v>
      </c>
      <c r="L666" s="149" t="str">
        <f t="shared" si="50"/>
        <v>450C@</v>
      </c>
      <c r="M666" s="150" t="str">
        <f t="shared" si="51"/>
        <v># DE VTE - ACCESSOIRES USAGE BMW</v>
      </c>
      <c r="N666" s="151">
        <f>+IF(OR($Q666=Parametres!$G$2,$Q666=Parametres!$G$3),I666,C666)</f>
        <v>-9</v>
      </c>
      <c r="O666" s="151">
        <f>+IF(OR($Q666=Parametres!$G$2,$Q666=Parametres!$G$3),J666,D666)</f>
        <v>0</v>
      </c>
      <c r="P666" s="151">
        <f>+IF(OR($Q666=Parametres!$G$2,$Q666=Parametres!$G$3),K666,E666)</f>
        <v>-9</v>
      </c>
      <c r="Q666" s="150" t="str">
        <f t="shared" si="52"/>
        <v>10-Compte compteur</v>
      </c>
      <c r="R666" s="149" t="str">
        <f t="shared" si="53"/>
        <v>450</v>
      </c>
      <c r="S666" s="150" t="str">
        <f t="shared" si="54"/>
        <v>_</v>
      </c>
      <c r="T666" s="152" t="str">
        <f>+VLOOKUP($L666,Data_Validation!$A:$D,1,0)</f>
        <v>450C@</v>
      </c>
      <c r="U666" s="152" t="str">
        <f>+VLOOKUP($L666,Data_Validation!$A:$D,3,0)</f>
        <v>Véhicules usagés</v>
      </c>
      <c r="V666" s="152" t="str">
        <f>+VLOOKUP($L666,Data_Validation!$A:$D,4,0)</f>
        <v>Rev. Autres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1539</v>
      </c>
      <c r="B667" s="639" t="s">
        <v>1540</v>
      </c>
      <c r="C667" s="640"/>
      <c r="D667" s="640"/>
      <c r="E667" s="640"/>
      <c r="F667" s="639" t="s">
        <v>4</v>
      </c>
      <c r="G667" s="639" t="s">
        <v>1012</v>
      </c>
      <c r="H667" s="634" t="s">
        <v>3074</v>
      </c>
      <c r="I667" s="633">
        <v>-4</v>
      </c>
      <c r="J667" s="633">
        <v>0</v>
      </c>
      <c r="K667" s="633">
        <v>-4</v>
      </c>
      <c r="L667" s="149" t="str">
        <f t="shared" si="50"/>
        <v>450E@</v>
      </c>
      <c r="M667" s="150" t="str">
        <f t="shared" si="51"/>
        <v># DE SLS - PROTEC ESTHETIQUE USAGE BMW AUTO</v>
      </c>
      <c r="N667" s="151">
        <f>+IF(OR($Q667=Parametres!$G$2,$Q667=Parametres!$G$3),I667,C667)</f>
        <v>-4</v>
      </c>
      <c r="O667" s="151">
        <f>+IF(OR($Q667=Parametres!$G$2,$Q667=Parametres!$G$3),J667,D667)</f>
        <v>0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450</v>
      </c>
      <c r="S667" s="150" t="str">
        <f t="shared" si="54"/>
        <v>_</v>
      </c>
      <c r="T667" s="152" t="str">
        <f>+VLOOKUP($L667,Data_Validation!$A:$D,1,0)</f>
        <v>450E@</v>
      </c>
      <c r="U667" s="152" t="str">
        <f>+VLOOKUP($L667,Data_Validation!$A:$D,3,0)</f>
        <v>Véhicules usagés</v>
      </c>
      <c r="V667" s="152" t="str">
        <f>+VLOOKUP($L667,Data_Validation!$A:$D,4,0)</f>
        <v>Rev. Protections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1541</v>
      </c>
      <c r="B668" s="639" t="s">
        <v>733</v>
      </c>
      <c r="C668" s="640"/>
      <c r="D668" s="640"/>
      <c r="E668" s="640"/>
      <c r="F668" s="639" t="s">
        <v>4</v>
      </c>
      <c r="G668" s="639" t="s">
        <v>1012</v>
      </c>
      <c r="H668" s="634" t="s">
        <v>3074</v>
      </c>
      <c r="I668" s="633">
        <v>-29</v>
      </c>
      <c r="J668" s="633">
        <v>-10</v>
      </c>
      <c r="K668" s="633">
        <v>-39</v>
      </c>
      <c r="L668" s="149" t="str">
        <f t="shared" si="50"/>
        <v>450F@</v>
      </c>
      <c r="M668" s="150" t="str">
        <f t="shared" si="51"/>
        <v># DE VTE - RIST FIN USAGE BMW AUTO</v>
      </c>
      <c r="N668" s="151">
        <f>+IF(OR($Q668=Parametres!$G$2,$Q668=Parametres!$G$3),I668,C668)</f>
        <v>-29</v>
      </c>
      <c r="O668" s="471">
        <f>+IF(OR($Q668=Parametres!$G$2,$Q668=Parametres!$G$3),J668,D668)</f>
        <v>-10</v>
      </c>
      <c r="P668" s="151">
        <f>+IF(OR($Q668=Parametres!$G$2,$Q668=Parametres!$G$3),K668,E668)</f>
        <v>-39</v>
      </c>
      <c r="Q668" s="150" t="str">
        <f t="shared" si="52"/>
        <v>10-Compte compteur</v>
      </c>
      <c r="R668" s="149" t="str">
        <f t="shared" si="53"/>
        <v>450</v>
      </c>
      <c r="S668" s="150" t="str">
        <f t="shared" si="54"/>
        <v>_</v>
      </c>
      <c r="T668" s="152" t="str">
        <f>+VLOOKUP($L668,Data_Validation!$A:$D,1,0)</f>
        <v>450F@</v>
      </c>
      <c r="U668" s="152" t="str">
        <f>+VLOOKUP($L668,Data_Validation!$A:$D,3,0)</f>
        <v>Véhicules usagés</v>
      </c>
      <c r="V668" s="152" t="str">
        <f>+VLOOKUP($L668,Data_Validation!$A:$D,4,0)</f>
        <v>Rev. Finances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2025</v>
      </c>
      <c r="B669" s="639" t="s">
        <v>2026</v>
      </c>
      <c r="C669" s="640"/>
      <c r="D669" s="640"/>
      <c r="E669" s="640"/>
      <c r="F669" s="639" t="s">
        <v>4</v>
      </c>
      <c r="G669" s="639" t="s">
        <v>1012</v>
      </c>
      <c r="H669" s="634" t="s">
        <v>3074</v>
      </c>
      <c r="I669" s="633">
        <v>-1</v>
      </c>
      <c r="J669" s="633">
        <v>0</v>
      </c>
      <c r="K669" s="633">
        <v>-1</v>
      </c>
      <c r="L669" s="149" t="str">
        <f t="shared" si="50"/>
        <v>450R@</v>
      </c>
      <c r="M669" s="150" t="str">
        <f t="shared" si="51"/>
        <v># DE VTE - ASS. REMP. USAGE BMW AUTO</v>
      </c>
      <c r="N669" s="151">
        <f>+IF(OR($Q669=Parametres!$G$2,$Q669=Parametres!$G$3),I669,C669)</f>
        <v>-1</v>
      </c>
      <c r="O669" s="471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450</v>
      </c>
      <c r="S669" s="150" t="str">
        <f t="shared" si="54"/>
        <v>_</v>
      </c>
      <c r="T669" s="152" t="str">
        <f>+VLOOKUP($L669,Data_Validation!$A:$D,1,0)</f>
        <v>450R@</v>
      </c>
      <c r="U669" s="152" t="str">
        <f>+VLOOKUP($L669,Data_Validation!$A:$D,3,0)</f>
        <v>Véhicules usagés</v>
      </c>
      <c r="V669" s="152" t="str">
        <f>+VLOOKUP($L669,Data_Validation!$A:$D,4,0)</f>
        <v>Rev. Protections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1546</v>
      </c>
      <c r="B670" s="639" t="s">
        <v>1547</v>
      </c>
      <c r="C670" s="640"/>
      <c r="D670" s="640"/>
      <c r="E670" s="640"/>
      <c r="F670" s="639" t="s">
        <v>4</v>
      </c>
      <c r="G670" s="639" t="s">
        <v>1012</v>
      </c>
      <c r="H670" s="634" t="s">
        <v>3074</v>
      </c>
      <c r="I670" s="633">
        <v>-2</v>
      </c>
      <c r="J670" s="633">
        <v>0</v>
      </c>
      <c r="K670" s="633">
        <v>-2</v>
      </c>
      <c r="L670" s="149" t="str">
        <f t="shared" si="50"/>
        <v>450T@</v>
      </c>
      <c r="M670" s="150" t="str">
        <f t="shared" si="51"/>
        <v># DE SLS - TRAITEMENT OTOPROTEC USAGE BMW AUT</v>
      </c>
      <c r="N670" s="151">
        <f>+IF(OR($Q670=Parametres!$G$2,$Q670=Parametres!$G$3),I670,C670)</f>
        <v>-2</v>
      </c>
      <c r="O670" s="151">
        <f>+IF(OR($Q670=Parametres!$G$2,$Q670=Parametres!$G$3),J670,D670)</f>
        <v>0</v>
      </c>
      <c r="P670" s="151">
        <f>+IF(OR($Q670=Parametres!$G$2,$Q670=Parametres!$G$3),K670,E670)</f>
        <v>-2</v>
      </c>
      <c r="Q670" s="150" t="str">
        <f t="shared" si="52"/>
        <v>10-Compte compteur</v>
      </c>
      <c r="R670" s="149" t="str">
        <f t="shared" si="53"/>
        <v>450</v>
      </c>
      <c r="S670" s="150" t="str">
        <f t="shared" si="54"/>
        <v>_</v>
      </c>
      <c r="T670" s="152" t="str">
        <f>+VLOOKUP($L670,Data_Validation!$A:$D,1,0)</f>
        <v>450T@</v>
      </c>
      <c r="U670" s="152" t="str">
        <f>+VLOOKUP($L670,Data_Validation!$A:$D,3,0)</f>
        <v>Véhicules usagés</v>
      </c>
      <c r="V670" s="152" t="str">
        <f>+VLOOKUP($L670,Data_Validation!$A:$D,4,0)</f>
        <v>Rev. Autres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1552</v>
      </c>
      <c r="B671" s="639" t="s">
        <v>1553</v>
      </c>
      <c r="C671" s="640"/>
      <c r="D671" s="640"/>
      <c r="E671" s="640"/>
      <c r="F671" s="639" t="s">
        <v>4</v>
      </c>
      <c r="G671" s="639" t="s">
        <v>374</v>
      </c>
      <c r="H671" s="634" t="s">
        <v>3074</v>
      </c>
      <c r="I671" s="633">
        <v>-3</v>
      </c>
      <c r="J671" s="633">
        <v>0</v>
      </c>
      <c r="K671" s="633">
        <v>-3</v>
      </c>
      <c r="L671" s="149" t="str">
        <f t="shared" si="50"/>
        <v>451@</v>
      </c>
      <c r="M671" s="150" t="str">
        <f t="shared" si="51"/>
        <v># DE VTE - MARQUAGE OTOPROTEC USAGE AUTRE</v>
      </c>
      <c r="N671" s="151">
        <f>+IF(OR($Q671=Parametres!$G$2,$Q671=Parametres!$G$3),I671,C671)</f>
        <v>-3</v>
      </c>
      <c r="O671" s="471">
        <f>+IF(OR($Q671=Parametres!$G$2,$Q671=Parametres!$G$3),J671,D671)</f>
        <v>0</v>
      </c>
      <c r="P671" s="151">
        <f>+IF(OR($Q671=Parametres!$G$2,$Q671=Parametres!$G$3),K671,E671)</f>
        <v>-3</v>
      </c>
      <c r="Q671" s="150" t="str">
        <f t="shared" si="52"/>
        <v>10-Compte compteur</v>
      </c>
      <c r="R671" s="149" t="str">
        <f t="shared" si="53"/>
        <v>451</v>
      </c>
      <c r="S671" s="150" t="str">
        <f t="shared" si="54"/>
        <v>_</v>
      </c>
      <c r="T671" s="152" t="str">
        <f>+VLOOKUP($L671,Data_Validation!$A:$D,1,0)</f>
        <v>451@</v>
      </c>
      <c r="U671" s="152" t="str">
        <f>+VLOOKUP($L671,Data_Validation!$A:$D,3,0)</f>
        <v>Véhicules usagés</v>
      </c>
      <c r="V671" s="152" t="str">
        <f>+VLOOKUP($L671,Data_Validation!$A:$D,4,0)</f>
        <v>Rev. Autres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2110</v>
      </c>
      <c r="B672" s="639" t="s">
        <v>2109</v>
      </c>
      <c r="C672" s="640"/>
      <c r="D672" s="640"/>
      <c r="E672" s="640"/>
      <c r="F672" s="639" t="s">
        <v>4</v>
      </c>
      <c r="G672" s="639" t="s">
        <v>374</v>
      </c>
      <c r="H672" s="634" t="s">
        <v>3074</v>
      </c>
      <c r="I672" s="633">
        <v>-2</v>
      </c>
      <c r="J672" s="633">
        <v>0</v>
      </c>
      <c r="K672" s="633">
        <v>-2</v>
      </c>
      <c r="L672" s="149" t="str">
        <f t="shared" si="50"/>
        <v>451C@</v>
      </c>
      <c r="M672" s="150" t="str">
        <f t="shared" si="51"/>
        <v># DE VTE - ACCESSOIRES USAGE AUTRE</v>
      </c>
      <c r="N672" s="151">
        <f>+IF(OR($Q672=Parametres!$G$2,$Q672=Parametres!$G$3),I672,C672)</f>
        <v>-2</v>
      </c>
      <c r="O672" s="471">
        <f>+IF(OR($Q672=Parametres!$G$2,$Q672=Parametres!$G$3),J672,D672)</f>
        <v>0</v>
      </c>
      <c r="P672" s="151">
        <f>+IF(OR($Q672=Parametres!$G$2,$Q672=Parametres!$G$3),K672,E672)</f>
        <v>-2</v>
      </c>
      <c r="Q672" s="150" t="str">
        <f t="shared" si="52"/>
        <v>10-Compte compteur</v>
      </c>
      <c r="R672" s="149" t="str">
        <f t="shared" si="53"/>
        <v>451</v>
      </c>
      <c r="S672" s="150" t="str">
        <f t="shared" si="54"/>
        <v>_</v>
      </c>
      <c r="T672" s="152" t="str">
        <f>+VLOOKUP($L672,Data_Validation!$A:$D,1,0)</f>
        <v>451C@</v>
      </c>
      <c r="U672" s="152" t="str">
        <f>+VLOOKUP($L672,Data_Validation!$A:$D,3,0)</f>
        <v>Véhicules usagés</v>
      </c>
      <c r="V672" s="152" t="str">
        <f>+VLOOKUP($L672,Data_Validation!$A:$D,4,0)</f>
        <v>Rev. Autres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2112</v>
      </c>
      <c r="B673" s="639" t="s">
        <v>2111</v>
      </c>
      <c r="C673" s="640"/>
      <c r="D673" s="640"/>
      <c r="E673" s="640"/>
      <c r="F673" s="639" t="s">
        <v>4</v>
      </c>
      <c r="G673" s="639" t="s">
        <v>374</v>
      </c>
      <c r="H673" s="634" t="s">
        <v>3074</v>
      </c>
      <c r="I673" s="633">
        <v>-2</v>
      </c>
      <c r="J673" s="633">
        <v>0</v>
      </c>
      <c r="K673" s="633">
        <v>-2</v>
      </c>
      <c r="L673" s="149" t="str">
        <f t="shared" si="50"/>
        <v>451T@</v>
      </c>
      <c r="M673" s="150" t="str">
        <f t="shared" si="51"/>
        <v># DE SLS - TRAITEMENT OTOPROTEC USAGE AUTRE</v>
      </c>
      <c r="N673" s="151">
        <f>+IF(OR($Q673=Parametres!$G$2,$Q673=Parametres!$G$3),I673,C673)</f>
        <v>-2</v>
      </c>
      <c r="O673" s="471">
        <f>+IF(OR($Q673=Parametres!$G$2,$Q673=Parametres!$G$3),J673,D673)</f>
        <v>0</v>
      </c>
      <c r="P673" s="151">
        <f>+IF(OR($Q673=Parametres!$G$2,$Q673=Parametres!$G$3),K673,E673)</f>
        <v>-2</v>
      </c>
      <c r="Q673" s="150" t="str">
        <f t="shared" si="52"/>
        <v>10-Compte compteur</v>
      </c>
      <c r="R673" s="149" t="str">
        <f t="shared" si="53"/>
        <v>451</v>
      </c>
      <c r="S673" s="150" t="str">
        <f t="shared" si="54"/>
        <v>_</v>
      </c>
      <c r="T673" s="152" t="str">
        <f>+VLOOKUP($L673,Data_Validation!$A:$D,1,0)</f>
        <v>451T@</v>
      </c>
      <c r="U673" s="152" t="str">
        <f>+VLOOKUP($L673,Data_Validation!$A:$D,3,0)</f>
        <v>Véhicules usagés</v>
      </c>
      <c r="V673" s="152" t="str">
        <f>+VLOOKUP($L673,Data_Validation!$A:$D,4,0)</f>
        <v>Rev. Autres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1556</v>
      </c>
      <c r="B674" s="639" t="s">
        <v>734</v>
      </c>
      <c r="C674" s="640"/>
      <c r="D674" s="640"/>
      <c r="E674" s="640"/>
      <c r="F674" s="639" t="s">
        <v>4</v>
      </c>
      <c r="G674" s="639" t="s">
        <v>368</v>
      </c>
      <c r="H674" s="634" t="s">
        <v>3074</v>
      </c>
      <c r="I674" s="633">
        <v>-15</v>
      </c>
      <c r="J674" s="633">
        <v>-1</v>
      </c>
      <c r="K674" s="633">
        <v>-16</v>
      </c>
      <c r="L674" s="149" t="str">
        <f t="shared" si="50"/>
        <v>452@</v>
      </c>
      <c r="M674" s="150" t="str">
        <f t="shared" si="51"/>
        <v># DE VTE - GAR PROL USAGE BMW AUTO</v>
      </c>
      <c r="N674" s="151">
        <f>+IF(OR($Q674=Parametres!$G$2,$Q674=Parametres!$G$3),I674,C674)</f>
        <v>-15</v>
      </c>
      <c r="O674" s="151">
        <f>+IF(OR($Q674=Parametres!$G$2,$Q674=Parametres!$G$3),J674,D674)</f>
        <v>-1</v>
      </c>
      <c r="P674" s="151">
        <f>+IF(OR($Q674=Parametres!$G$2,$Q674=Parametres!$G$3),K674,E674)</f>
        <v>-16</v>
      </c>
      <c r="Q674" s="150" t="str">
        <f t="shared" si="52"/>
        <v>10-Compte compteur</v>
      </c>
      <c r="R674" s="149" t="str">
        <f t="shared" si="53"/>
        <v>452</v>
      </c>
      <c r="S674" s="150" t="str">
        <f t="shared" si="54"/>
        <v>_</v>
      </c>
      <c r="T674" s="152" t="str">
        <f>+VLOOKUP($L674,Data_Validation!$A:$D,1,0)</f>
        <v>452@</v>
      </c>
      <c r="U674" s="152" t="str">
        <f>+VLOOKUP($L674,Data_Validation!$A:$D,3,0)</f>
        <v>Véhicules usagés</v>
      </c>
      <c r="V674" s="152" t="str">
        <f>+VLOOKUP($L674,Data_Validation!$A:$D,4,0)</f>
        <v>Rev. Protections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1557</v>
      </c>
      <c r="B675" s="639" t="s">
        <v>735</v>
      </c>
      <c r="C675" s="640"/>
      <c r="D675" s="640"/>
      <c r="E675" s="640"/>
      <c r="F675" s="639" t="s">
        <v>4</v>
      </c>
      <c r="G675" s="639" t="s">
        <v>631</v>
      </c>
      <c r="H675" s="634" t="s">
        <v>3074</v>
      </c>
      <c r="I675" s="633">
        <v>-1</v>
      </c>
      <c r="J675" s="633">
        <v>0</v>
      </c>
      <c r="K675" s="633">
        <v>-1</v>
      </c>
      <c r="L675" s="149" t="str">
        <f t="shared" si="50"/>
        <v>452A@</v>
      </c>
      <c r="M675" s="150" t="str">
        <f t="shared" si="51"/>
        <v># OF VTES -VTES - Z4 30I XDR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452A</v>
      </c>
      <c r="S675" s="150" t="str">
        <f t="shared" si="54"/>
        <v>_</v>
      </c>
      <c r="T675" s="152" t="str">
        <f>+VLOOKUP($L675,Data_Validation!$A:$D,1,0)</f>
        <v>452A@</v>
      </c>
      <c r="U675" s="152" t="str">
        <f>+VLOOKUP($L675,Data_Validation!$A:$D,3,0)</f>
        <v>Véhicules neufs</v>
      </c>
      <c r="V675" s="152" t="str">
        <f>+VLOOKUP($L675,Data_Validation!$A:$D,4,0)</f>
        <v>Autos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736</v>
      </c>
      <c r="B676" s="639" t="s">
        <v>737</v>
      </c>
      <c r="C676" s="640"/>
      <c r="D676" s="640"/>
      <c r="E676" s="640"/>
      <c r="F676" s="639" t="s">
        <v>4</v>
      </c>
      <c r="G676" s="639" t="s">
        <v>633</v>
      </c>
      <c r="H676" s="634" t="s">
        <v>3074</v>
      </c>
      <c r="I676" s="633">
        <v>-7</v>
      </c>
      <c r="J676" s="633">
        <v>0</v>
      </c>
      <c r="K676" s="633">
        <v>-7</v>
      </c>
      <c r="L676" s="149" t="str">
        <f t="shared" si="50"/>
        <v>452B@</v>
      </c>
      <c r="M676" s="150" t="str">
        <f t="shared" si="51"/>
        <v># OF VTES -VTES - Z4 M40I</v>
      </c>
      <c r="N676" s="151">
        <f>+IF(OR($Q676=Parametres!$G$2,$Q676=Parametres!$G$3),I676,C676)</f>
        <v>-7</v>
      </c>
      <c r="O676" s="151">
        <f>+IF(OR($Q676=Parametres!$G$2,$Q676=Parametres!$G$3),J676,D676)</f>
        <v>0</v>
      </c>
      <c r="P676" s="151">
        <f>+IF(OR($Q676=Parametres!$G$2,$Q676=Parametres!$G$3),K676,E676)</f>
        <v>-7</v>
      </c>
      <c r="Q676" s="150" t="str">
        <f t="shared" si="52"/>
        <v>10-Compte compteur</v>
      </c>
      <c r="R676" s="149" t="str">
        <f t="shared" si="53"/>
        <v>452B</v>
      </c>
      <c r="S676" s="150" t="str">
        <f t="shared" si="54"/>
        <v>_</v>
      </c>
      <c r="T676" s="152" t="str">
        <f>+VLOOKUP($L676,Data_Validation!$A:$D,1,0)</f>
        <v>452B@</v>
      </c>
      <c r="U676" s="152" t="str">
        <f>+VLOOKUP($L676,Data_Validation!$A:$D,3,0)</f>
        <v>Véhicules neufs</v>
      </c>
      <c r="V676" s="152" t="str">
        <f>+VLOOKUP($L676,Data_Validation!$A:$D,4,0)</f>
        <v>Autos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1992</v>
      </c>
      <c r="B677" s="639" t="s">
        <v>1993</v>
      </c>
      <c r="C677" s="640"/>
      <c r="D677" s="640"/>
      <c r="E677" s="640"/>
      <c r="F677" s="639" t="s">
        <v>4</v>
      </c>
      <c r="G677" s="639" t="s">
        <v>368</v>
      </c>
      <c r="H677" s="634" t="s">
        <v>3074</v>
      </c>
      <c r="I677" s="633">
        <v>-5</v>
      </c>
      <c r="J677" s="633">
        <v>-2</v>
      </c>
      <c r="K677" s="633">
        <v>-7</v>
      </c>
      <c r="L677" s="149" t="str">
        <f t="shared" si="50"/>
        <v>452C@</v>
      </c>
      <c r="M677" s="150" t="str">
        <f t="shared" si="51"/>
        <v># OF VTES -GAR PROL USAGE BMW NON-CERT</v>
      </c>
      <c r="N677" s="151">
        <f>+IF(OR($Q677=Parametres!$G$2,$Q677=Parametres!$G$3),I677,C677)</f>
        <v>-5</v>
      </c>
      <c r="O677" s="151">
        <f>+IF(OR($Q677=Parametres!$G$2,$Q677=Parametres!$G$3),J677,D677)</f>
        <v>-2</v>
      </c>
      <c r="P677" s="151">
        <f>+IF(OR($Q677=Parametres!$G$2,$Q677=Parametres!$G$3),K677,E677)</f>
        <v>-7</v>
      </c>
      <c r="Q677" s="150" t="str">
        <f t="shared" si="52"/>
        <v>10-Compte compteur</v>
      </c>
      <c r="R677" s="149" t="str">
        <f t="shared" si="53"/>
        <v>452</v>
      </c>
      <c r="S677" s="150" t="str">
        <f t="shared" si="54"/>
        <v>_</v>
      </c>
      <c r="T677" s="152" t="str">
        <f>+VLOOKUP($L677,Data_Validation!$A:$D,1,0)</f>
        <v>452C@</v>
      </c>
      <c r="U677" s="152" t="str">
        <f>+VLOOKUP($L677,Data_Validation!$A:$D,3,0)</f>
        <v>Véhicules usagés</v>
      </c>
      <c r="V677" s="152" t="str">
        <f>+VLOOKUP($L677,Data_Validation!$A:$D,4,0)</f>
        <v>Rev. Protections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1558</v>
      </c>
      <c r="B678" s="639" t="s">
        <v>1559</v>
      </c>
      <c r="C678" s="640"/>
      <c r="D678" s="640"/>
      <c r="E678" s="640"/>
      <c r="F678" s="639" t="s">
        <v>4</v>
      </c>
      <c r="G678" s="639" t="s">
        <v>369</v>
      </c>
      <c r="H678" s="634" t="s">
        <v>3074</v>
      </c>
      <c r="I678" s="633">
        <v>-13</v>
      </c>
      <c r="J678" s="633">
        <v>0</v>
      </c>
      <c r="K678" s="633">
        <v>-13</v>
      </c>
      <c r="L678" s="149" t="str">
        <f t="shared" si="50"/>
        <v>453@</v>
      </c>
      <c r="M678" s="150" t="str">
        <f t="shared" si="51"/>
        <v># DE VTE - RIST FINANCE USAGE AUTRE</v>
      </c>
      <c r="N678" s="151">
        <f>+IF(OR($Q678=Parametres!$G$2,$Q678=Parametres!$G$3),I678,C678)</f>
        <v>-13</v>
      </c>
      <c r="O678" s="151">
        <f>+IF(OR($Q678=Parametres!$G$2,$Q678=Parametres!$G$3),J678,D678)</f>
        <v>0</v>
      </c>
      <c r="P678" s="151">
        <f>+IF(OR($Q678=Parametres!$G$2,$Q678=Parametres!$G$3),K678,E678)</f>
        <v>-13</v>
      </c>
      <c r="Q678" s="150" t="str">
        <f t="shared" si="52"/>
        <v>10-Compte compteur</v>
      </c>
      <c r="R678" s="149" t="str">
        <f t="shared" si="53"/>
        <v>453</v>
      </c>
      <c r="S678" s="150" t="str">
        <f t="shared" si="54"/>
        <v>_</v>
      </c>
      <c r="T678" s="152" t="str">
        <f>+VLOOKUP($L678,Data_Validation!$A:$D,1,0)</f>
        <v>453@</v>
      </c>
      <c r="U678" s="152" t="str">
        <f>+VLOOKUP($L678,Data_Validation!$A:$D,3,0)</f>
        <v>Véhicules usagés</v>
      </c>
      <c r="V678" s="152" t="str">
        <f>+VLOOKUP($L678,Data_Validation!$A:$D,4,0)</f>
        <v>Rev. Finances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2375</v>
      </c>
      <c r="B679" s="639" t="s">
        <v>2376</v>
      </c>
      <c r="C679" s="640"/>
      <c r="D679" s="640"/>
      <c r="E679" s="640"/>
      <c r="F679" s="639" t="s">
        <v>4</v>
      </c>
      <c r="G679" s="639" t="s">
        <v>2359</v>
      </c>
      <c r="H679" s="634" t="s">
        <v>3074</v>
      </c>
      <c r="I679" s="633">
        <v>-8</v>
      </c>
      <c r="J679" s="633">
        <v>0</v>
      </c>
      <c r="K679" s="633">
        <v>-8</v>
      </c>
      <c r="L679" s="149" t="str">
        <f t="shared" si="50"/>
        <v>454@</v>
      </c>
      <c r="M679" s="150" t="str">
        <f t="shared" si="51"/>
        <v># DE VTE - CONT ENTR USAGE BMW AUTO</v>
      </c>
      <c r="N679" s="151">
        <f>+IF(OR($Q679=Parametres!$G$2,$Q679=Parametres!$G$3),I679,C679)</f>
        <v>-8</v>
      </c>
      <c r="O679" s="151">
        <f>+IF(OR($Q679=Parametres!$G$2,$Q679=Parametres!$G$3),J679,D679)</f>
        <v>0</v>
      </c>
      <c r="P679" s="151">
        <f>+IF(OR($Q679=Parametres!$G$2,$Q679=Parametres!$G$3),K679,E679)</f>
        <v>-8</v>
      </c>
      <c r="Q679" s="150" t="str">
        <f t="shared" si="52"/>
        <v>10-Compte compteur</v>
      </c>
      <c r="R679" s="149" t="str">
        <f t="shared" si="53"/>
        <v>454</v>
      </c>
      <c r="S679" s="150" t="str">
        <f t="shared" si="54"/>
        <v>_</v>
      </c>
      <c r="T679" s="152" t="str">
        <f>+VLOOKUP($L679,Data_Validation!$A:$D,1,0)</f>
        <v>454@</v>
      </c>
      <c r="U679" s="152" t="str">
        <f>+VLOOKUP($L679,Data_Validation!$A:$D,3,0)</f>
        <v>Véhicules usagés</v>
      </c>
      <c r="V679" s="152" t="str">
        <f>+VLOOKUP($L679,Data_Validation!$A:$D,4,0)</f>
        <v>Rev. Protections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2181</v>
      </c>
      <c r="B680" s="639" t="s">
        <v>2182</v>
      </c>
      <c r="C680" s="640"/>
      <c r="D680" s="640"/>
      <c r="E680" s="640"/>
      <c r="F680" s="639" t="s">
        <v>4</v>
      </c>
      <c r="G680" s="639" t="s">
        <v>2359</v>
      </c>
      <c r="H680" s="634" t="s">
        <v>3074</v>
      </c>
      <c r="I680" s="633">
        <v>-48</v>
      </c>
      <c r="J680" s="633">
        <v>-5</v>
      </c>
      <c r="K680" s="633">
        <v>-53</v>
      </c>
      <c r="L680" s="149" t="str">
        <f t="shared" si="50"/>
        <v>454A@</v>
      </c>
      <c r="M680" s="150" t="str">
        <f t="shared" si="51"/>
        <v># OF VTES -CONT ENTRET USAGE BMW NON-CERT</v>
      </c>
      <c r="N680" s="151">
        <f>+IF(OR($Q680=Parametres!$G$2,$Q680=Parametres!$G$3),I680,C680)</f>
        <v>-48</v>
      </c>
      <c r="O680" s="151">
        <f>+IF(OR($Q680=Parametres!$G$2,$Q680=Parametres!$G$3),J680,D680)</f>
        <v>-5</v>
      </c>
      <c r="P680" s="151">
        <f>+IF(OR($Q680=Parametres!$G$2,$Q680=Parametres!$G$3),K680,E680)</f>
        <v>-53</v>
      </c>
      <c r="Q680" s="150" t="str">
        <f t="shared" si="52"/>
        <v>10-Compte compteur</v>
      </c>
      <c r="R680" s="149" t="str">
        <f t="shared" si="53"/>
        <v>454</v>
      </c>
      <c r="S680" s="150" t="str">
        <f t="shared" si="54"/>
        <v>_</v>
      </c>
      <c r="T680" s="152" t="str">
        <f>+VLOOKUP($L680,Data_Validation!$A:$D,1,0)</f>
        <v>454A@</v>
      </c>
      <c r="U680" s="152" t="str">
        <f>+VLOOKUP($L680,Data_Validation!$A:$D,3,0)</f>
        <v>Véhicules usagés</v>
      </c>
      <c r="V680" s="152" t="str">
        <f>+VLOOKUP($L680,Data_Validation!$A:$D,4,0)</f>
        <v>Rev. Protections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2137</v>
      </c>
      <c r="B681" s="639" t="s">
        <v>2138</v>
      </c>
      <c r="C681" s="640"/>
      <c r="D681" s="640"/>
      <c r="E681" s="640"/>
      <c r="F681" s="639" t="s">
        <v>4</v>
      </c>
      <c r="G681" s="639" t="s">
        <v>1012</v>
      </c>
      <c r="H681" s="634" t="s">
        <v>3074</v>
      </c>
      <c r="I681" s="633">
        <v>-1</v>
      </c>
      <c r="J681" s="633">
        <v>0</v>
      </c>
      <c r="K681" s="633">
        <v>-1</v>
      </c>
      <c r="L681" s="149" t="str">
        <f t="shared" si="50"/>
        <v>454C@</v>
      </c>
      <c r="M681" s="150" t="str">
        <f t="shared" si="51"/>
        <v># OF VTES -ACCESSOIRES USAGE BMW NON-CERT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450</v>
      </c>
      <c r="S681" s="150" t="str">
        <f t="shared" si="54"/>
        <v>_</v>
      </c>
      <c r="T681" s="152" t="str">
        <f>+VLOOKUP($L681,Data_Validation!$A:$D,1,0)</f>
        <v>454C@</v>
      </c>
      <c r="U681" s="152" t="str">
        <f>+VLOOKUP($L681,Data_Validation!$A:$D,3,0)</f>
        <v>Véhicules usagés</v>
      </c>
      <c r="V681" s="152" t="str">
        <f>+VLOOKUP($L681,Data_Validation!$A:$D,4,0)</f>
        <v>Rev. Autres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1957</v>
      </c>
      <c r="B682" s="639" t="s">
        <v>1958</v>
      </c>
      <c r="C682" s="640"/>
      <c r="D682" s="640"/>
      <c r="E682" s="640"/>
      <c r="F682" s="639" t="s">
        <v>4</v>
      </c>
      <c r="G682" s="639" t="s">
        <v>1012</v>
      </c>
      <c r="H682" s="634" t="s">
        <v>3074</v>
      </c>
      <c r="I682" s="633">
        <v>-4</v>
      </c>
      <c r="J682" s="633">
        <v>-5</v>
      </c>
      <c r="K682" s="633">
        <v>-9</v>
      </c>
      <c r="L682" s="149" t="str">
        <f t="shared" si="50"/>
        <v>454F@</v>
      </c>
      <c r="M682" s="150" t="str">
        <f t="shared" si="51"/>
        <v># OF VTES -RIST FINANCE USAGE BMW NON-CERT</v>
      </c>
      <c r="N682" s="151">
        <f>+IF(OR($Q682=Parametres!$G$2,$Q682=Parametres!$G$3),I682,C682)</f>
        <v>-4</v>
      </c>
      <c r="O682" s="151">
        <f>+IF(OR($Q682=Parametres!$G$2,$Q682=Parametres!$G$3),J682,D682)</f>
        <v>-5</v>
      </c>
      <c r="P682" s="151">
        <f>+IF(OR($Q682=Parametres!$G$2,$Q682=Parametres!$G$3),K682,E682)</f>
        <v>-9</v>
      </c>
      <c r="Q682" s="150" t="str">
        <f t="shared" si="52"/>
        <v>10-Compte compteur</v>
      </c>
      <c r="R682" s="149" t="str">
        <f t="shared" si="53"/>
        <v>450</v>
      </c>
      <c r="S682" s="150" t="str">
        <f t="shared" si="54"/>
        <v>_</v>
      </c>
      <c r="T682" s="152" t="str">
        <f>+VLOOKUP($L682,Data_Validation!$A:$D,1,0)</f>
        <v>454F@</v>
      </c>
      <c r="U682" s="152" t="str">
        <f>+VLOOKUP($L682,Data_Validation!$A:$D,3,0)</f>
        <v>Véhicules usagés</v>
      </c>
      <c r="V682" s="152" t="str">
        <f>+VLOOKUP($L682,Data_Validation!$A:$D,4,0)</f>
        <v>Rev. Finances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1959</v>
      </c>
      <c r="B683" s="639" t="s">
        <v>1960</v>
      </c>
      <c r="C683" s="640"/>
      <c r="D683" s="640"/>
      <c r="E683" s="640"/>
      <c r="F683" s="639" t="s">
        <v>4</v>
      </c>
      <c r="G683" s="639" t="s">
        <v>1012</v>
      </c>
      <c r="H683" s="634" t="s">
        <v>3074</v>
      </c>
      <c r="I683" s="633">
        <v>-2</v>
      </c>
      <c r="J683" s="633">
        <v>0</v>
      </c>
      <c r="K683" s="633">
        <v>-2</v>
      </c>
      <c r="L683" s="149" t="str">
        <f t="shared" si="50"/>
        <v>454M@</v>
      </c>
      <c r="M683" s="150" t="str">
        <f t="shared" si="51"/>
        <v># OF VTES -MARQUAGE USAGE BMW NON-CERT</v>
      </c>
      <c r="N683" s="151">
        <f>+IF(OR($Q683=Parametres!$G$2,$Q683=Parametres!$G$3),I683,C683)</f>
        <v>-2</v>
      </c>
      <c r="O683" s="151">
        <f>+IF(OR($Q683=Parametres!$G$2,$Q683=Parametres!$G$3),J683,D683)</f>
        <v>0</v>
      </c>
      <c r="P683" s="151">
        <f>+IF(OR($Q683=Parametres!$G$2,$Q683=Parametres!$G$3),K683,E683)</f>
        <v>-2</v>
      </c>
      <c r="Q683" s="150" t="str">
        <f t="shared" si="52"/>
        <v>10-Compte compteur</v>
      </c>
      <c r="R683" s="149" t="str">
        <f t="shared" si="53"/>
        <v>450</v>
      </c>
      <c r="S683" s="150" t="str">
        <f t="shared" si="54"/>
        <v>_</v>
      </c>
      <c r="T683" s="152" t="str">
        <f>+VLOOKUP($L683,Data_Validation!$A:$D,1,0)</f>
        <v>454M@</v>
      </c>
      <c r="U683" s="152" t="str">
        <f>+VLOOKUP($L683,Data_Validation!$A:$D,3,0)</f>
        <v>Véhicules usagés</v>
      </c>
      <c r="V683" s="152" t="str">
        <f>+VLOOKUP($L683,Data_Validation!$A:$D,4,0)</f>
        <v>Rev. Protections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2853</v>
      </c>
      <c r="B684" s="639" t="s">
        <v>2854</v>
      </c>
      <c r="C684" s="640"/>
      <c r="D684" s="640"/>
      <c r="E684" s="640"/>
      <c r="F684" s="639" t="s">
        <v>4</v>
      </c>
      <c r="G684" s="639" t="s">
        <v>1012</v>
      </c>
      <c r="H684" s="634" t="s">
        <v>3074</v>
      </c>
      <c r="I684" s="633">
        <v>-1</v>
      </c>
      <c r="J684" s="633">
        <v>0</v>
      </c>
      <c r="K684" s="633">
        <v>-1</v>
      </c>
      <c r="L684" s="149" t="str">
        <f t="shared" si="50"/>
        <v>454T@</v>
      </c>
      <c r="M684" s="150" t="str">
        <f t="shared" si="51"/>
        <v># OF VTES -TRAITEMENT OTOPROTEC USAGE BMW NON</v>
      </c>
      <c r="N684" s="151">
        <f>+IF(OR($Q684=Parametres!$G$2,$Q684=Parametres!$G$3),I684,C684)</f>
        <v>-1</v>
      </c>
      <c r="O684" s="151">
        <f>+IF(OR($Q684=Parametres!$G$2,$Q684=Parametres!$G$3),J684,D684)</f>
        <v>0</v>
      </c>
      <c r="P684" s="151">
        <f>+IF(OR($Q684=Parametres!$G$2,$Q684=Parametres!$G$3),K684,E684)</f>
        <v>-1</v>
      </c>
      <c r="Q684" s="150" t="str">
        <f t="shared" si="52"/>
        <v>10-Compte compteur</v>
      </c>
      <c r="R684" s="149" t="str">
        <f t="shared" si="53"/>
        <v>450</v>
      </c>
      <c r="S684" s="150" t="str">
        <f t="shared" si="54"/>
        <v>_</v>
      </c>
      <c r="T684" s="152" t="str">
        <f>+VLOOKUP($L684,Data_Validation!$A:$D,1,0)</f>
        <v>454T@</v>
      </c>
      <c r="U684" s="152" t="str">
        <f>+VLOOKUP($L684,Data_Validation!$A:$D,3,0)</f>
        <v>Véhicules usagés</v>
      </c>
      <c r="V684" s="152" t="str">
        <f>+VLOOKUP($L684,Data_Validation!$A:$D,4,0)</f>
        <v>Rev. Autres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1560</v>
      </c>
      <c r="B685" s="639" t="s">
        <v>738</v>
      </c>
      <c r="C685" s="640"/>
      <c r="D685" s="640"/>
      <c r="E685" s="640"/>
      <c r="F685" s="639" t="s">
        <v>4</v>
      </c>
      <c r="G685" s="639" t="s">
        <v>366</v>
      </c>
      <c r="H685" s="634" t="s">
        <v>3074</v>
      </c>
      <c r="I685" s="633">
        <v>-1</v>
      </c>
      <c r="J685" s="633">
        <v>0</v>
      </c>
      <c r="K685" s="633">
        <v>-1</v>
      </c>
      <c r="L685" s="149" t="str">
        <f t="shared" si="50"/>
        <v>455@</v>
      </c>
      <c r="M685" s="150" t="str">
        <f t="shared" si="51"/>
        <v># DE VTE - GAR PROLONGE USAGE AUTRE</v>
      </c>
      <c r="N685" s="151">
        <f>+IF(OR($Q685=Parametres!$G$2,$Q685=Parametres!$G$3),I685,C685)</f>
        <v>-1</v>
      </c>
      <c r="O685" s="151">
        <f>+IF(OR($Q685=Parametres!$G$2,$Q685=Parametres!$G$3),J685,D685)</f>
        <v>0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455</v>
      </c>
      <c r="S685" s="150" t="str">
        <f t="shared" si="54"/>
        <v>_</v>
      </c>
      <c r="T685" s="152" t="str">
        <f>+VLOOKUP($L685,Data_Validation!$A:$D,1,0)</f>
        <v>455@</v>
      </c>
      <c r="U685" s="152" t="str">
        <f>+VLOOKUP($L685,Data_Validation!$A:$D,3,0)</f>
        <v>Véhicules usagés</v>
      </c>
      <c r="V685" s="152" t="str">
        <f>+VLOOKUP($L685,Data_Validation!$A:$D,4,0)</f>
        <v>Rev. Protections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1561</v>
      </c>
      <c r="B686" s="639" t="s">
        <v>739</v>
      </c>
      <c r="C686" s="640"/>
      <c r="D686" s="640"/>
      <c r="E686" s="640"/>
      <c r="F686" s="639" t="s">
        <v>4</v>
      </c>
      <c r="G686" s="639" t="s">
        <v>450</v>
      </c>
      <c r="H686" s="634" t="s">
        <v>3074</v>
      </c>
      <c r="I686" s="633">
        <v>-253</v>
      </c>
      <c r="J686" s="633">
        <v>-25</v>
      </c>
      <c r="K686" s="633">
        <v>-278</v>
      </c>
      <c r="L686" s="149" t="str">
        <f t="shared" si="50"/>
        <v>459A@</v>
      </c>
      <c r="M686" s="150" t="str">
        <f t="shared" si="51"/>
        <v># DE VTE - BMW SPA PROGRAMME</v>
      </c>
      <c r="N686" s="151">
        <f>+IF(OR($Q686=Parametres!$G$2,$Q686=Parametres!$G$3),I686,C686)</f>
        <v>-253</v>
      </c>
      <c r="O686" s="151">
        <f>+IF(OR($Q686=Parametres!$G$2,$Q686=Parametres!$G$3),J686,D686)</f>
        <v>-25</v>
      </c>
      <c r="P686" s="151">
        <f>+IF(OR($Q686=Parametres!$G$2,$Q686=Parametres!$G$3),K686,E686)</f>
        <v>-278</v>
      </c>
      <c r="Q686" s="150" t="str">
        <f t="shared" si="52"/>
        <v>10-Compte compteur</v>
      </c>
      <c r="R686" s="149" t="str">
        <f t="shared" si="53"/>
        <v>459A</v>
      </c>
      <c r="S686" s="150" t="str">
        <f t="shared" si="54"/>
        <v>_</v>
      </c>
      <c r="T686" s="152" t="str">
        <f>+VLOOKUP($L686,Data_Validation!$A:$D,1,0)</f>
        <v>459A@</v>
      </c>
      <c r="U686" s="152" t="str">
        <f>+VLOOKUP($L686,Data_Validation!$A:$D,3,0)</f>
        <v>service</v>
      </c>
      <c r="V686" s="152" t="str">
        <f>+VLOOKUP($L686,Data_Validation!$A:$D,4,0)</f>
        <v>M/O Esthétique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2193</v>
      </c>
      <c r="B687" s="639" t="s">
        <v>2194</v>
      </c>
      <c r="C687" s="640"/>
      <c r="D687" s="640"/>
      <c r="E687" s="640"/>
      <c r="F687" s="639" t="s">
        <v>4</v>
      </c>
      <c r="G687" s="639" t="s">
        <v>2415</v>
      </c>
      <c r="H687" s="634" t="s">
        <v>3074</v>
      </c>
      <c r="I687" s="633">
        <v>-4</v>
      </c>
      <c r="J687" s="633">
        <v>0</v>
      </c>
      <c r="K687" s="633">
        <v>-4</v>
      </c>
      <c r="L687" s="149" t="str">
        <f t="shared" si="50"/>
        <v>459B@</v>
      </c>
      <c r="M687" s="150" t="str">
        <f t="shared" si="51"/>
        <v># OF VTES -VTE - SUBLET ESTHETIQUE</v>
      </c>
      <c r="N687" s="151">
        <f>+IF(OR($Q687=Parametres!$G$2,$Q687=Parametres!$G$3),I687,C687)</f>
        <v>-4</v>
      </c>
      <c r="O687" s="471">
        <f>+IF(OR($Q687=Parametres!$G$2,$Q687=Parametres!$G$3),J687,D687)</f>
        <v>0</v>
      </c>
      <c r="P687" s="151">
        <f>+IF(OR($Q687=Parametres!$G$2,$Q687=Parametres!$G$3),K687,E687)</f>
        <v>-4</v>
      </c>
      <c r="Q687" s="150" t="str">
        <f t="shared" si="52"/>
        <v>10-Compte compteur</v>
      </c>
      <c r="R687" s="149" t="str">
        <f t="shared" si="53"/>
        <v>459</v>
      </c>
      <c r="S687" s="150" t="str">
        <f t="shared" si="54"/>
        <v>_</v>
      </c>
      <c r="T687" s="152" t="str">
        <f>+VLOOKUP($L687,Data_Validation!$A:$D,1,0)</f>
        <v>459B@</v>
      </c>
      <c r="U687" s="152" t="str">
        <f>+VLOOKUP($L687,Data_Validation!$A:$D,3,0)</f>
        <v>Service</v>
      </c>
      <c r="V687" s="152" t="str">
        <f>+VLOOKUP($L687,Data_Validation!$A:$D,4,0)</f>
        <v>M/O Esthétique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1562</v>
      </c>
      <c r="B688" s="639" t="s">
        <v>1563</v>
      </c>
      <c r="C688" s="640"/>
      <c r="D688" s="640"/>
      <c r="E688" s="640"/>
      <c r="F688" s="639" t="s">
        <v>4</v>
      </c>
      <c r="G688" s="639" t="s">
        <v>1116</v>
      </c>
      <c r="H688" s="634" t="s">
        <v>3074</v>
      </c>
      <c r="I688" s="633">
        <v>-433</v>
      </c>
      <c r="J688" s="633">
        <v>-103</v>
      </c>
      <c r="K688" s="633">
        <v>-536</v>
      </c>
      <c r="L688" s="149" t="str">
        <f t="shared" si="50"/>
        <v>460A@</v>
      </c>
      <c r="M688" s="150" t="str">
        <f t="shared" si="51"/>
        <v># DE VTE - M/O CLIENT BMW AUTO</v>
      </c>
      <c r="N688" s="151">
        <f>+IF(OR($Q688=Parametres!$G$2,$Q688=Parametres!$G$3),I688,C688)</f>
        <v>-433</v>
      </c>
      <c r="O688" s="151">
        <f>+IF(OR($Q688=Parametres!$G$2,$Q688=Parametres!$G$3),J688,D688)</f>
        <v>-103</v>
      </c>
      <c r="P688" s="151">
        <f>+IF(OR($Q688=Parametres!$G$2,$Q688=Parametres!$G$3),K688,E688)</f>
        <v>-536</v>
      </c>
      <c r="Q688" s="150" t="str">
        <f t="shared" si="52"/>
        <v>10-Compte compteur</v>
      </c>
      <c r="R688" s="149" t="str">
        <f t="shared" si="53"/>
        <v>460A</v>
      </c>
      <c r="S688" s="150" t="str">
        <f t="shared" si="54"/>
        <v>_</v>
      </c>
      <c r="T688" s="152" t="str">
        <f>+VLOOKUP($L688,Data_Validation!$A:$D,1,0)</f>
        <v>460A@</v>
      </c>
      <c r="U688" s="152" t="str">
        <f>+VLOOKUP($L688,Data_Validation!$A:$D,3,0)</f>
        <v>service</v>
      </c>
      <c r="V688" s="152" t="str">
        <f>+VLOOKUP($L688,Data_Validation!$A:$D,4,0)</f>
        <v>M/O Client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1564</v>
      </c>
      <c r="B689" s="639" t="s">
        <v>740</v>
      </c>
      <c r="C689" s="640"/>
      <c r="D689" s="640"/>
      <c r="E689" s="640"/>
      <c r="F689" s="639" t="s">
        <v>4</v>
      </c>
      <c r="G689" s="639" t="s">
        <v>1116</v>
      </c>
      <c r="H689" s="634" t="s">
        <v>3074</v>
      </c>
      <c r="I689" s="633">
        <v>-655</v>
      </c>
      <c r="J689" s="633">
        <v>-84</v>
      </c>
      <c r="K689" s="633">
        <v>-739</v>
      </c>
      <c r="L689" s="149" t="str">
        <f t="shared" si="50"/>
        <v>460B@</v>
      </c>
      <c r="M689" s="150" t="str">
        <f t="shared" si="51"/>
        <v># DE VTE - M/O CLIENT BMW CAMION</v>
      </c>
      <c r="N689" s="151">
        <f>+IF(OR($Q689=Parametres!$G$2,$Q689=Parametres!$G$3),I689,C689)</f>
        <v>-655</v>
      </c>
      <c r="O689" s="151">
        <f>+IF(OR($Q689=Parametres!$G$2,$Q689=Parametres!$G$3),J689,D689)</f>
        <v>-84</v>
      </c>
      <c r="P689" s="151">
        <f>+IF(OR($Q689=Parametres!$G$2,$Q689=Parametres!$G$3),K689,E689)</f>
        <v>-739</v>
      </c>
      <c r="Q689" s="150" t="str">
        <f t="shared" si="52"/>
        <v>10-Compte compteur</v>
      </c>
      <c r="R689" s="149" t="str">
        <f t="shared" si="53"/>
        <v>460A</v>
      </c>
      <c r="S689" s="150" t="str">
        <f t="shared" si="54"/>
        <v>_</v>
      </c>
      <c r="T689" s="152" t="str">
        <f>+VLOOKUP($L689,Data_Validation!$A:$D,1,0)</f>
        <v>460B@</v>
      </c>
      <c r="U689" s="152" t="str">
        <f>+VLOOKUP($L689,Data_Validation!$A:$D,3,0)</f>
        <v>service</v>
      </c>
      <c r="V689" s="152" t="str">
        <f>+VLOOKUP($L689,Data_Validation!$A:$D,4,0)</f>
        <v>M/O Client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1047</v>
      </c>
      <c r="B690" s="639" t="s">
        <v>741</v>
      </c>
      <c r="C690" s="640"/>
      <c r="D690" s="640"/>
      <c r="E690" s="640"/>
      <c r="F690" s="639" t="s">
        <v>4</v>
      </c>
      <c r="G690" s="639" t="s">
        <v>1116</v>
      </c>
      <c r="H690" s="634" t="s">
        <v>3074</v>
      </c>
      <c r="I690" s="633">
        <v>-95</v>
      </c>
      <c r="J690" s="633">
        <v>-9</v>
      </c>
      <c r="K690" s="633">
        <v>-104</v>
      </c>
      <c r="L690" s="149" t="str">
        <f t="shared" si="50"/>
        <v>460D@</v>
      </c>
      <c r="M690" s="150" t="str">
        <f t="shared" si="51"/>
        <v># DE VTE - M/O CLIENT BMW I</v>
      </c>
      <c r="N690" s="151">
        <f>+IF(OR($Q690=Parametres!$G$2,$Q690=Parametres!$G$3),I690,C690)</f>
        <v>-95</v>
      </c>
      <c r="O690" s="151">
        <f>+IF(OR($Q690=Parametres!$G$2,$Q690=Parametres!$G$3),J690,D690)</f>
        <v>-9</v>
      </c>
      <c r="P690" s="151">
        <f>+IF(OR($Q690=Parametres!$G$2,$Q690=Parametres!$G$3),K690,E690)</f>
        <v>-104</v>
      </c>
      <c r="Q690" s="150" t="str">
        <f t="shared" si="52"/>
        <v>10-Compte compteur</v>
      </c>
      <c r="R690" s="149" t="str">
        <f t="shared" si="53"/>
        <v>460A</v>
      </c>
      <c r="S690" s="150" t="str">
        <f t="shared" si="54"/>
        <v>_</v>
      </c>
      <c r="T690" s="152" t="str">
        <f>+VLOOKUP($L690,Data_Validation!$A:$D,1,0)</f>
        <v>460D@</v>
      </c>
      <c r="U690" s="152" t="str">
        <f>+VLOOKUP($L690,Data_Validation!$A:$D,3,0)</f>
        <v>service</v>
      </c>
      <c r="V690" s="152" t="str">
        <f>+VLOOKUP($L690,Data_Validation!$A:$D,4,0)</f>
        <v>M/O Client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1565</v>
      </c>
      <c r="B691" s="639" t="s">
        <v>1566</v>
      </c>
      <c r="C691" s="640"/>
      <c r="D691" s="640"/>
      <c r="E691" s="640"/>
      <c r="F691" s="639" t="s">
        <v>4</v>
      </c>
      <c r="G691" s="639" t="s">
        <v>1110</v>
      </c>
      <c r="H691" s="634" t="s">
        <v>3074</v>
      </c>
      <c r="I691" s="633">
        <v>-200</v>
      </c>
      <c r="J691" s="633">
        <v>-37</v>
      </c>
      <c r="K691" s="633">
        <v>-237</v>
      </c>
      <c r="L691" s="149" t="str">
        <f t="shared" si="50"/>
        <v>461A@</v>
      </c>
      <c r="M691" s="150" t="str">
        <f t="shared" si="51"/>
        <v># DE VTE - M/O GARANTIE BMW AUTO</v>
      </c>
      <c r="N691" s="151">
        <f>+IF(OR($Q691=Parametres!$G$2,$Q691=Parametres!$G$3),I691,C691)</f>
        <v>-200</v>
      </c>
      <c r="O691" s="151">
        <f>+IF(OR($Q691=Parametres!$G$2,$Q691=Parametres!$G$3),J691,D691)</f>
        <v>-37</v>
      </c>
      <c r="P691" s="151">
        <f>+IF(OR($Q691=Parametres!$G$2,$Q691=Parametres!$G$3),K691,E691)</f>
        <v>-237</v>
      </c>
      <c r="Q691" s="150" t="str">
        <f t="shared" si="52"/>
        <v>10-Compte compteur</v>
      </c>
      <c r="R691" s="149" t="str">
        <f t="shared" si="53"/>
        <v>461A</v>
      </c>
      <c r="S691" s="150" t="str">
        <f t="shared" si="54"/>
        <v>_</v>
      </c>
      <c r="T691" s="152" t="str">
        <f>+VLOOKUP($L691,Data_Validation!$A:$D,1,0)</f>
        <v>461A@</v>
      </c>
      <c r="U691" s="152" t="str">
        <f>+VLOOKUP($L691,Data_Validation!$A:$D,3,0)</f>
        <v>service</v>
      </c>
      <c r="V691" s="152" t="str">
        <f>+VLOOKUP($L691,Data_Validation!$A:$D,4,0)</f>
        <v>M/O Garantie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1567</v>
      </c>
      <c r="B692" s="639" t="s">
        <v>742</v>
      </c>
      <c r="C692" s="640"/>
      <c r="D692" s="640"/>
      <c r="E692" s="640"/>
      <c r="F692" s="639" t="s">
        <v>4</v>
      </c>
      <c r="G692" s="639" t="s">
        <v>1110</v>
      </c>
      <c r="H692" s="634" t="s">
        <v>3074</v>
      </c>
      <c r="I692" s="633">
        <v>-407</v>
      </c>
      <c r="J692" s="633">
        <v>-48</v>
      </c>
      <c r="K692" s="633">
        <v>-455</v>
      </c>
      <c r="L692" s="149" t="str">
        <f t="shared" si="50"/>
        <v>461B@</v>
      </c>
      <c r="M692" s="150" t="str">
        <f t="shared" si="51"/>
        <v># DE VTE - M/O GARANTIE BMW CAMION</v>
      </c>
      <c r="N692" s="151">
        <f>+IF(OR($Q692=Parametres!$G$2,$Q692=Parametres!$G$3),I692,C692)</f>
        <v>-407</v>
      </c>
      <c r="O692" s="151">
        <f>+IF(OR($Q692=Parametres!$G$2,$Q692=Parametres!$G$3),J692,D692)</f>
        <v>-48</v>
      </c>
      <c r="P692" s="151">
        <f>+IF(OR($Q692=Parametres!$G$2,$Q692=Parametres!$G$3),K692,E692)</f>
        <v>-455</v>
      </c>
      <c r="Q692" s="150" t="str">
        <f t="shared" si="52"/>
        <v>10-Compte compteur</v>
      </c>
      <c r="R692" s="149" t="str">
        <f t="shared" si="53"/>
        <v>461A</v>
      </c>
      <c r="S692" s="150" t="str">
        <f t="shared" si="54"/>
        <v>_</v>
      </c>
      <c r="T692" s="152" t="str">
        <f>+VLOOKUP($L692,Data_Validation!$A:$D,1,0)</f>
        <v>461B@</v>
      </c>
      <c r="U692" s="152" t="str">
        <f>+VLOOKUP($L692,Data_Validation!$A:$D,3,0)</f>
        <v>service</v>
      </c>
      <c r="V692" s="152" t="str">
        <f>+VLOOKUP($L692,Data_Validation!$A:$D,4,0)</f>
        <v>M/O Garantie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1568</v>
      </c>
      <c r="B693" s="639" t="s">
        <v>743</v>
      </c>
      <c r="C693" s="640"/>
      <c r="D693" s="640"/>
      <c r="E693" s="640"/>
      <c r="F693" s="639" t="s">
        <v>4</v>
      </c>
      <c r="G693" s="639" t="s">
        <v>441</v>
      </c>
      <c r="H693" s="634" t="s">
        <v>3074</v>
      </c>
      <c r="I693" s="633">
        <v>-148</v>
      </c>
      <c r="J693" s="633">
        <v>-40</v>
      </c>
      <c r="K693" s="633">
        <v>-188</v>
      </c>
      <c r="L693" s="149" t="str">
        <f t="shared" si="50"/>
        <v>461D@</v>
      </c>
      <c r="M693" s="150" t="str">
        <f t="shared" si="51"/>
        <v># DE VTE - M/O ENTRETIEN BMW AUTO</v>
      </c>
      <c r="N693" s="151">
        <f>+IF(OR($Q693=Parametres!$G$2,$Q693=Parametres!$G$3),I693,C693)</f>
        <v>-148</v>
      </c>
      <c r="O693" s="151">
        <f>+IF(OR($Q693=Parametres!$G$2,$Q693=Parametres!$G$3),J693,D693)</f>
        <v>-40</v>
      </c>
      <c r="P693" s="151">
        <f>+IF(OR($Q693=Parametres!$G$2,$Q693=Parametres!$G$3),K693,E693)</f>
        <v>-188</v>
      </c>
      <c r="Q693" s="150" t="str">
        <f t="shared" si="52"/>
        <v>10-Compte compteur</v>
      </c>
      <c r="R693" s="149" t="str">
        <f t="shared" si="53"/>
        <v>461D</v>
      </c>
      <c r="S693" s="150" t="str">
        <f t="shared" si="54"/>
        <v>_</v>
      </c>
      <c r="T693" s="152" t="str">
        <f>+VLOOKUP($L693,Data_Validation!$A:$D,1,0)</f>
        <v>461D@</v>
      </c>
      <c r="U693" s="152" t="str">
        <f>+VLOOKUP($L693,Data_Validation!$A:$D,3,0)</f>
        <v>service</v>
      </c>
      <c r="V693" s="152" t="str">
        <f>+VLOOKUP($L693,Data_Validation!$A:$D,4,0)</f>
        <v>M/O Garantie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1569</v>
      </c>
      <c r="B694" s="639" t="s">
        <v>744</v>
      </c>
      <c r="C694" s="640"/>
      <c r="D694" s="640"/>
      <c r="E694" s="640"/>
      <c r="F694" s="639" t="s">
        <v>4</v>
      </c>
      <c r="G694" s="639" t="s">
        <v>441</v>
      </c>
      <c r="H694" s="634" t="s">
        <v>3074</v>
      </c>
      <c r="I694" s="633">
        <v>-375</v>
      </c>
      <c r="J694" s="633">
        <v>-82</v>
      </c>
      <c r="K694" s="633">
        <v>-457</v>
      </c>
      <c r="L694" s="149" t="str">
        <f t="shared" si="50"/>
        <v>461E@</v>
      </c>
      <c r="M694" s="150" t="str">
        <f t="shared" si="51"/>
        <v># DE VTE - M/O ENTRETIEN BMW CAMION</v>
      </c>
      <c r="N694" s="151">
        <f>+IF(OR($Q694=Parametres!$G$2,$Q694=Parametres!$G$3),I694,C694)</f>
        <v>-375</v>
      </c>
      <c r="O694" s="151">
        <f>+IF(OR($Q694=Parametres!$G$2,$Q694=Parametres!$G$3),J694,D694)</f>
        <v>-82</v>
      </c>
      <c r="P694" s="151">
        <f>+IF(OR($Q694=Parametres!$G$2,$Q694=Parametres!$G$3),K694,E694)</f>
        <v>-457</v>
      </c>
      <c r="Q694" s="150" t="str">
        <f t="shared" si="52"/>
        <v>10-Compte compteur</v>
      </c>
      <c r="R694" s="149" t="str">
        <f t="shared" si="53"/>
        <v>461D</v>
      </c>
      <c r="S694" s="150" t="str">
        <f t="shared" si="54"/>
        <v>_</v>
      </c>
      <c r="T694" s="152" t="str">
        <f>+VLOOKUP($L694,Data_Validation!$A:$D,1,0)</f>
        <v>461E@</v>
      </c>
      <c r="U694" s="152" t="str">
        <f>+VLOOKUP($L694,Data_Validation!$A:$D,3,0)</f>
        <v>service</v>
      </c>
      <c r="V694" s="152" t="str">
        <f>+VLOOKUP($L694,Data_Validation!$A:$D,4,0)</f>
        <v>M/O Garantie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1570</v>
      </c>
      <c r="B695" s="639" t="s">
        <v>745</v>
      </c>
      <c r="C695" s="640"/>
      <c r="D695" s="640"/>
      <c r="E695" s="640"/>
      <c r="F695" s="639" t="s">
        <v>4</v>
      </c>
      <c r="G695" s="639" t="s">
        <v>441</v>
      </c>
      <c r="H695" s="634" t="s">
        <v>3074</v>
      </c>
      <c r="I695" s="633">
        <v>-31</v>
      </c>
      <c r="J695" s="633">
        <v>-5</v>
      </c>
      <c r="K695" s="633">
        <v>-36</v>
      </c>
      <c r="L695" s="149" t="str">
        <f t="shared" si="50"/>
        <v>461G@</v>
      </c>
      <c r="M695" s="150" t="str">
        <f t="shared" si="51"/>
        <v># DE VTE - M/O ENTRENTIEN BMW I</v>
      </c>
      <c r="N695" s="151">
        <f>+IF(OR($Q695=Parametres!$G$2,$Q695=Parametres!$G$3),I695,C695)</f>
        <v>-31</v>
      </c>
      <c r="O695" s="151">
        <f>+IF(OR($Q695=Parametres!$G$2,$Q695=Parametres!$G$3),J695,D695)</f>
        <v>-5</v>
      </c>
      <c r="P695" s="151">
        <f>+IF(OR($Q695=Parametres!$G$2,$Q695=Parametres!$G$3),K695,E695)</f>
        <v>-36</v>
      </c>
      <c r="Q695" s="150" t="str">
        <f t="shared" si="52"/>
        <v>10-Compte compteur</v>
      </c>
      <c r="R695" s="149" t="str">
        <f t="shared" si="53"/>
        <v>461D</v>
      </c>
      <c r="S695" s="150" t="str">
        <f t="shared" si="54"/>
        <v>_</v>
      </c>
      <c r="T695" s="152" t="str">
        <f>+VLOOKUP($L695,Data_Validation!$A:$D,1,0)</f>
        <v>461G@</v>
      </c>
      <c r="U695" s="152" t="str">
        <f>+VLOOKUP($L695,Data_Validation!$A:$D,3,0)</f>
        <v>service</v>
      </c>
      <c r="V695" s="152" t="str">
        <f>+VLOOKUP($L695,Data_Validation!$A:$D,4,0)</f>
        <v>M/O Garantie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1571</v>
      </c>
      <c r="B696" s="639" t="s">
        <v>746</v>
      </c>
      <c r="C696" s="640"/>
      <c r="D696" s="640"/>
      <c r="E696" s="640"/>
      <c r="F696" s="639" t="s">
        <v>4</v>
      </c>
      <c r="G696" s="639" t="s">
        <v>1110</v>
      </c>
      <c r="H696" s="634" t="s">
        <v>3074</v>
      </c>
      <c r="I696" s="633">
        <v>-63</v>
      </c>
      <c r="J696" s="633">
        <v>-4</v>
      </c>
      <c r="K696" s="633">
        <v>-67</v>
      </c>
      <c r="L696" s="149" t="str">
        <f t="shared" si="50"/>
        <v>461H@</v>
      </c>
      <c r="M696" s="150" t="str">
        <f t="shared" si="51"/>
        <v># DE VTE - M/O GARANTIE BMW</v>
      </c>
      <c r="N696" s="151">
        <f>+IF(OR($Q696=Parametres!$G$2,$Q696=Parametres!$G$3),I696,C696)</f>
        <v>-63</v>
      </c>
      <c r="O696" s="151">
        <f>+IF(OR($Q696=Parametres!$G$2,$Q696=Parametres!$G$3),J696,D696)</f>
        <v>-4</v>
      </c>
      <c r="P696" s="151">
        <f>+IF(OR($Q696=Parametres!$G$2,$Q696=Parametres!$G$3),K696,E696)</f>
        <v>-67</v>
      </c>
      <c r="Q696" s="150" t="str">
        <f t="shared" si="52"/>
        <v>10-Compte compteur</v>
      </c>
      <c r="R696" s="149" t="str">
        <f t="shared" si="53"/>
        <v>461A</v>
      </c>
      <c r="S696" s="150" t="str">
        <f t="shared" si="54"/>
        <v>_</v>
      </c>
      <c r="T696" s="152" t="str">
        <f>+VLOOKUP($L696,Data_Validation!$A:$D,1,0)</f>
        <v>461H@</v>
      </c>
      <c r="U696" s="152" t="str">
        <f>+VLOOKUP($L696,Data_Validation!$A:$D,3,0)</f>
        <v>service</v>
      </c>
      <c r="V696" s="152" t="str">
        <f>+VLOOKUP($L696,Data_Validation!$A:$D,4,0)</f>
        <v>M/O Garantie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1572</v>
      </c>
      <c r="B697" s="639" t="s">
        <v>1573</v>
      </c>
      <c r="C697" s="640"/>
      <c r="D697" s="640"/>
      <c r="E697" s="640"/>
      <c r="F697" s="639" t="s">
        <v>4</v>
      </c>
      <c r="G697" s="639" t="s">
        <v>1139</v>
      </c>
      <c r="H697" s="634" t="s">
        <v>3074</v>
      </c>
      <c r="I697" s="633">
        <v>-296</v>
      </c>
      <c r="J697" s="633">
        <v>-57</v>
      </c>
      <c r="K697" s="633">
        <v>-353</v>
      </c>
      <c r="L697" s="149" t="str">
        <f t="shared" si="50"/>
        <v>462A@</v>
      </c>
      <c r="M697" s="150" t="str">
        <f t="shared" si="51"/>
        <v># DE VTE - M/O INTERNE BMW AUTO</v>
      </c>
      <c r="N697" s="151">
        <f>+IF(OR($Q697=Parametres!$G$2,$Q697=Parametres!$G$3),I697,C697)</f>
        <v>-296</v>
      </c>
      <c r="O697" s="151">
        <f>+IF(OR($Q697=Parametres!$G$2,$Q697=Parametres!$G$3),J697,D697)</f>
        <v>-57</v>
      </c>
      <c r="P697" s="151">
        <f>+IF(OR($Q697=Parametres!$G$2,$Q697=Parametres!$G$3),K697,E697)</f>
        <v>-353</v>
      </c>
      <c r="Q697" s="150" t="str">
        <f t="shared" si="52"/>
        <v>10-Compte compteur</v>
      </c>
      <c r="R697" s="149" t="str">
        <f t="shared" si="53"/>
        <v>462A</v>
      </c>
      <c r="S697" s="150" t="str">
        <f t="shared" si="54"/>
        <v>_</v>
      </c>
      <c r="T697" s="152" t="str">
        <f>+VLOOKUP($L697,Data_Validation!$A:$D,1,0)</f>
        <v>462A@</v>
      </c>
      <c r="U697" s="152" t="str">
        <f>+VLOOKUP($L697,Data_Validation!$A:$D,3,0)</f>
        <v>service</v>
      </c>
      <c r="V697" s="152" t="str">
        <f>+VLOOKUP($L697,Data_Validation!$A:$D,4,0)</f>
        <v>M/O Interne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1574</v>
      </c>
      <c r="B698" s="639" t="s">
        <v>747</v>
      </c>
      <c r="C698" s="640"/>
      <c r="D698" s="640"/>
      <c r="E698" s="640"/>
      <c r="F698" s="639" t="s">
        <v>4</v>
      </c>
      <c r="G698" s="639" t="s">
        <v>1139</v>
      </c>
      <c r="H698" s="634" t="s">
        <v>3074</v>
      </c>
      <c r="I698" s="633">
        <v>-523</v>
      </c>
      <c r="J698" s="633">
        <v>-58</v>
      </c>
      <c r="K698" s="633">
        <v>-581</v>
      </c>
      <c r="L698" s="149" t="str">
        <f t="shared" si="50"/>
        <v>462B@</v>
      </c>
      <c r="M698" s="150" t="str">
        <f t="shared" si="51"/>
        <v># DE VTE - M/O INTERNE BMW CAMION</v>
      </c>
      <c r="N698" s="151">
        <f>+IF(OR($Q698=Parametres!$G$2,$Q698=Parametres!$G$3),I698,C698)</f>
        <v>-523</v>
      </c>
      <c r="O698" s="151">
        <f>+IF(OR($Q698=Parametres!$G$2,$Q698=Parametres!$G$3),J698,D698)</f>
        <v>-58</v>
      </c>
      <c r="P698" s="151">
        <f>+IF(OR($Q698=Parametres!$G$2,$Q698=Parametres!$G$3),K698,E698)</f>
        <v>-581</v>
      </c>
      <c r="Q698" s="150" t="str">
        <f t="shared" si="52"/>
        <v>10-Compte compteur</v>
      </c>
      <c r="R698" s="149" t="str">
        <f t="shared" si="53"/>
        <v>462A</v>
      </c>
      <c r="S698" s="150" t="str">
        <f t="shared" si="54"/>
        <v>_</v>
      </c>
      <c r="T698" s="152" t="str">
        <f>+VLOOKUP($L698,Data_Validation!$A:$D,1,0)</f>
        <v>462B@</v>
      </c>
      <c r="U698" s="152" t="str">
        <f>+VLOOKUP($L698,Data_Validation!$A:$D,3,0)</f>
        <v>service</v>
      </c>
      <c r="V698" s="152" t="str">
        <f>+VLOOKUP($L698,Data_Validation!$A:$D,4,0)</f>
        <v>M/O Interne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1048</v>
      </c>
      <c r="B699" s="639" t="s">
        <v>748</v>
      </c>
      <c r="C699" s="640"/>
      <c r="D699" s="640"/>
      <c r="E699" s="640"/>
      <c r="F699" s="639" t="s">
        <v>4</v>
      </c>
      <c r="G699" s="639" t="s">
        <v>1139</v>
      </c>
      <c r="H699" s="634" t="s">
        <v>3074</v>
      </c>
      <c r="I699" s="633">
        <v>-67</v>
      </c>
      <c r="J699" s="633">
        <v>-10</v>
      </c>
      <c r="K699" s="633">
        <v>-77</v>
      </c>
      <c r="L699" s="149" t="str">
        <f t="shared" si="50"/>
        <v>462D@</v>
      </c>
      <c r="M699" s="150" t="str">
        <f t="shared" si="51"/>
        <v># DE VTE - M/O INTERNE BMW I</v>
      </c>
      <c r="N699" s="151">
        <f>+IF(OR($Q699=Parametres!$G$2,$Q699=Parametres!$G$3),I699,C699)</f>
        <v>-67</v>
      </c>
      <c r="O699" s="151">
        <f>+IF(OR($Q699=Parametres!$G$2,$Q699=Parametres!$G$3),J699,D699)</f>
        <v>-10</v>
      </c>
      <c r="P699" s="151">
        <f>+IF(OR($Q699=Parametres!$G$2,$Q699=Parametres!$G$3),K699,E699)</f>
        <v>-77</v>
      </c>
      <c r="Q699" s="150" t="str">
        <f t="shared" si="52"/>
        <v>10-Compte compteur</v>
      </c>
      <c r="R699" s="149" t="str">
        <f t="shared" si="53"/>
        <v>462A</v>
      </c>
      <c r="S699" s="150" t="str">
        <f t="shared" si="54"/>
        <v>_</v>
      </c>
      <c r="T699" s="152" t="str">
        <f>+VLOOKUP($L699,Data_Validation!$A:$D,1,0)</f>
        <v>462D@</v>
      </c>
      <c r="U699" s="152" t="str">
        <f>+VLOOKUP($L699,Data_Validation!$A:$D,3,0)</f>
        <v>service</v>
      </c>
      <c r="V699" s="152" t="str">
        <f>+VLOOKUP($L699,Data_Validation!$A:$D,4,0)</f>
        <v>M/O Interne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2183</v>
      </c>
      <c r="B700" s="639" t="s">
        <v>2184</v>
      </c>
      <c r="C700" s="640"/>
      <c r="D700" s="640"/>
      <c r="E700" s="640"/>
      <c r="F700" s="639" t="s">
        <v>4</v>
      </c>
      <c r="G700" s="639" t="s">
        <v>1139</v>
      </c>
      <c r="H700" s="634" t="s">
        <v>3074</v>
      </c>
      <c r="I700" s="633">
        <v>-11</v>
      </c>
      <c r="J700" s="633">
        <v>0</v>
      </c>
      <c r="K700" s="633">
        <v>-11</v>
      </c>
      <c r="L700" s="149" t="str">
        <f t="shared" si="50"/>
        <v>462L@</v>
      </c>
      <c r="M700" s="150" t="str">
        <f t="shared" si="51"/>
        <v># OF VTES -SUBLET INTERNE AUTO</v>
      </c>
      <c r="N700" s="151">
        <f>+IF(OR($Q700=Parametres!$G$2,$Q700=Parametres!$G$3),I700,C700)</f>
        <v>-11</v>
      </c>
      <c r="O700" s="151">
        <f>+IF(OR($Q700=Parametres!$G$2,$Q700=Parametres!$G$3),J700,D700)</f>
        <v>0</v>
      </c>
      <c r="P700" s="151">
        <f>+IF(OR($Q700=Parametres!$G$2,$Q700=Parametres!$G$3),K700,E700)</f>
        <v>-11</v>
      </c>
      <c r="Q700" s="150" t="str">
        <f t="shared" si="52"/>
        <v>10-Compte compteur</v>
      </c>
      <c r="R700" s="149" t="str">
        <f t="shared" si="53"/>
        <v>462A</v>
      </c>
      <c r="S700" s="150" t="str">
        <f t="shared" si="54"/>
        <v>_</v>
      </c>
      <c r="T700" s="152" t="str">
        <f>+VLOOKUP($L700,Data_Validation!$A:$D,1,0)</f>
        <v>462L@</v>
      </c>
      <c r="U700" s="152" t="str">
        <f>+VLOOKUP($L700,Data_Validation!$A:$D,3,0)</f>
        <v>Service</v>
      </c>
      <c r="V700" s="152" t="str">
        <f>+VLOOKUP($L700,Data_Validation!$A:$D,4,0)</f>
        <v>M/O Interne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2185</v>
      </c>
      <c r="B701" s="639" t="s">
        <v>2186</v>
      </c>
      <c r="C701" s="640"/>
      <c r="D701" s="640"/>
      <c r="E701" s="640"/>
      <c r="F701" s="639" t="s">
        <v>4</v>
      </c>
      <c r="G701" s="639" t="s">
        <v>1139</v>
      </c>
      <c r="H701" s="634" t="s">
        <v>3074</v>
      </c>
      <c r="I701" s="633">
        <v>-28</v>
      </c>
      <c r="J701" s="633">
        <v>0</v>
      </c>
      <c r="K701" s="633">
        <v>-28</v>
      </c>
      <c r="L701" s="149" t="str">
        <f t="shared" si="50"/>
        <v>462M@</v>
      </c>
      <c r="M701" s="150" t="str">
        <f t="shared" si="51"/>
        <v># OF VTES -SUBLET INTERNE CAMION</v>
      </c>
      <c r="N701" s="151">
        <f>+IF(OR($Q701=Parametres!$G$2,$Q701=Parametres!$G$3),I701,C701)</f>
        <v>-28</v>
      </c>
      <c r="O701" s="151">
        <f>+IF(OR($Q701=Parametres!$G$2,$Q701=Parametres!$G$3),J701,D701)</f>
        <v>0</v>
      </c>
      <c r="P701" s="151">
        <f>+IF(OR($Q701=Parametres!$G$2,$Q701=Parametres!$G$3),K701,E701)</f>
        <v>-28</v>
      </c>
      <c r="Q701" s="150" t="str">
        <f t="shared" si="52"/>
        <v>10-Compte compteur</v>
      </c>
      <c r="R701" s="149" t="str">
        <f t="shared" si="53"/>
        <v>462A</v>
      </c>
      <c r="S701" s="150" t="str">
        <f t="shared" si="54"/>
        <v>_</v>
      </c>
      <c r="T701" s="152" t="str">
        <f>+VLOOKUP($L701,Data_Validation!$A:$D,1,0)</f>
        <v>462M@</v>
      </c>
      <c r="U701" s="152" t="str">
        <f>+VLOOKUP($L701,Data_Validation!$A:$D,3,0)</f>
        <v>Service</v>
      </c>
      <c r="V701" s="152" t="str">
        <f>+VLOOKUP($L701,Data_Validation!$A:$D,4,0)</f>
        <v>M/O Interne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2244</v>
      </c>
      <c r="B702" s="639" t="s">
        <v>2243</v>
      </c>
      <c r="C702" s="640"/>
      <c r="D702" s="640"/>
      <c r="E702" s="640"/>
      <c r="F702" s="639" t="s">
        <v>4</v>
      </c>
      <c r="G702" s="639" t="s">
        <v>1139</v>
      </c>
      <c r="H702" s="634" t="s">
        <v>3074</v>
      </c>
      <c r="I702" s="633">
        <v>-2</v>
      </c>
      <c r="J702" s="633">
        <v>0</v>
      </c>
      <c r="K702" s="633">
        <v>-2</v>
      </c>
      <c r="L702" s="149" t="str">
        <f t="shared" si="50"/>
        <v>462N@</v>
      </c>
      <c r="M702" s="150" t="str">
        <f t="shared" si="51"/>
        <v># OF VTES -SUBLET INTERNE ESTHETIQUE</v>
      </c>
      <c r="N702" s="151">
        <f>+IF(OR($Q702=Parametres!$G$2,$Q702=Parametres!$G$3),I702,C702)</f>
        <v>-2</v>
      </c>
      <c r="O702" s="151">
        <f>+IF(OR($Q702=Parametres!$G$2,$Q702=Parametres!$G$3),J702,D702)</f>
        <v>0</v>
      </c>
      <c r="P702" s="151">
        <f>+IF(OR($Q702=Parametres!$G$2,$Q702=Parametres!$G$3),K702,E702)</f>
        <v>-2</v>
      </c>
      <c r="Q702" s="150" t="str">
        <f t="shared" si="52"/>
        <v>10-Compte compteur</v>
      </c>
      <c r="R702" s="149" t="str">
        <f t="shared" si="53"/>
        <v>462A</v>
      </c>
      <c r="S702" s="150" t="str">
        <f t="shared" si="54"/>
        <v>_</v>
      </c>
      <c r="T702" s="152" t="str">
        <f>+VLOOKUP($L702,Data_Validation!$A:$D,1,0)</f>
        <v>462N@</v>
      </c>
      <c r="U702" s="152" t="str">
        <f>+VLOOKUP($L702,Data_Validation!$A:$D,3,0)</f>
        <v>Service</v>
      </c>
      <c r="V702" s="152" t="str">
        <f>+VLOOKUP($L702,Data_Validation!$A:$D,4,0)</f>
        <v>M/O Interne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3058</v>
      </c>
      <c r="B703" s="639" t="s">
        <v>3059</v>
      </c>
      <c r="C703" s="640"/>
      <c r="D703" s="640"/>
      <c r="E703" s="640"/>
      <c r="F703" s="639" t="s">
        <v>4</v>
      </c>
      <c r="G703" s="639" t="s">
        <v>1139</v>
      </c>
      <c r="H703" s="634" t="s">
        <v>3074</v>
      </c>
      <c r="I703" s="633">
        <v>-52</v>
      </c>
      <c r="J703" s="633">
        <v>-45</v>
      </c>
      <c r="K703" s="633">
        <v>-97</v>
      </c>
      <c r="L703" s="149" t="str">
        <f t="shared" si="50"/>
        <v>462Q@</v>
      </c>
      <c r="M703" s="150" t="str">
        <f t="shared" si="51"/>
        <v># DE VTES -M/O ESTHETIQUE INTERNE AUTO</v>
      </c>
      <c r="N703" s="151">
        <f>+IF(OR($Q703=Parametres!$G$2,$Q703=Parametres!$G$3),I703,C703)</f>
        <v>-52</v>
      </c>
      <c r="O703" s="151">
        <f>+IF(OR($Q703=Parametres!$G$2,$Q703=Parametres!$G$3),J703,D703)</f>
        <v>-45</v>
      </c>
      <c r="P703" s="151">
        <f>+IF(OR($Q703=Parametres!$G$2,$Q703=Parametres!$G$3),K703,E703)</f>
        <v>-97</v>
      </c>
      <c r="Q703" s="150" t="str">
        <f t="shared" si="52"/>
        <v>10-Compte compteur</v>
      </c>
      <c r="R703" s="149" t="str">
        <f t="shared" si="53"/>
        <v>462A</v>
      </c>
      <c r="S703" s="150" t="str">
        <f t="shared" si="54"/>
        <v>_</v>
      </c>
      <c r="T703" s="152" t="str">
        <f>+VLOOKUP($L703,Data_Validation!$A:$D,1,0)</f>
        <v>462Q@</v>
      </c>
      <c r="U703" s="152" t="str">
        <f>+VLOOKUP($L703,Data_Validation!$A:$D,3,0)</f>
        <v>service</v>
      </c>
      <c r="V703" s="152" t="str">
        <f>+VLOOKUP($L703,Data_Validation!$A:$D,4,0)</f>
        <v>M/O Interne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3060</v>
      </c>
      <c r="B704" s="639" t="s">
        <v>3061</v>
      </c>
      <c r="C704" s="640"/>
      <c r="D704" s="640"/>
      <c r="E704" s="640"/>
      <c r="F704" s="639" t="s">
        <v>4</v>
      </c>
      <c r="G704" s="639" t="s">
        <v>1139</v>
      </c>
      <c r="H704" s="634" t="s">
        <v>3074</v>
      </c>
      <c r="I704" s="633">
        <v>-64</v>
      </c>
      <c r="J704" s="633">
        <v>-55</v>
      </c>
      <c r="K704" s="633">
        <v>-119</v>
      </c>
      <c r="L704" s="149" t="str">
        <f t="shared" si="50"/>
        <v>462R@</v>
      </c>
      <c r="M704" s="150" t="str">
        <f t="shared" si="51"/>
        <v># DE VTES -M/O ESTHETIQUE INTERNE CAMION</v>
      </c>
      <c r="N704" s="151">
        <f>+IF(OR($Q704=Parametres!$G$2,$Q704=Parametres!$G$3),I704,C704)</f>
        <v>-64</v>
      </c>
      <c r="O704" s="151">
        <f>+IF(OR($Q704=Parametres!$G$2,$Q704=Parametres!$G$3),J704,D704)</f>
        <v>-55</v>
      </c>
      <c r="P704" s="151">
        <f>+IF(OR($Q704=Parametres!$G$2,$Q704=Parametres!$G$3),K704,E704)</f>
        <v>-119</v>
      </c>
      <c r="Q704" s="150" t="str">
        <f t="shared" si="52"/>
        <v>10-Compte compteur</v>
      </c>
      <c r="R704" s="149" t="str">
        <f t="shared" si="53"/>
        <v>462A</v>
      </c>
      <c r="S704" s="150" t="str">
        <f t="shared" si="54"/>
        <v>_</v>
      </c>
      <c r="T704" s="152" t="str">
        <f>+VLOOKUP($L704,Data_Validation!$A:$D,1,0)</f>
        <v>462R@</v>
      </c>
      <c r="U704" s="152" t="str">
        <f>+VLOOKUP($L704,Data_Validation!$A:$D,3,0)</f>
        <v>service</v>
      </c>
      <c r="V704" s="152" t="str">
        <f>+VLOOKUP($L704,Data_Validation!$A:$D,4,0)</f>
        <v>M/O Interne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3062</v>
      </c>
      <c r="B705" s="639" t="s">
        <v>3063</v>
      </c>
      <c r="C705" s="640"/>
      <c r="D705" s="640"/>
      <c r="E705" s="640"/>
      <c r="F705" s="639" t="s">
        <v>4</v>
      </c>
      <c r="G705" s="639" t="s">
        <v>1139</v>
      </c>
      <c r="H705" s="634" t="s">
        <v>3074</v>
      </c>
      <c r="I705" s="633">
        <v>-7</v>
      </c>
      <c r="J705" s="633">
        <v>-4</v>
      </c>
      <c r="K705" s="633">
        <v>-11</v>
      </c>
      <c r="L705" s="149" t="str">
        <f t="shared" si="50"/>
        <v>462S@</v>
      </c>
      <c r="M705" s="150" t="str">
        <f t="shared" si="51"/>
        <v># DE VTES -M/O ESTHETIQUE INTERNE I</v>
      </c>
      <c r="N705" s="151">
        <f>+IF(OR($Q705=Parametres!$G$2,$Q705=Parametres!$G$3),I705,C705)</f>
        <v>-7</v>
      </c>
      <c r="O705" s="151">
        <f>+IF(OR($Q705=Parametres!$G$2,$Q705=Parametres!$G$3),J705,D705)</f>
        <v>-4</v>
      </c>
      <c r="P705" s="151">
        <f>+IF(OR($Q705=Parametres!$G$2,$Q705=Parametres!$G$3),K705,E705)</f>
        <v>-11</v>
      </c>
      <c r="Q705" s="150" t="str">
        <f t="shared" si="52"/>
        <v>10-Compte compteur</v>
      </c>
      <c r="R705" s="149" t="str">
        <f t="shared" si="53"/>
        <v>462A</v>
      </c>
      <c r="S705" s="150" t="str">
        <f t="shared" si="54"/>
        <v>_</v>
      </c>
      <c r="T705" s="152" t="str">
        <f>+VLOOKUP($L705,Data_Validation!$A:$D,1,0)</f>
        <v>462S@</v>
      </c>
      <c r="U705" s="152" t="str">
        <f>+VLOOKUP($L705,Data_Validation!$A:$D,3,0)</f>
        <v>service</v>
      </c>
      <c r="V705" s="152" t="str">
        <f>+VLOOKUP($L705,Data_Validation!$A:$D,4,0)</f>
        <v>M/O Interne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1575</v>
      </c>
      <c r="B706" s="639" t="s">
        <v>1576</v>
      </c>
      <c r="C706" s="640"/>
      <c r="D706" s="640"/>
      <c r="E706" s="640"/>
      <c r="F706" s="639" t="s">
        <v>4</v>
      </c>
      <c r="G706" s="639" t="s">
        <v>1143</v>
      </c>
      <c r="H706" s="634" t="s">
        <v>3074</v>
      </c>
      <c r="I706" s="633">
        <v>-34</v>
      </c>
      <c r="J706" s="633">
        <v>-5</v>
      </c>
      <c r="K706" s="633">
        <v>-39</v>
      </c>
      <c r="L706" s="149" t="str">
        <f t="shared" ref="L706:L769" si="55">+B706</f>
        <v>463A@</v>
      </c>
      <c r="M706" s="150" t="str">
        <f t="shared" ref="M706:M769" si="56">+A706</f>
        <v># DE VTE - SOUS-TRAITANCE BMW AUTO</v>
      </c>
      <c r="N706" s="151">
        <f>+IF(OR($Q706=Parametres!$G$2,$Q706=Parametres!$G$3),I706,C706)</f>
        <v>-34</v>
      </c>
      <c r="O706" s="151">
        <f>+IF(OR($Q706=Parametres!$G$2,$Q706=Parametres!$G$3),J706,D706)</f>
        <v>-5</v>
      </c>
      <c r="P706" s="151">
        <f>+IF(OR($Q706=Parametres!$G$2,$Q706=Parametres!$G$3),K706,E706)</f>
        <v>-39</v>
      </c>
      <c r="Q706" s="150" t="str">
        <f t="shared" ref="Q706:Q769" si="57">+F706</f>
        <v>10-Compte compteur</v>
      </c>
      <c r="R706" s="149" t="str">
        <f t="shared" ref="R706:R769" si="58">+G706</f>
        <v>463A</v>
      </c>
      <c r="S706" s="150" t="str">
        <f t="shared" ref="S706:S769" si="59">+H706</f>
        <v>_</v>
      </c>
      <c r="T706" s="152" t="str">
        <f>+VLOOKUP($L706,Data_Validation!$A:$D,1,0)</f>
        <v>463A@</v>
      </c>
      <c r="U706" s="152" t="str">
        <f>+VLOOKUP($L706,Data_Validation!$A:$D,3,0)</f>
        <v>service</v>
      </c>
      <c r="V706" s="152" t="str">
        <f>+VLOOKUP($L706,Data_Validation!$A:$D,4,0)</f>
        <v>Sous-traitement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1577</v>
      </c>
      <c r="B707" s="639" t="s">
        <v>749</v>
      </c>
      <c r="C707" s="640"/>
      <c r="D707" s="640"/>
      <c r="E707" s="640"/>
      <c r="F707" s="639" t="s">
        <v>4</v>
      </c>
      <c r="G707" s="639" t="s">
        <v>1143</v>
      </c>
      <c r="H707" s="634" t="s">
        <v>3074</v>
      </c>
      <c r="I707" s="633">
        <v>-50</v>
      </c>
      <c r="J707" s="633">
        <v>-6</v>
      </c>
      <c r="K707" s="633">
        <v>-56</v>
      </c>
      <c r="L707" s="149" t="str">
        <f t="shared" si="55"/>
        <v>463B@</v>
      </c>
      <c r="M707" s="150" t="str">
        <f t="shared" si="56"/>
        <v># DE VTE - SOUS-TRAITANCE BMW CAMION</v>
      </c>
      <c r="N707" s="151">
        <f>+IF(OR($Q707=Parametres!$G$2,$Q707=Parametres!$G$3),I707,C707)</f>
        <v>-50</v>
      </c>
      <c r="O707" s="151">
        <f>+IF(OR($Q707=Parametres!$G$2,$Q707=Parametres!$G$3),J707,D707)</f>
        <v>-6</v>
      </c>
      <c r="P707" s="151">
        <f>+IF(OR($Q707=Parametres!$G$2,$Q707=Parametres!$G$3),K707,E707)</f>
        <v>-56</v>
      </c>
      <c r="Q707" s="150" t="str">
        <f t="shared" si="57"/>
        <v>10-Compte compteur</v>
      </c>
      <c r="R707" s="149" t="str">
        <f t="shared" si="58"/>
        <v>463A</v>
      </c>
      <c r="S707" s="150" t="str">
        <f t="shared" si="59"/>
        <v>_</v>
      </c>
      <c r="T707" s="152" t="str">
        <f>+VLOOKUP($L707,Data_Validation!$A:$D,1,0)</f>
        <v>463B@</v>
      </c>
      <c r="U707" s="152" t="str">
        <f>+VLOOKUP($L707,Data_Validation!$A:$D,3,0)</f>
        <v>service</v>
      </c>
      <c r="V707" s="152" t="str">
        <f>+VLOOKUP($L707,Data_Validation!$A:$D,4,0)</f>
        <v>Sous-traitement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1049</v>
      </c>
      <c r="B708" s="639" t="s">
        <v>1050</v>
      </c>
      <c r="C708" s="640"/>
      <c r="D708" s="640"/>
      <c r="E708" s="640"/>
      <c r="F708" s="639" t="s">
        <v>4</v>
      </c>
      <c r="G708" s="639" t="s">
        <v>1143</v>
      </c>
      <c r="H708" s="634" t="s">
        <v>3074</v>
      </c>
      <c r="I708" s="633">
        <v>-2</v>
      </c>
      <c r="J708" s="633">
        <v>-1</v>
      </c>
      <c r="K708" s="633">
        <v>-3</v>
      </c>
      <c r="L708" s="149" t="str">
        <f t="shared" si="55"/>
        <v>463D@</v>
      </c>
      <c r="M708" s="150" t="str">
        <f t="shared" si="56"/>
        <v># DE VTE - SOUS-TRAITANCE BMW I</v>
      </c>
      <c r="N708" s="151">
        <f>+IF(OR($Q708=Parametres!$G$2,$Q708=Parametres!$G$3),I708,C708)</f>
        <v>-2</v>
      </c>
      <c r="O708" s="151">
        <f>+IF(OR($Q708=Parametres!$G$2,$Q708=Parametres!$G$3),J708,D708)</f>
        <v>-1</v>
      </c>
      <c r="P708" s="151">
        <f>+IF(OR($Q708=Parametres!$G$2,$Q708=Parametres!$G$3),K708,E708)</f>
        <v>-3</v>
      </c>
      <c r="Q708" s="150" t="str">
        <f t="shared" si="57"/>
        <v>10-Compte compteur</v>
      </c>
      <c r="R708" s="149" t="str">
        <f t="shared" si="58"/>
        <v>463A</v>
      </c>
      <c r="S708" s="150" t="str">
        <f t="shared" si="59"/>
        <v>_</v>
      </c>
      <c r="T708" s="152" t="str">
        <f>+VLOOKUP($L708,Data_Validation!$A:$D,1,0)</f>
        <v>463D@</v>
      </c>
      <c r="U708" s="152" t="str">
        <f>+VLOOKUP($L708,Data_Validation!$A:$D,3,0)</f>
        <v>service</v>
      </c>
      <c r="V708" s="152" t="str">
        <f>+VLOOKUP($L708,Data_Validation!$A:$D,4,0)</f>
        <v>Sous-traitement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1580</v>
      </c>
      <c r="B709" s="639" t="s">
        <v>1581</v>
      </c>
      <c r="C709" s="640"/>
      <c r="D709" s="640"/>
      <c r="E709" s="640"/>
      <c r="F709" s="639" t="s">
        <v>4</v>
      </c>
      <c r="G709" s="639" t="s">
        <v>1120</v>
      </c>
      <c r="H709" s="634" t="s">
        <v>3074</v>
      </c>
      <c r="I709" s="633">
        <v>-265</v>
      </c>
      <c r="J709" s="633">
        <v>-74</v>
      </c>
      <c r="K709" s="633">
        <v>-339</v>
      </c>
      <c r="L709" s="149" t="str">
        <f t="shared" si="55"/>
        <v>470A@</v>
      </c>
      <c r="M709" s="150" t="str">
        <f t="shared" si="56"/>
        <v># DE VTE - PCS BT CLIENT BMW AUTO</v>
      </c>
      <c r="N709" s="151">
        <f>+IF(OR($Q709=Parametres!$G$2,$Q709=Parametres!$G$3),I709,C709)</f>
        <v>-265</v>
      </c>
      <c r="O709" s="151">
        <f>+IF(OR($Q709=Parametres!$G$2,$Q709=Parametres!$G$3),J709,D709)</f>
        <v>-74</v>
      </c>
      <c r="P709" s="151">
        <f>+IF(OR($Q709=Parametres!$G$2,$Q709=Parametres!$G$3),K709,E709)</f>
        <v>-339</v>
      </c>
      <c r="Q709" s="150" t="str">
        <f t="shared" si="57"/>
        <v>10-Compte compteur</v>
      </c>
      <c r="R709" s="149" t="str">
        <f t="shared" si="58"/>
        <v>470A</v>
      </c>
      <c r="S709" s="150" t="str">
        <f t="shared" si="59"/>
        <v>_</v>
      </c>
      <c r="T709" s="152" t="str">
        <f>+VLOOKUP($L709,Data_Validation!$A:$D,1,0)</f>
        <v>470A@</v>
      </c>
      <c r="U709" s="152" t="str">
        <f>+VLOOKUP($L709,Data_Validation!$A:$D,3,0)</f>
        <v>Pièces</v>
      </c>
      <c r="V709" s="152" t="str">
        <f>+VLOOKUP($L709,Data_Validation!$A:$D,4,0)</f>
        <v>Pièces Ro Clients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1582</v>
      </c>
      <c r="B710" s="639" t="s">
        <v>750</v>
      </c>
      <c r="C710" s="640"/>
      <c r="D710" s="640"/>
      <c r="E710" s="640"/>
      <c r="F710" s="639" t="s">
        <v>4</v>
      </c>
      <c r="G710" s="639" t="s">
        <v>1120</v>
      </c>
      <c r="H710" s="634" t="s">
        <v>3074</v>
      </c>
      <c r="I710" s="633">
        <v>-370</v>
      </c>
      <c r="J710" s="633">
        <v>-64</v>
      </c>
      <c r="K710" s="633">
        <v>-434</v>
      </c>
      <c r="L710" s="149" t="str">
        <f t="shared" si="55"/>
        <v>470B@</v>
      </c>
      <c r="M710" s="150" t="str">
        <f t="shared" si="56"/>
        <v># DE VTE - PCS BT CLIENT BMW CAMION</v>
      </c>
      <c r="N710" s="151">
        <f>+IF(OR($Q710=Parametres!$G$2,$Q710=Parametres!$G$3),I710,C710)</f>
        <v>-370</v>
      </c>
      <c r="O710" s="151">
        <f>+IF(OR($Q710=Parametres!$G$2,$Q710=Parametres!$G$3),J710,D710)</f>
        <v>-64</v>
      </c>
      <c r="P710" s="151">
        <f>+IF(OR($Q710=Parametres!$G$2,$Q710=Parametres!$G$3),K710,E710)</f>
        <v>-434</v>
      </c>
      <c r="Q710" s="150" t="str">
        <f t="shared" si="57"/>
        <v>10-Compte compteur</v>
      </c>
      <c r="R710" s="149" t="str">
        <f t="shared" si="58"/>
        <v>470A</v>
      </c>
      <c r="S710" s="150" t="str">
        <f t="shared" si="59"/>
        <v>_</v>
      </c>
      <c r="T710" s="152" t="str">
        <f>+VLOOKUP($L710,Data_Validation!$A:$D,1,0)</f>
        <v>470B@</v>
      </c>
      <c r="U710" s="152" t="str">
        <f>+VLOOKUP($L710,Data_Validation!$A:$D,3,0)</f>
        <v>Pièces</v>
      </c>
      <c r="V710" s="152" t="str">
        <f>+VLOOKUP($L710,Data_Validation!$A:$D,4,0)</f>
        <v>Pièces Ro Clients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1583</v>
      </c>
      <c r="B711" s="639" t="s">
        <v>1051</v>
      </c>
      <c r="C711" s="640"/>
      <c r="D711" s="640"/>
      <c r="E711" s="640"/>
      <c r="F711" s="639" t="s">
        <v>4</v>
      </c>
      <c r="G711" s="639" t="s">
        <v>1120</v>
      </c>
      <c r="H711" s="634" t="s">
        <v>3074</v>
      </c>
      <c r="I711" s="633">
        <v>-32</v>
      </c>
      <c r="J711" s="633">
        <v>-5</v>
      </c>
      <c r="K711" s="633">
        <v>-37</v>
      </c>
      <c r="L711" s="149" t="str">
        <f t="shared" si="55"/>
        <v>470D@</v>
      </c>
      <c r="M711" s="150" t="str">
        <f t="shared" si="56"/>
        <v># DE VTE - PIECES BT CLIENT BMW I</v>
      </c>
      <c r="N711" s="151">
        <f>+IF(OR($Q711=Parametres!$G$2,$Q711=Parametres!$G$3),I711,C711)</f>
        <v>-32</v>
      </c>
      <c r="O711" s="151">
        <f>+IF(OR($Q711=Parametres!$G$2,$Q711=Parametres!$G$3),J711,D711)</f>
        <v>-5</v>
      </c>
      <c r="P711" s="151">
        <f>+IF(OR($Q711=Parametres!$G$2,$Q711=Parametres!$G$3),K711,E711)</f>
        <v>-37</v>
      </c>
      <c r="Q711" s="150" t="str">
        <f t="shared" si="57"/>
        <v>10-Compte compteur</v>
      </c>
      <c r="R711" s="149" t="str">
        <f t="shared" si="58"/>
        <v>470A</v>
      </c>
      <c r="S711" s="150" t="str">
        <f t="shared" si="59"/>
        <v>_</v>
      </c>
      <c r="T711" s="152" t="str">
        <f>+VLOOKUP($L711,Data_Validation!$A:$D,1,0)</f>
        <v>470D@</v>
      </c>
      <c r="U711" s="152" t="str">
        <f>+VLOOKUP($L711,Data_Validation!$A:$D,3,0)</f>
        <v>Pièces</v>
      </c>
      <c r="V711" s="152" t="str">
        <f>+VLOOKUP($L711,Data_Validation!$A:$D,4,0)</f>
        <v>Pièces Ro Clients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1584</v>
      </c>
      <c r="B712" s="639" t="s">
        <v>1585</v>
      </c>
      <c r="C712" s="640"/>
      <c r="D712" s="640"/>
      <c r="E712" s="640"/>
      <c r="F712" s="639" t="s">
        <v>4</v>
      </c>
      <c r="G712" s="639" t="s">
        <v>1096</v>
      </c>
      <c r="H712" s="634" t="s">
        <v>3074</v>
      </c>
      <c r="I712" s="633">
        <v>-153</v>
      </c>
      <c r="J712" s="633">
        <v>-30</v>
      </c>
      <c r="K712" s="633">
        <v>-183</v>
      </c>
      <c r="L712" s="149" t="str">
        <f t="shared" si="55"/>
        <v>472A@</v>
      </c>
      <c r="M712" s="150" t="str">
        <f t="shared" si="56"/>
        <v># DE VTE - PCS GARANTIE BMW AUTO</v>
      </c>
      <c r="N712" s="151">
        <f>+IF(OR($Q712=Parametres!$G$2,$Q712=Parametres!$G$3),I712,C712)</f>
        <v>-153</v>
      </c>
      <c r="O712" s="151">
        <f>+IF(OR($Q712=Parametres!$G$2,$Q712=Parametres!$G$3),J712,D712)</f>
        <v>-30</v>
      </c>
      <c r="P712" s="151">
        <f>+IF(OR($Q712=Parametres!$G$2,$Q712=Parametres!$G$3),K712,E712)</f>
        <v>-183</v>
      </c>
      <c r="Q712" s="150" t="str">
        <f t="shared" si="57"/>
        <v>10-Compte compteur</v>
      </c>
      <c r="R712" s="149" t="str">
        <f t="shared" si="58"/>
        <v>472A</v>
      </c>
      <c r="S712" s="150" t="str">
        <f t="shared" si="59"/>
        <v>_</v>
      </c>
      <c r="T712" s="152" t="str">
        <f>+VLOOKUP($L712,Data_Validation!$A:$D,1,0)</f>
        <v>472A@</v>
      </c>
      <c r="U712" s="152" t="str">
        <f>+VLOOKUP($L712,Data_Validation!$A:$D,3,0)</f>
        <v>pièces</v>
      </c>
      <c r="V712" s="152" t="str">
        <f>+VLOOKUP($L712,Data_Validation!$A:$D,4,0)</f>
        <v>P/A Garantie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1586</v>
      </c>
      <c r="B713" s="639" t="s">
        <v>751</v>
      </c>
      <c r="C713" s="640"/>
      <c r="D713" s="640"/>
      <c r="E713" s="640"/>
      <c r="F713" s="639" t="s">
        <v>4</v>
      </c>
      <c r="G713" s="639" t="s">
        <v>1096</v>
      </c>
      <c r="H713" s="634" t="s">
        <v>3074</v>
      </c>
      <c r="I713" s="633">
        <v>-234</v>
      </c>
      <c r="J713" s="633">
        <v>-26</v>
      </c>
      <c r="K713" s="633">
        <v>-260</v>
      </c>
      <c r="L713" s="149" t="str">
        <f t="shared" si="55"/>
        <v>472B@</v>
      </c>
      <c r="M713" s="150" t="str">
        <f t="shared" si="56"/>
        <v># DE VTE - PCS GARANTIE BMW CAMION</v>
      </c>
      <c r="N713" s="151">
        <f>+IF(OR($Q713=Parametres!$G$2,$Q713=Parametres!$G$3),I713,C713)</f>
        <v>-234</v>
      </c>
      <c r="O713" s="151">
        <f>+IF(OR($Q713=Parametres!$G$2,$Q713=Parametres!$G$3),J713,D713)</f>
        <v>-26</v>
      </c>
      <c r="P713" s="151">
        <f>+IF(OR($Q713=Parametres!$G$2,$Q713=Parametres!$G$3),K713,E713)</f>
        <v>-260</v>
      </c>
      <c r="Q713" s="150" t="str">
        <f t="shared" si="57"/>
        <v>10-Compte compteur</v>
      </c>
      <c r="R713" s="149" t="str">
        <f t="shared" si="58"/>
        <v>472A</v>
      </c>
      <c r="S713" s="150" t="str">
        <f t="shared" si="59"/>
        <v>_</v>
      </c>
      <c r="T713" s="152" t="str">
        <f>+VLOOKUP($L713,Data_Validation!$A:$D,1,0)</f>
        <v>472B@</v>
      </c>
      <c r="U713" s="152" t="str">
        <f>+VLOOKUP($L713,Data_Validation!$A:$D,3,0)</f>
        <v>pièces</v>
      </c>
      <c r="V713" s="152" t="str">
        <f>+VLOOKUP($L713,Data_Validation!$A:$D,4,0)</f>
        <v>P/A Garantie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1587</v>
      </c>
      <c r="B714" s="639" t="s">
        <v>752</v>
      </c>
      <c r="C714" s="640"/>
      <c r="D714" s="640"/>
      <c r="E714" s="640"/>
      <c r="F714" s="639" t="s">
        <v>4</v>
      </c>
      <c r="G714" s="639" t="s">
        <v>434</v>
      </c>
      <c r="H714" s="634" t="s">
        <v>3074</v>
      </c>
      <c r="I714" s="634">
        <v>-133</v>
      </c>
      <c r="J714" s="634">
        <v>-37</v>
      </c>
      <c r="K714" s="634">
        <v>-170</v>
      </c>
      <c r="L714" s="149" t="str">
        <f t="shared" si="55"/>
        <v>472D@</v>
      </c>
      <c r="M714" s="150" t="str">
        <f t="shared" si="56"/>
        <v># DE VTE - PCS ENTRETIEN BMW AUTO</v>
      </c>
      <c r="N714" s="151">
        <f>+IF(OR($Q714=Parametres!$G$2,$Q714=Parametres!$G$3),I714,C714)</f>
        <v>-133</v>
      </c>
      <c r="O714" s="151">
        <f>+IF(OR($Q714=Parametres!$G$2,$Q714=Parametres!$G$3),J714,D714)</f>
        <v>-37</v>
      </c>
      <c r="P714" s="151">
        <f>+IF(OR($Q714=Parametres!$G$2,$Q714=Parametres!$G$3),K714,E714)</f>
        <v>-170</v>
      </c>
      <c r="Q714" s="150" t="str">
        <f t="shared" si="57"/>
        <v>10-Compte compteur</v>
      </c>
      <c r="R714" s="149" t="str">
        <f t="shared" si="58"/>
        <v>472D</v>
      </c>
      <c r="S714" s="150" t="str">
        <f t="shared" si="59"/>
        <v>_</v>
      </c>
      <c r="T714" s="152" t="str">
        <f>+VLOOKUP($L714,Data_Validation!$A:$D,1,0)</f>
        <v>472D@</v>
      </c>
      <c r="U714" s="152" t="str">
        <f>+VLOOKUP($L714,Data_Validation!$A:$D,3,0)</f>
        <v>pièces</v>
      </c>
      <c r="V714" s="152" t="str">
        <f>+VLOOKUP($L714,Data_Validation!$A:$D,4,0)</f>
        <v>P/A Garantie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1588</v>
      </c>
      <c r="B715" s="639" t="s">
        <v>753</v>
      </c>
      <c r="C715" s="640"/>
      <c r="D715" s="640"/>
      <c r="E715" s="640"/>
      <c r="F715" s="639" t="s">
        <v>4</v>
      </c>
      <c r="G715" s="639" t="s">
        <v>434</v>
      </c>
      <c r="H715" s="634" t="s">
        <v>3074</v>
      </c>
      <c r="I715" s="634">
        <v>-344</v>
      </c>
      <c r="J715" s="634">
        <v>-78</v>
      </c>
      <c r="K715" s="634">
        <v>-422</v>
      </c>
      <c r="L715" s="149" t="str">
        <f t="shared" si="55"/>
        <v>472E@</v>
      </c>
      <c r="M715" s="150" t="str">
        <f t="shared" si="56"/>
        <v># DE VTE - PCS ENTRETIEN BMW CAMION</v>
      </c>
      <c r="N715" s="151">
        <f>+IF(OR($Q715=Parametres!$G$2,$Q715=Parametres!$G$3),I715,C715)</f>
        <v>-344</v>
      </c>
      <c r="O715" s="151">
        <f>+IF(OR($Q715=Parametres!$G$2,$Q715=Parametres!$G$3),J715,D715)</f>
        <v>-78</v>
      </c>
      <c r="P715" s="151">
        <f>+IF(OR($Q715=Parametres!$G$2,$Q715=Parametres!$G$3),K715,E715)</f>
        <v>-422</v>
      </c>
      <c r="Q715" s="150" t="str">
        <f t="shared" si="57"/>
        <v>10-Compte compteur</v>
      </c>
      <c r="R715" s="149" t="str">
        <f t="shared" si="58"/>
        <v>472D</v>
      </c>
      <c r="S715" s="150" t="str">
        <f t="shared" si="59"/>
        <v>_</v>
      </c>
      <c r="T715" s="152" t="str">
        <f>+VLOOKUP($L715,Data_Validation!$A:$D,1,0)</f>
        <v>472E@</v>
      </c>
      <c r="U715" s="152" t="str">
        <f>+VLOOKUP($L715,Data_Validation!$A:$D,3,0)</f>
        <v>pièces</v>
      </c>
      <c r="V715" s="152" t="str">
        <f>+VLOOKUP($L715,Data_Validation!$A:$D,4,0)</f>
        <v>P/A Garantie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1589</v>
      </c>
      <c r="B716" s="639" t="s">
        <v>1052</v>
      </c>
      <c r="C716" s="640"/>
      <c r="D716" s="640"/>
      <c r="E716" s="640"/>
      <c r="F716" s="639" t="s">
        <v>4</v>
      </c>
      <c r="G716" s="639" t="s">
        <v>434</v>
      </c>
      <c r="H716" s="634" t="s">
        <v>3074</v>
      </c>
      <c r="I716" s="634">
        <v>-30</v>
      </c>
      <c r="J716" s="634">
        <v>-5</v>
      </c>
      <c r="K716" s="634">
        <v>-35</v>
      </c>
      <c r="L716" s="149" t="str">
        <f t="shared" si="55"/>
        <v>472G@</v>
      </c>
      <c r="M716" s="150" t="str">
        <f t="shared" si="56"/>
        <v># DE VTE - PIECES ENTRETIEN BMW I</v>
      </c>
      <c r="N716" s="151">
        <f>+IF(OR($Q716=Parametres!$G$2,$Q716=Parametres!$G$3),I716,C716)</f>
        <v>-30</v>
      </c>
      <c r="O716" s="151">
        <f>+IF(OR($Q716=Parametres!$G$2,$Q716=Parametres!$G$3),J716,D716)</f>
        <v>-5</v>
      </c>
      <c r="P716" s="151">
        <f>+IF(OR($Q716=Parametres!$G$2,$Q716=Parametres!$G$3),K716,E716)</f>
        <v>-35</v>
      </c>
      <c r="Q716" s="150" t="str">
        <f t="shared" si="57"/>
        <v>10-Compte compteur</v>
      </c>
      <c r="R716" s="149" t="str">
        <f t="shared" si="58"/>
        <v>472D</v>
      </c>
      <c r="S716" s="150" t="str">
        <f t="shared" si="59"/>
        <v>_</v>
      </c>
      <c r="T716" s="152" t="str">
        <f>+VLOOKUP($L716,Data_Validation!$A:$D,1,0)</f>
        <v>472G@</v>
      </c>
      <c r="U716" s="152" t="str">
        <f>+VLOOKUP($L716,Data_Validation!$A:$D,3,0)</f>
        <v>pièces</v>
      </c>
      <c r="V716" s="152" t="str">
        <f>+VLOOKUP($L716,Data_Validation!$A:$D,4,0)</f>
        <v>P/A Garantie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1053</v>
      </c>
      <c r="B717" s="639" t="s">
        <v>1054</v>
      </c>
      <c r="C717" s="640"/>
      <c r="D717" s="640"/>
      <c r="E717" s="640"/>
      <c r="F717" s="639" t="s">
        <v>4</v>
      </c>
      <c r="G717" s="639" t="s">
        <v>1096</v>
      </c>
      <c r="H717" s="634" t="s">
        <v>3074</v>
      </c>
      <c r="I717" s="634">
        <v>-59</v>
      </c>
      <c r="J717" s="634">
        <v>-5</v>
      </c>
      <c r="K717" s="634">
        <v>-64</v>
      </c>
      <c r="L717" s="149" t="str">
        <f t="shared" si="55"/>
        <v>472H@</v>
      </c>
      <c r="M717" s="150" t="str">
        <f t="shared" si="56"/>
        <v># DE VTE - PIECES GARANTIE BMW I</v>
      </c>
      <c r="N717" s="151">
        <f>+IF(OR($Q717=Parametres!$G$2,$Q717=Parametres!$G$3),I717,C717)</f>
        <v>-59</v>
      </c>
      <c r="O717" s="151">
        <f>+IF(OR($Q717=Parametres!$G$2,$Q717=Parametres!$G$3),J717,D717)</f>
        <v>-5</v>
      </c>
      <c r="P717" s="151">
        <f>+IF(OR($Q717=Parametres!$G$2,$Q717=Parametres!$G$3),K717,E717)</f>
        <v>-64</v>
      </c>
      <c r="Q717" s="150" t="str">
        <f t="shared" si="57"/>
        <v>10-Compte compteur</v>
      </c>
      <c r="R717" s="149" t="str">
        <f t="shared" si="58"/>
        <v>472A</v>
      </c>
      <c r="S717" s="150" t="str">
        <f t="shared" si="59"/>
        <v>_</v>
      </c>
      <c r="T717" s="152" t="str">
        <f>+VLOOKUP($L717,Data_Validation!$A:$D,1,0)</f>
        <v>472H@</v>
      </c>
      <c r="U717" s="152" t="str">
        <f>+VLOOKUP($L717,Data_Validation!$A:$D,3,0)</f>
        <v>pièces</v>
      </c>
      <c r="V717" s="152" t="str">
        <f>+VLOOKUP($L717,Data_Validation!$A:$D,4,0)</f>
        <v>P/A Garantie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1590</v>
      </c>
      <c r="B718" s="639" t="s">
        <v>1591</v>
      </c>
      <c r="C718" s="640"/>
      <c r="D718" s="640"/>
      <c r="E718" s="640"/>
      <c r="F718" s="639" t="s">
        <v>4</v>
      </c>
      <c r="G718" s="639" t="s">
        <v>1132</v>
      </c>
      <c r="H718" s="634" t="s">
        <v>3074</v>
      </c>
      <c r="I718" s="634">
        <v>-265</v>
      </c>
      <c r="J718" s="634">
        <v>-64</v>
      </c>
      <c r="K718" s="634">
        <v>-329</v>
      </c>
      <c r="L718" s="149" t="str">
        <f t="shared" si="55"/>
        <v>473A@</v>
      </c>
      <c r="M718" s="150" t="str">
        <f t="shared" si="56"/>
        <v># DE VTE - PCS INTERNE BMW AUTO</v>
      </c>
      <c r="N718" s="151">
        <f>+IF(OR($Q718=Parametres!$G$2,$Q718=Parametres!$G$3),I718,C718)</f>
        <v>-265</v>
      </c>
      <c r="O718" s="151">
        <f>+IF(OR($Q718=Parametres!$G$2,$Q718=Parametres!$G$3),J718,D718)</f>
        <v>-64</v>
      </c>
      <c r="P718" s="151">
        <f>+IF(OR($Q718=Parametres!$G$2,$Q718=Parametres!$G$3),K718,E718)</f>
        <v>-329</v>
      </c>
      <c r="Q718" s="150" t="str">
        <f t="shared" si="57"/>
        <v>10-Compte compteur</v>
      </c>
      <c r="R718" s="149" t="str">
        <f t="shared" si="58"/>
        <v>473A</v>
      </c>
      <c r="S718" s="150" t="str">
        <f t="shared" si="59"/>
        <v>_</v>
      </c>
      <c r="T718" s="152" t="str">
        <f>+VLOOKUP($L718,Data_Validation!$A:$D,1,0)</f>
        <v>473A@</v>
      </c>
      <c r="U718" s="152" t="str">
        <f>+VLOOKUP($L718,Data_Validation!$A:$D,3,0)</f>
        <v>pièces</v>
      </c>
      <c r="V718" s="152" t="str">
        <f>+VLOOKUP($L718,Data_Validation!$A:$D,4,0)</f>
        <v>Ventes Internes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1592</v>
      </c>
      <c r="B719" s="639" t="s">
        <v>754</v>
      </c>
      <c r="C719" s="640"/>
      <c r="D719" s="640"/>
      <c r="E719" s="640"/>
      <c r="F719" s="639" t="s">
        <v>4</v>
      </c>
      <c r="G719" s="639" t="s">
        <v>1132</v>
      </c>
      <c r="H719" s="634" t="s">
        <v>3074</v>
      </c>
      <c r="I719" s="1428">
        <v>-294</v>
      </c>
      <c r="J719" s="634">
        <v>-45</v>
      </c>
      <c r="K719" s="1428">
        <v>-339</v>
      </c>
      <c r="L719" s="149" t="str">
        <f t="shared" si="55"/>
        <v>473B@</v>
      </c>
      <c r="M719" s="150" t="str">
        <f t="shared" si="56"/>
        <v># DE VTE - PCS INTERNE BMW CAMION</v>
      </c>
      <c r="N719" s="151">
        <f>+IF(OR($Q719=Parametres!$G$2,$Q719=Parametres!$G$3),I719,C719)</f>
        <v>-294</v>
      </c>
      <c r="O719" s="151">
        <f>+IF(OR($Q719=Parametres!$G$2,$Q719=Parametres!$G$3),J719,D719)</f>
        <v>-45</v>
      </c>
      <c r="P719" s="151">
        <f>+IF(OR($Q719=Parametres!$G$2,$Q719=Parametres!$G$3),K719,E719)</f>
        <v>-339</v>
      </c>
      <c r="Q719" s="150" t="str">
        <f t="shared" si="57"/>
        <v>10-Compte compteur</v>
      </c>
      <c r="R719" s="149" t="str">
        <f t="shared" si="58"/>
        <v>473A</v>
      </c>
      <c r="S719" s="150" t="str">
        <f t="shared" si="59"/>
        <v>_</v>
      </c>
      <c r="T719" s="152" t="str">
        <f>+VLOOKUP($L719,Data_Validation!$A:$D,1,0)</f>
        <v>473B@</v>
      </c>
      <c r="U719" s="152" t="str">
        <f>+VLOOKUP($L719,Data_Validation!$A:$D,3,0)</f>
        <v>pièces</v>
      </c>
      <c r="V719" s="152" t="str">
        <f>+VLOOKUP($L719,Data_Validation!$A:$D,4,0)</f>
        <v>Ventes Internes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1055</v>
      </c>
      <c r="B720" s="639" t="s">
        <v>1056</v>
      </c>
      <c r="C720" s="640"/>
      <c r="D720" s="640"/>
      <c r="E720" s="640"/>
      <c r="F720" s="639" t="s">
        <v>4</v>
      </c>
      <c r="G720" s="639" t="s">
        <v>1132</v>
      </c>
      <c r="H720" s="634" t="s">
        <v>3074</v>
      </c>
      <c r="I720" s="1428">
        <v>-15</v>
      </c>
      <c r="J720" s="634">
        <v>-7</v>
      </c>
      <c r="K720" s="1428">
        <v>-22</v>
      </c>
      <c r="L720" s="149" t="str">
        <f t="shared" si="55"/>
        <v>473D@</v>
      </c>
      <c r="M720" s="150" t="str">
        <f t="shared" si="56"/>
        <v># DE VTE - PIECES INTERNE BMW I</v>
      </c>
      <c r="N720" s="151">
        <f>+IF(OR($Q720=Parametres!$G$2,$Q720=Parametres!$G$3),I720,C720)</f>
        <v>-15</v>
      </c>
      <c r="O720" s="151">
        <f>+IF(OR($Q720=Parametres!$G$2,$Q720=Parametres!$G$3),J720,D720)</f>
        <v>-7</v>
      </c>
      <c r="P720" s="151">
        <f>+IF(OR($Q720=Parametres!$G$2,$Q720=Parametres!$G$3),K720,E720)</f>
        <v>-22</v>
      </c>
      <c r="Q720" s="150" t="str">
        <f t="shared" si="57"/>
        <v>10-Compte compteur</v>
      </c>
      <c r="R720" s="149" t="str">
        <f t="shared" si="58"/>
        <v>473A</v>
      </c>
      <c r="S720" s="150" t="str">
        <f t="shared" si="59"/>
        <v>_</v>
      </c>
      <c r="T720" s="152" t="str">
        <f>+VLOOKUP($L720,Data_Validation!$A:$D,1,0)</f>
        <v>473D@</v>
      </c>
      <c r="U720" s="152" t="str">
        <f>+VLOOKUP($L720,Data_Validation!$A:$D,3,0)</f>
        <v>pièces</v>
      </c>
      <c r="V720" s="152" t="str">
        <f>+VLOOKUP($L720,Data_Validation!$A:$D,4,0)</f>
        <v>Ventes Internes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1593</v>
      </c>
      <c r="B721" s="639" t="s">
        <v>1594</v>
      </c>
      <c r="C721" s="640"/>
      <c r="D721" s="640"/>
      <c r="E721" s="640"/>
      <c r="F721" s="639" t="s">
        <v>4</v>
      </c>
      <c r="G721" s="639" t="s">
        <v>1118</v>
      </c>
      <c r="H721" s="153" t="s">
        <v>3074</v>
      </c>
      <c r="I721" s="1401">
        <v>-447</v>
      </c>
      <c r="J721" s="153">
        <v>-91</v>
      </c>
      <c r="K721" s="1401">
        <v>-538</v>
      </c>
      <c r="L721" s="149" t="str">
        <f t="shared" si="55"/>
        <v>474A@</v>
      </c>
      <c r="M721" s="150" t="str">
        <f t="shared" si="56"/>
        <v># DE VTE - PCS COMPTOIR BMW AUTO</v>
      </c>
      <c r="N721" s="151">
        <f>+IF(OR($Q721=Parametres!$G$2,$Q721=Parametres!$G$3),I721,C721)</f>
        <v>-447</v>
      </c>
      <c r="O721" s="151">
        <f>+IF(OR($Q721=Parametres!$G$2,$Q721=Parametres!$G$3),J721,D721)</f>
        <v>-91</v>
      </c>
      <c r="P721" s="151">
        <f>+IF(OR($Q721=Parametres!$G$2,$Q721=Parametres!$G$3),K721,E721)</f>
        <v>-538</v>
      </c>
      <c r="Q721" s="150" t="str">
        <f t="shared" si="57"/>
        <v>10-Compte compteur</v>
      </c>
      <c r="R721" s="149" t="str">
        <f t="shared" si="58"/>
        <v>474A</v>
      </c>
      <c r="S721" s="150" t="str">
        <f t="shared" si="59"/>
        <v>_</v>
      </c>
      <c r="T721" s="152" t="str">
        <f>+VLOOKUP($L721,Data_Validation!$A:$D,1,0)</f>
        <v>474A@</v>
      </c>
      <c r="U721" s="152" t="str">
        <f>+VLOOKUP($L721,Data_Validation!$A:$D,3,0)</f>
        <v>pièces</v>
      </c>
      <c r="V721" s="152" t="str">
        <f>+VLOOKUP($L721,Data_Validation!$A:$D,4,0)</f>
        <v>Ventes Détails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1595</v>
      </c>
      <c r="B722" s="639" t="s">
        <v>755</v>
      </c>
      <c r="C722" s="640"/>
      <c r="D722" s="640"/>
      <c r="E722" s="640"/>
      <c r="F722" s="639" t="s">
        <v>4</v>
      </c>
      <c r="G722" s="639" t="s">
        <v>1118</v>
      </c>
      <c r="H722" s="153" t="s">
        <v>3074</v>
      </c>
      <c r="I722" s="153">
        <v>-48</v>
      </c>
      <c r="J722" s="153">
        <v>-6</v>
      </c>
      <c r="K722" s="153">
        <v>-54</v>
      </c>
      <c r="L722" s="149" t="str">
        <f t="shared" si="55"/>
        <v>474D@</v>
      </c>
      <c r="M722" s="150" t="str">
        <f t="shared" si="56"/>
        <v># DE VTE - PCS COMP. BMW LIFESTYLE</v>
      </c>
      <c r="N722" s="151">
        <f>+IF(OR($Q722=Parametres!$G$2,$Q722=Parametres!$G$3),I722,C722)</f>
        <v>-48</v>
      </c>
      <c r="O722" s="151">
        <f>+IF(OR($Q722=Parametres!$G$2,$Q722=Parametres!$G$3),J722,D722)</f>
        <v>-6</v>
      </c>
      <c r="P722" s="151">
        <f>+IF(OR($Q722=Parametres!$G$2,$Q722=Parametres!$G$3),K722,E722)</f>
        <v>-54</v>
      </c>
      <c r="Q722" s="150" t="str">
        <f t="shared" si="57"/>
        <v>10-Compte compteur</v>
      </c>
      <c r="R722" s="149" t="str">
        <f t="shared" si="58"/>
        <v>474A</v>
      </c>
      <c r="S722" s="150" t="str">
        <f t="shared" si="59"/>
        <v>_</v>
      </c>
      <c r="T722" s="152" t="str">
        <f>+VLOOKUP($L722,Data_Validation!$A:$D,1,0)</f>
        <v>474D@</v>
      </c>
      <c r="U722" s="152" t="str">
        <f>+VLOOKUP($L722,Data_Validation!$A:$D,3,0)</f>
        <v>pièces</v>
      </c>
      <c r="V722" s="152" t="str">
        <f>+VLOOKUP($L722,Data_Validation!$A:$D,4,0)</f>
        <v>Ventes Détails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1596</v>
      </c>
      <c r="B723" s="639" t="s">
        <v>756</v>
      </c>
      <c r="C723" s="640"/>
      <c r="D723" s="640"/>
      <c r="E723" s="640"/>
      <c r="F723" s="639" t="s">
        <v>4</v>
      </c>
      <c r="G723" s="639" t="s">
        <v>1118</v>
      </c>
      <c r="H723" s="153" t="s">
        <v>3074</v>
      </c>
      <c r="I723" s="153">
        <v>-200</v>
      </c>
      <c r="J723" s="153">
        <v>-52</v>
      </c>
      <c r="K723" s="153">
        <v>-252</v>
      </c>
      <c r="L723" s="149" t="str">
        <f t="shared" si="55"/>
        <v>474E@</v>
      </c>
      <c r="M723" s="150" t="str">
        <f t="shared" si="56"/>
        <v># DE VTE - PCS COMP. BMW ACCESS.</v>
      </c>
      <c r="N723" s="151">
        <f>+IF(OR($Q723=Parametres!$G$2,$Q723=Parametres!$G$3),I723,C723)</f>
        <v>-200</v>
      </c>
      <c r="O723" s="151">
        <f>+IF(OR($Q723=Parametres!$G$2,$Q723=Parametres!$G$3),J723,D723)</f>
        <v>-52</v>
      </c>
      <c r="P723" s="151">
        <f>+IF(OR($Q723=Parametres!$G$2,$Q723=Parametres!$G$3),K723,E723)</f>
        <v>-252</v>
      </c>
      <c r="Q723" s="150" t="str">
        <f t="shared" si="57"/>
        <v>10-Compte compteur</v>
      </c>
      <c r="R723" s="149" t="str">
        <f t="shared" si="58"/>
        <v>474A</v>
      </c>
      <c r="S723" s="150" t="str">
        <f t="shared" si="59"/>
        <v>_</v>
      </c>
      <c r="T723" s="152" t="str">
        <f>+VLOOKUP($L723,Data_Validation!$A:$D,1,0)</f>
        <v>474E@</v>
      </c>
      <c r="U723" s="152" t="str">
        <f>+VLOOKUP($L723,Data_Validation!$A:$D,3,0)</f>
        <v>pièces</v>
      </c>
      <c r="V723" s="152" t="str">
        <f>+VLOOKUP($L723,Data_Validation!$A:$D,4,0)</f>
        <v>Ventes Détails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1597</v>
      </c>
      <c r="B724" s="639" t="s">
        <v>1598</v>
      </c>
      <c r="C724" s="640"/>
      <c r="D724" s="640"/>
      <c r="E724" s="640"/>
      <c r="F724" s="639" t="s">
        <v>4</v>
      </c>
      <c r="G724" s="639" t="s">
        <v>1167</v>
      </c>
      <c r="H724" s="153" t="s">
        <v>3074</v>
      </c>
      <c r="I724" s="153">
        <v>-641</v>
      </c>
      <c r="J724" s="153">
        <v>-76</v>
      </c>
      <c r="K724" s="153">
        <v>-717</v>
      </c>
      <c r="L724" s="149" t="str">
        <f t="shared" si="55"/>
        <v>475A@</v>
      </c>
      <c r="M724" s="150" t="str">
        <f t="shared" si="56"/>
        <v># DE VTE - PIECES GROS BMW AUTO</v>
      </c>
      <c r="N724" s="151">
        <f>+IF(OR($Q724=Parametres!$G$2,$Q724=Parametres!$G$3),I724,C724)</f>
        <v>-641</v>
      </c>
      <c r="O724" s="151">
        <f>+IF(OR($Q724=Parametres!$G$2,$Q724=Parametres!$G$3),J724,D724)</f>
        <v>-76</v>
      </c>
      <c r="P724" s="151">
        <f>+IF(OR($Q724=Parametres!$G$2,$Q724=Parametres!$G$3),K724,E724)</f>
        <v>-717</v>
      </c>
      <c r="Q724" s="150" t="str">
        <f t="shared" si="57"/>
        <v>10-Compte compteur</v>
      </c>
      <c r="R724" s="149" t="str">
        <f t="shared" si="58"/>
        <v>475A</v>
      </c>
      <c r="S724" s="150" t="str">
        <f t="shared" si="59"/>
        <v>_</v>
      </c>
      <c r="T724" s="152" t="str">
        <f>+VLOOKUP($L724,Data_Validation!$A:$D,1,0)</f>
        <v>475A@</v>
      </c>
      <c r="U724" s="152" t="str">
        <f>+VLOOKUP($L724,Data_Validation!$A:$D,3,0)</f>
        <v>pièces</v>
      </c>
      <c r="V724" s="152" t="str">
        <f>+VLOOKUP($L724,Data_Validation!$A:$D,4,0)</f>
        <v>Ventes de Gros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3038</v>
      </c>
      <c r="B725" s="639" t="s">
        <v>3039</v>
      </c>
      <c r="C725" s="640"/>
      <c r="D725" s="640"/>
      <c r="E725" s="640"/>
      <c r="F725" s="639" t="s">
        <v>4</v>
      </c>
      <c r="G725" s="639" t="s">
        <v>3023</v>
      </c>
      <c r="H725" s="153" t="s">
        <v>3074</v>
      </c>
      <c r="I725" s="153">
        <v>-1</v>
      </c>
      <c r="J725" s="153">
        <v>0</v>
      </c>
      <c r="K725" s="153">
        <v>-1</v>
      </c>
      <c r="L725" s="149" t="str">
        <f t="shared" si="55"/>
        <v>480B@</v>
      </c>
      <c r="M725" s="150" t="str">
        <f t="shared" si="56"/>
        <v># OF VTES -ALPINA XB7</v>
      </c>
      <c r="N725" s="151">
        <f>+IF(OR($Q725=Parametres!$G$2,$Q725=Parametres!$G$3),I725,C725)</f>
        <v>-1</v>
      </c>
      <c r="O725" s="151">
        <f>+IF(OR($Q725=Parametres!$G$2,$Q725=Parametres!$G$3),J725,D725)</f>
        <v>0</v>
      </c>
      <c r="P725" s="151">
        <f>+IF(OR($Q725=Parametres!$G$2,$Q725=Parametres!$G$3),K725,E725)</f>
        <v>-1</v>
      </c>
      <c r="Q725" s="150" t="str">
        <f t="shared" si="57"/>
        <v>10-Compte compteur</v>
      </c>
      <c r="R725" s="149" t="str">
        <f t="shared" si="58"/>
        <v>480B</v>
      </c>
      <c r="S725" s="150" t="str">
        <f t="shared" si="59"/>
        <v>_</v>
      </c>
      <c r="T725" s="152" t="str">
        <f>+VLOOKUP($L725,Data_Validation!$A:$D,1,0)</f>
        <v>480B@</v>
      </c>
      <c r="U725" s="152" t="str">
        <f>+VLOOKUP($L725,Data_Validation!$A:$D,3,0)</f>
        <v>Véhicules neufs</v>
      </c>
      <c r="V725" s="152" t="str">
        <f>+VLOOKUP($L725,Data_Validation!$A:$D,4,0)</f>
        <v>Autos détail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2517</v>
      </c>
      <c r="B726" s="639" t="s">
        <v>2524</v>
      </c>
      <c r="C726" s="640"/>
      <c r="D726" s="640"/>
      <c r="E726" s="640"/>
      <c r="F726" s="639" t="s">
        <v>4</v>
      </c>
      <c r="G726" s="639" t="s">
        <v>2518</v>
      </c>
      <c r="H726" s="153" t="s">
        <v>3074</v>
      </c>
      <c r="I726" s="153">
        <v>-1</v>
      </c>
      <c r="J726" s="153">
        <v>0</v>
      </c>
      <c r="K726" s="153">
        <v>-1</v>
      </c>
      <c r="L726" s="149" t="str">
        <f t="shared" si="55"/>
        <v>481@</v>
      </c>
      <c r="M726" s="150" t="str">
        <f t="shared" si="56"/>
        <v>XM</v>
      </c>
      <c r="N726" s="151">
        <f>+IF(OR($Q726=Parametres!$G$2,$Q726=Parametres!$G$3),I726,C726)</f>
        <v>-1</v>
      </c>
      <c r="O726" s="151">
        <f>+IF(OR($Q726=Parametres!$G$2,$Q726=Parametres!$G$3),J726,D726)</f>
        <v>0</v>
      </c>
      <c r="P726" s="151">
        <f>+IF(OR($Q726=Parametres!$G$2,$Q726=Parametres!$G$3),K726,E726)</f>
        <v>-1</v>
      </c>
      <c r="Q726" s="150" t="str">
        <f t="shared" si="57"/>
        <v>10-Compte compteur</v>
      </c>
      <c r="R726" s="149" t="str">
        <f t="shared" si="58"/>
        <v>481</v>
      </c>
      <c r="S726" s="150" t="str">
        <f t="shared" si="59"/>
        <v>_</v>
      </c>
      <c r="T726" s="152" t="str">
        <f>+VLOOKUP($L726,Data_Validation!$A:$D,1,0)</f>
        <v>481@</v>
      </c>
      <c r="U726" s="152" t="str">
        <f>+VLOOKUP($L726,Data_Validation!$A:$D,3,0)</f>
        <v>Véhicules neufs</v>
      </c>
      <c r="V726" s="152" t="str">
        <f>+VLOOKUP($L726,Data_Validation!$A:$D,4,0)</f>
        <v>Camions détail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1600</v>
      </c>
      <c r="B727" s="639" t="s">
        <v>761</v>
      </c>
      <c r="C727" s="640"/>
      <c r="D727" s="640"/>
      <c r="E727" s="640"/>
      <c r="F727" s="639" t="s">
        <v>4</v>
      </c>
      <c r="G727" s="639" t="s">
        <v>417</v>
      </c>
      <c r="H727" s="153" t="s">
        <v>3074</v>
      </c>
      <c r="I727" s="1401">
        <v>-1678</v>
      </c>
      <c r="J727" s="153">
        <v>-257</v>
      </c>
      <c r="K727" s="1401">
        <v>-1935</v>
      </c>
      <c r="L727" s="149" t="str">
        <f t="shared" si="55"/>
        <v>488A@</v>
      </c>
      <c r="M727" s="150" t="str">
        <f t="shared" si="56"/>
        <v># DE VTE - PNEUS</v>
      </c>
      <c r="N727" s="151">
        <f>+IF(OR($Q727=Parametres!$G$2,$Q727=Parametres!$G$3),I727,C727)</f>
        <v>-1678</v>
      </c>
      <c r="O727" s="151">
        <f>+IF(OR($Q727=Parametres!$G$2,$Q727=Parametres!$G$3),J727,D727)</f>
        <v>-257</v>
      </c>
      <c r="P727" s="151">
        <f>+IF(OR($Q727=Parametres!$G$2,$Q727=Parametres!$G$3),K727,E727)</f>
        <v>-1935</v>
      </c>
      <c r="Q727" s="150" t="str">
        <f t="shared" si="57"/>
        <v>10-Compte compteur</v>
      </c>
      <c r="R727" s="149" t="str">
        <f t="shared" si="58"/>
        <v>488A</v>
      </c>
      <c r="S727" s="150" t="str">
        <f t="shared" si="59"/>
        <v>_</v>
      </c>
      <c r="T727" s="152" t="str">
        <f>+VLOOKUP($L727,Data_Validation!$A:$D,1,0)</f>
        <v>488A@</v>
      </c>
      <c r="U727" s="152" t="str">
        <f>+VLOOKUP($L727,Data_Validation!$A:$D,3,0)</f>
        <v>pièces</v>
      </c>
      <c r="V727" s="152" t="str">
        <f>+VLOOKUP($L727,Data_Validation!$A:$D,4,0)</f>
        <v>Ventes Pneus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1601</v>
      </c>
      <c r="B728" s="639" t="s">
        <v>762</v>
      </c>
      <c r="C728" s="640"/>
      <c r="D728" s="640"/>
      <c r="E728" s="640"/>
      <c r="F728" s="639" t="s">
        <v>4</v>
      </c>
      <c r="G728" s="639" t="s">
        <v>445</v>
      </c>
      <c r="H728" s="153" t="s">
        <v>3074</v>
      </c>
      <c r="I728" s="153">
        <v>-418</v>
      </c>
      <c r="J728" s="153">
        <v>-117</v>
      </c>
      <c r="K728" s="153">
        <v>-535</v>
      </c>
      <c r="L728" s="149" t="str">
        <f t="shared" si="55"/>
        <v>489A@</v>
      </c>
      <c r="M728" s="150" t="str">
        <f t="shared" si="56"/>
        <v># DE VTE - HUILES &amp; GRAISSES</v>
      </c>
      <c r="N728" s="151">
        <f>+IF(OR($Q728=Parametres!$G$2,$Q728=Parametres!$G$3),I728,C728)</f>
        <v>-418</v>
      </c>
      <c r="O728" s="151">
        <f>+IF(OR($Q728=Parametres!$G$2,$Q728=Parametres!$G$3),J728,D728)</f>
        <v>-117</v>
      </c>
      <c r="P728" s="151">
        <f>+IF(OR($Q728=Parametres!$G$2,$Q728=Parametres!$G$3),K728,E728)</f>
        <v>-535</v>
      </c>
      <c r="Q728" s="150" t="str">
        <f t="shared" si="57"/>
        <v>10-Compte compteur</v>
      </c>
      <c r="R728" s="149" t="str">
        <f t="shared" si="58"/>
        <v>489A</v>
      </c>
      <c r="S728" s="150" t="str">
        <f t="shared" si="59"/>
        <v>_</v>
      </c>
      <c r="T728" s="152" t="str">
        <f>+VLOOKUP($L728,Data_Validation!$A:$D,1,0)</f>
        <v>489A@</v>
      </c>
      <c r="U728" s="152" t="str">
        <f>+VLOOKUP($L728,Data_Validation!$A:$D,3,0)</f>
        <v>pièces</v>
      </c>
      <c r="V728" s="152" t="str">
        <f>+VLOOKUP($L728,Data_Validation!$A:$D,4,0)</f>
        <v>Huiles et Graisse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1602</v>
      </c>
      <c r="B729" s="639" t="s">
        <v>1603</v>
      </c>
      <c r="C729" s="640"/>
      <c r="D729" s="640"/>
      <c r="E729" s="640"/>
      <c r="F729" s="639" t="s">
        <v>4</v>
      </c>
      <c r="G729" s="639" t="s">
        <v>445</v>
      </c>
      <c r="H729" s="153" t="s">
        <v>3074</v>
      </c>
      <c r="I729" s="153">
        <v>-624</v>
      </c>
      <c r="J729" s="153">
        <v>-129</v>
      </c>
      <c r="K729" s="153">
        <v>-753</v>
      </c>
      <c r="L729" s="149" t="str">
        <f t="shared" si="55"/>
        <v>489B@</v>
      </c>
      <c r="M729" s="150" t="str">
        <f t="shared" si="56"/>
        <v># DE VTE - HUILE &amp; GRAISSE</v>
      </c>
      <c r="N729" s="151">
        <f>+IF(OR($Q729=Parametres!$G$2,$Q729=Parametres!$G$3),I729,C729)</f>
        <v>-624</v>
      </c>
      <c r="O729" s="151">
        <f>+IF(OR($Q729=Parametres!$G$2,$Q729=Parametres!$G$3),J729,D729)</f>
        <v>-129</v>
      </c>
      <c r="P729" s="151">
        <f>+IF(OR($Q729=Parametres!$G$2,$Q729=Parametres!$G$3),K729,E729)</f>
        <v>-753</v>
      </c>
      <c r="Q729" s="150" t="str">
        <f t="shared" si="57"/>
        <v>10-Compte compteur</v>
      </c>
      <c r="R729" s="149" t="str">
        <f t="shared" si="58"/>
        <v>489A</v>
      </c>
      <c r="S729" s="150" t="str">
        <f t="shared" si="59"/>
        <v>_</v>
      </c>
      <c r="T729" s="152" t="str">
        <f>+VLOOKUP($L729,Data_Validation!$A:$D,1,0)</f>
        <v>489B@</v>
      </c>
      <c r="U729" s="152" t="str">
        <f>+VLOOKUP($L729,Data_Validation!$A:$D,3,0)</f>
        <v>pièces</v>
      </c>
      <c r="V729" s="152" t="str">
        <f>+VLOOKUP($L729,Data_Validation!$A:$D,4,0)</f>
        <v>Huiles et Graisse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  <c r="X730" s="152" t="e">
        <f>+VLOOKUP($L730,Data_Validation!$A:$F,6,0)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  <c r="X731" s="152" t="e">
        <f>+VLOOKUP($L731,Data_Validation!$A:$F,6,0)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  <c r="X732" s="152" t="e">
        <f>+VLOOKUP($L732,Data_Validation!$A:$F,6,0)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  <c r="X733" s="152" t="e">
        <f>+VLOOKUP($L733,Data_Validation!$A:$F,6,0)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  <c r="X734" s="152" t="e">
        <f>+VLOOKUP($L734,Data_Validation!$A:$F,6,0)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  <c r="X735" s="152" t="e">
        <f>+VLOOKUP($L735,Data_Validation!$A:$F,6,0)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  <c r="X737" s="152" t="e">
        <f>+VLOOKUP($L737,Data_Validation!$A:$F,6,0)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  <c r="X738" s="152" t="e">
        <f>+VLOOKUP($L738,Data_Validation!$A:$F,6,0)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  <c r="X739" s="152" t="e">
        <f>+VLOOKUP($L739,Data_Validation!$A:$F,6,0)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  <c r="X740" s="152" t="e">
        <f>+VLOOKUP($L740,Data_Validation!$A:$F,6,0)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  <c r="X741" s="152" t="e">
        <f>+VLOOKUP($L741,Data_Validation!$A:$F,6,0)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  <c r="X743" s="152" t="e">
        <f>+VLOOKUP($L743,Data_Validation!$A:$F,6,0)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  <c r="X744" s="152" t="e">
        <f>+VLOOKUP($L744,Data_Validation!$A:$F,6,0)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  <c r="X745" s="152" t="e">
        <f>+VLOOKUP($L745,Data_Validation!$A:$F,6,0)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  <c r="X748" s="152" t="e">
        <f>+VLOOKUP($L748,Data_Validation!$A:$F,6,0)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  <c r="X749" s="152" t="e">
        <f>+VLOOKUP($L749,Data_Validation!$A:$F,6,0)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  <c r="X750" s="152" t="e">
        <f>+VLOOKUP($L750,Data_Validation!$A:$F,6,0)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  <c r="X751" s="152" t="e">
        <f>+VLOOKUP($L751,Data_Validation!$A:$F,6,0)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  <c r="X752" s="152" t="e">
        <f>+VLOOKUP($L752,Data_Validation!$A:$F,6,0)</f>
        <v>#N/A</v>
      </c>
    </row>
    <row r="753" spans="1:24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  <c r="X753" s="152" t="e">
        <f>+VLOOKUP($L753,Data_Validation!$A:$F,6,0)</f>
        <v>#N/A</v>
      </c>
    </row>
    <row r="754" spans="1:24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  <c r="X754" s="152" t="e">
        <f>+VLOOKUP($L754,Data_Validation!$A:$F,6,0)</f>
        <v>#N/A</v>
      </c>
    </row>
    <row r="755" spans="1:24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  <c r="X755" s="152" t="e">
        <f>+VLOOKUP($L755,Data_Validation!$A:$F,6,0)</f>
        <v>#N/A</v>
      </c>
    </row>
    <row r="756" spans="1:24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  <c r="X756" s="152" t="e">
        <f>+VLOOKUP($L756,Data_Validation!$A:$F,6,0)</f>
        <v>#N/A</v>
      </c>
    </row>
    <row r="757" spans="1:24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  <c r="X757" s="152" t="e">
        <f>+VLOOKUP($L757,Data_Validation!$A:$F,6,0)</f>
        <v>#N/A</v>
      </c>
    </row>
    <row r="758" spans="1:24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  <c r="X758" s="152" t="e">
        <f>+VLOOKUP($L758,Data_Validation!$A:$F,6,0)</f>
        <v>#N/A</v>
      </c>
    </row>
    <row r="759" spans="1:24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  <c r="X759" s="152" t="e">
        <f>+VLOOKUP($L759,Data_Validation!$A:$F,6,0)</f>
        <v>#N/A</v>
      </c>
    </row>
    <row r="760" spans="1:24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  <c r="X760" s="152" t="e">
        <f>+VLOOKUP($L760,Data_Validation!$A:$F,6,0)</f>
        <v>#N/A</v>
      </c>
    </row>
    <row r="761" spans="1:24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  <c r="X761" s="152" t="e">
        <f>+VLOOKUP($L761,Data_Validation!$A:$F,6,0)</f>
        <v>#N/A</v>
      </c>
    </row>
    <row r="762" spans="1:24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  <c r="X762" s="152" t="e">
        <f>+VLOOKUP($L762,Data_Validation!$A:$F,6,0)</f>
        <v>#N/A</v>
      </c>
    </row>
    <row r="763" spans="1:24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  <c r="X763" s="152" t="e">
        <f>+VLOOKUP($L763,Data_Validation!$A:$F,6,0)</f>
        <v>#N/A</v>
      </c>
    </row>
    <row r="764" spans="1:24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  <c r="X764" s="152" t="e">
        <f>+VLOOKUP($L764,Data_Validation!$A:$F,6,0)</f>
        <v>#N/A</v>
      </c>
    </row>
    <row r="765" spans="1:24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  <c r="X765" s="152" t="e">
        <f>+VLOOKUP($L765,Data_Validation!$A:$F,6,0)</f>
        <v>#N/A</v>
      </c>
    </row>
    <row r="766" spans="1:24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  <c r="X766" s="152" t="e">
        <f>+VLOOKUP($L766,Data_Validation!$A:$F,6,0)</f>
        <v>#N/A</v>
      </c>
    </row>
    <row r="767" spans="1:24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  <c r="X767" s="152" t="e">
        <f>+VLOOKUP($L767,Data_Validation!$A:$F,6,0)</f>
        <v>#N/A</v>
      </c>
    </row>
    <row r="768" spans="1:24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  <c r="X768" s="152" t="e">
        <f>+VLOOKUP($L768,Data_Validation!$A:$F,6,0)</f>
        <v>#N/A</v>
      </c>
    </row>
    <row r="769" spans="1:24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  <c r="X769" s="152" t="e">
        <f>+VLOOKUP($L769,Data_Validation!$A:$F,6,0)</f>
        <v>#N/A</v>
      </c>
    </row>
    <row r="770" spans="1:24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  <c r="X770" s="152" t="e">
        <f>+VLOOKUP($L770,Data_Validation!$A:$F,6,0)</f>
        <v>#N/A</v>
      </c>
    </row>
    <row r="771" spans="1:24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  <c r="X771" s="152" t="e">
        <f>+VLOOKUP($L771,Data_Validation!$A:$F,6,0)</f>
        <v>#N/A</v>
      </c>
    </row>
    <row r="772" spans="1:24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  <c r="X772" s="152" t="e">
        <f>+VLOOKUP($L772,Data_Validation!$A:$F,6,0)</f>
        <v>#N/A</v>
      </c>
    </row>
    <row r="773" spans="1:24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  <c r="X773" s="152" t="e">
        <f>+VLOOKUP($L773,Data_Validation!$A:$F,6,0)</f>
        <v>#N/A</v>
      </c>
    </row>
    <row r="774" spans="1:24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  <c r="X774" s="152" t="e">
        <f>+VLOOKUP($L774,Data_Validation!$A:$F,6,0)</f>
        <v>#N/A</v>
      </c>
    </row>
    <row r="775" spans="1:24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  <c r="X775" s="152" t="e">
        <f>+VLOOKUP($L775,Data_Validation!$A:$F,6,0)</f>
        <v>#N/A</v>
      </c>
    </row>
    <row r="776" spans="1:24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  <c r="X776" s="152" t="e">
        <f>+VLOOKUP($L776,Data_Validation!$A:$F,6,0)</f>
        <v>#N/A</v>
      </c>
    </row>
    <row r="777" spans="1:24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  <c r="X777" s="152" t="e">
        <f>+VLOOKUP($L777,Data_Validation!$A:$F,6,0)</f>
        <v>#N/A</v>
      </c>
    </row>
    <row r="778" spans="1:24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  <c r="X778" s="152" t="e">
        <f>+VLOOKUP($L778,Data_Validation!$A:$F,6,0)</f>
        <v>#N/A</v>
      </c>
    </row>
    <row r="779" spans="1:24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  <c r="X779" s="152" t="e">
        <f>+VLOOKUP($L779,Data_Validation!$A:$F,6,0)</f>
        <v>#N/A</v>
      </c>
    </row>
    <row r="780" spans="1:24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  <c r="X780" s="152" t="e">
        <f>+VLOOKUP($L780,Data_Validation!$A:$F,6,0)</f>
        <v>#N/A</v>
      </c>
    </row>
    <row r="781" spans="1:24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  <c r="X781" s="152" t="e">
        <f>+VLOOKUP($L781,Data_Validation!$A:$F,6,0)</f>
        <v>#N/A</v>
      </c>
    </row>
    <row r="782" spans="1:24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  <c r="X782" s="152" t="e">
        <f>+VLOOKUP($L782,Data_Validation!$A:$F,6,0)</f>
        <v>#N/A</v>
      </c>
    </row>
    <row r="783" spans="1:24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  <c r="X783" s="152" t="e">
        <f>+VLOOKUP($L783,Data_Validation!$A:$F,6,0)</f>
        <v>#N/A</v>
      </c>
    </row>
    <row r="784" spans="1:24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  <c r="X784" s="152" t="e">
        <f>+VLOOKUP($L784,Data_Validation!$A:$F,6,0)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  <c r="X785" s="152" t="e">
        <f>+VLOOKUP($L785,Data_Validation!$A:$F,6,0)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  <c r="X786" s="152" t="e">
        <f>+VLOOKUP($L786,Data_Validation!$A:$F,6,0)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  <c r="X787" s="152" t="e">
        <f>+VLOOKUP($L787,Data_Validation!$A:$F,6,0)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  <c r="X788" s="152" t="e">
        <f>+VLOOKUP($L788,Data_Validation!$A:$F,6,0)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  <c r="X789" s="152" t="e">
        <f>+VLOOKUP($L789,Data_Validation!$A:$F,6,0)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  <c r="X790" s="152" t="e">
        <f>+VLOOKUP($L790,Data_Validation!$A:$F,6,0)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  <c r="X791" s="152" t="e">
        <f>+VLOOKUP($L791,Data_Validation!$A:$F,6,0)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  <c r="X792" s="152" t="e">
        <f>+VLOOKUP($L792,Data_Validation!$A:$F,6,0)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  <c r="X793" s="152" t="e">
        <f>+VLOOKUP($L793,Data_Validation!$A:$F,6,0)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  <c r="X794" s="152" t="e">
        <f>+VLOOKUP($L794,Data_Validation!$A:$F,6,0)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  <c r="X799" s="152" t="e">
        <f>+VLOOKUP($L799,Data_Validation!$A:$F,6,0)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  <c r="X800" s="152" t="e">
        <f>+VLOOKUP($L800,Data_Validation!$A:$F,6,0)</f>
        <v>#N/A</v>
      </c>
    </row>
    <row r="801" spans="1:24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  <c r="X801" s="152" t="e">
        <f>+VLOOKUP($L801,Data_Validation!$A:$F,6,0)</f>
        <v>#N/A</v>
      </c>
    </row>
    <row r="802" spans="1:24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  <c r="X802" s="152" t="e">
        <f>+VLOOKUP($L802,Data_Validation!$A:$F,6,0)</f>
        <v>#N/A</v>
      </c>
    </row>
    <row r="803" spans="1:24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  <c r="X803" s="152" t="e">
        <f>+VLOOKUP($L803,Data_Validation!$A:$F,6,0)</f>
        <v>#N/A</v>
      </c>
    </row>
    <row r="804" spans="1:24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  <c r="X804" s="152" t="e">
        <f>+VLOOKUP($L804,Data_Validation!$A:$F,6,0)</f>
        <v>#N/A</v>
      </c>
    </row>
    <row r="805" spans="1:24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  <c r="X805" s="152" t="e">
        <f>+VLOOKUP($L805,Data_Validation!$A:$F,6,0)</f>
        <v>#N/A</v>
      </c>
    </row>
    <row r="806" spans="1:24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  <c r="X806" s="152" t="e">
        <f>+VLOOKUP($L806,Data_Validation!$A:$F,6,0)</f>
        <v>#N/A</v>
      </c>
    </row>
    <row r="807" spans="1:24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  <c r="X807" s="152" t="e">
        <f>+VLOOKUP($L807,Data_Validation!$A:$F,6,0)</f>
        <v>#N/A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640625" defaultRowHeight="15" customHeight="1"/>
  <cols>
    <col min="1" max="1" width="29.1640625" style="592" customWidth="1"/>
    <col min="2" max="2" width="31.1640625" style="592" customWidth="1"/>
    <col min="3" max="3" width="14.6640625" style="592" customWidth="1"/>
    <col min="4" max="11" width="12.83203125" style="592" customWidth="1"/>
    <col min="12" max="12" width="12.83203125" customWidth="1"/>
    <col min="13" max="13" width="39.6640625" customWidth="1"/>
    <col min="14" max="14" width="14.83203125" customWidth="1"/>
    <col min="15" max="15" width="12.83203125" style="499" customWidth="1"/>
    <col min="16" max="16" width="12.83203125" customWidth="1"/>
    <col min="17" max="17" width="17.33203125" customWidth="1"/>
    <col min="18" max="19" width="12.83203125" customWidth="1"/>
    <col min="20" max="20" width="13" customWidth="1"/>
    <col min="21" max="21" width="42.6640625" customWidth="1"/>
    <col min="22" max="22" width="25.33203125" customWidth="1"/>
    <col min="23" max="23" width="16.83203125" customWidth="1"/>
    <col min="24" max="24" width="8.8320312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2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2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2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2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2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2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2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0"/>
  <sheetViews>
    <sheetView workbookViewId="0">
      <pane ySplit="1" topLeftCell="A1090" activePane="bottomLeft" state="frozen"/>
      <selection pane="bottomLeft" activeCell="B1112" sqref="B1112"/>
    </sheetView>
  </sheetViews>
  <sheetFormatPr baseColWidth="10" defaultColWidth="12.6640625" defaultRowHeight="15" customHeight="1" outlineLevelCol="1"/>
  <cols>
    <col min="1" max="1" width="9.1640625" customWidth="1"/>
    <col min="2" max="2" width="42.5" customWidth="1"/>
    <col min="3" max="3" width="13.1640625" customWidth="1"/>
    <col min="4" max="4" width="29.83203125" customWidth="1"/>
    <col min="5" max="6" width="21.6640625" style="155" customWidth="1"/>
    <col min="7" max="7" width="21.33203125" style="155" customWidth="1"/>
    <col min="8" max="8" width="21.6640625" style="155" customWidth="1"/>
    <col min="9" max="9" width="28.6640625" customWidth="1" outlineLevel="1"/>
    <col min="10" max="10" width="3.1640625" customWidth="1" outlineLevel="1"/>
    <col min="11" max="11" width="35.33203125" customWidth="1" outlineLevel="1"/>
    <col min="12" max="29" width="9.3320312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3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str">
        <f>+VLOOKUP(Table_1[[#This Row],[Account]],BV_Data_An_Cour!$L:$Q,6,0)</f>
        <v>1-Mémo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str">
        <f>+VLOOKUP(Table_1[[#This Row],[Account]],BV_Data_An_Cour!$L:$Q,6,0)</f>
        <v>1-Mémo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6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2983</v>
      </c>
      <c r="B32" s="158" t="s">
        <v>2982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09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3014</v>
      </c>
      <c r="B53" s="169" t="s">
        <v>3013</v>
      </c>
      <c r="C53" s="159" t="s">
        <v>272</v>
      </c>
      <c r="D53" s="159" t="s">
        <v>40</v>
      </c>
      <c r="E53" s="186" t="s">
        <v>285</v>
      </c>
      <c r="F53" s="2"/>
      <c r="G53" s="186" t="e">
        <f>+VLOOKUP(Table_1[[#This Row],[Account]],BV_Data_An_Cour!$L:$Q,6,0)</f>
        <v>#N/A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3015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6" t="s">
        <v>2427</v>
      </c>
      <c r="B63" s="980" t="s">
        <v>2426</v>
      </c>
      <c r="C63" s="159" t="s">
        <v>272</v>
      </c>
      <c r="D63" s="982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2994</v>
      </c>
      <c r="B67" s="169" t="s">
        <v>2993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6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8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str">
        <f>+VLOOKUP(Table_1[[#This Row],[Account]],BV_Data_An_Cour!$L:$Q,6,0)</f>
        <v>8-Autres revenus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str">
        <f>+VLOOKUP(Table_1[[#This Row],[Account]],BV_Data_An_Cour!$L:$Q,6,0)</f>
        <v>9-Autres déductions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str">
        <f>+VLOOKUP(Table_1[[#This Row],[Account]],BV_Data_An_Cour!$L:$Q,6,0)</f>
        <v>1-Mémo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str">
        <f>+VLOOKUP(Table_1[[#This Row],[Account]],BV_Data_An_Cour!$L:$Q,6,0)</f>
        <v>1-Mémo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str">
        <f>+VLOOKUP(Table_1[[#This Row],[Account]],BV_Data_An_Cour!$L:$Q,6,0)</f>
        <v>1-Mémo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str">
        <f>+VLOOKUP(Table_1[[#This Row],[Account]],BV_Data_An_Cour!$L:$Q,6,0)</f>
        <v>1-Mémo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str">
        <f>+VLOOKUP(Table_1[[#This Row],[Account]],BV_Data_An_Cour!$L:$Q,6,0)</f>
        <v>1-Mémo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str">
        <f>+VLOOKUP(Table_1[[#This Row],[Account]],BV_Data_An_Cour!$L:$Q,6,0)</f>
        <v>1-Mémo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str">
        <f>+VLOOKUP(Table_1[[#This Row],[Account]],BV_Data_An_Cour!$L:$Q,6,0)</f>
        <v>1-Mémo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str">
        <f>+VLOOKUP(Table_1[[#This Row],[Account]],BV_Data_An_Cour!$L:$Q,6,0)</f>
        <v>1-Mémo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str">
        <f>+VLOOKUP(Table_1[[#This Row],[Account]],BV_Data_An_Cour!$L:$Q,6,0)</f>
        <v>1-Mémo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str">
        <f>+VLOOKUP(Table_1[[#This Row],[Account]],BV_Data_An_Cour!$L:$Q,6,0)</f>
        <v>1-Mémo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str">
        <f>+VLOOKUP(Table_1[[#This Row],[Account]],BV_Data_An_Cour!$L:$Q,6,0)</f>
        <v>1-Mémo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str">
        <f>+VLOOKUP(Table_1[[#This Row],[Account]],BV_Data_An_Cour!$L:$Q,6,0)</f>
        <v>1-Mémo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str">
        <f>+VLOOKUP(Table_1[[#This Row],[Account]],BV_Data_An_Cour!$L:$Q,6,0)</f>
        <v>1-Mémo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str">
        <f>+VLOOKUP(Table_1[[#This Row],[Account]],BV_Data_An_Cour!$L:$Q,6,0)</f>
        <v>1-Mémo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4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2947</v>
      </c>
      <c r="B255" s="479" t="s">
        <v>2946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2986</v>
      </c>
      <c r="B313" s="169" t="s">
        <v>2985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2998</v>
      </c>
      <c r="B314" s="169" t="s">
        <v>2997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3006</v>
      </c>
      <c r="B315" s="169" t="s">
        <v>3005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str">
        <f>+VLOOKUP(Table_1[[#This Row],[Account]],BV_Data_An_Cour!$L:$Q,6,0)</f>
        <v>2-Actifs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2988</v>
      </c>
      <c r="B338" s="169" t="s">
        <v>2987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2990</v>
      </c>
      <c r="B339" s="480" t="s">
        <v>2989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2992</v>
      </c>
      <c r="B340" s="169" t="s">
        <v>2991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2996</v>
      </c>
      <c r="B341" s="169" t="s">
        <v>2995</v>
      </c>
      <c r="C341" s="159" t="s">
        <v>272</v>
      </c>
      <c r="D341" s="159" t="s">
        <v>65</v>
      </c>
      <c r="E341" s="186" t="s">
        <v>285</v>
      </c>
      <c r="F341" s="2"/>
      <c r="G341" s="186" t="str">
        <f>+VLOOKUP(Table_1[[#This Row],[Account]],BV_Data_An_Cour!$L:$Q,6,0)</f>
        <v>2-Actifs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e">
        <f>+VLOOKUP(Table_1[[#This Row],[Account]],BV_Data_An_Cour!$L:$Q,6,0)</f>
        <v>#N/A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3002</v>
      </c>
      <c r="B371" s="169" t="s">
        <v>3001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3004</v>
      </c>
      <c r="B384" s="169" t="s">
        <v>3003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3010</v>
      </c>
      <c r="B388" s="169" t="s">
        <v>3009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3012</v>
      </c>
      <c r="B389" s="169" t="s">
        <v>3011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str">
        <f>+VLOOKUP(Table_1[[#This Row],[Account]],BV_Data_An_Cour!$L:$Q,6,0)</f>
        <v>3-Passifs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2977</v>
      </c>
      <c r="B409" s="479" t="s">
        <v>2976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2979</v>
      </c>
      <c r="B410" s="479" t="s">
        <v>2976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str">
        <f>+VLOOKUP(Table_1[[#This Row],[Account]],BV_Data_An_Cour!$L:$Q,6,0)</f>
        <v>5-Ventes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str">
        <f>+VLOOKUP(Table_1[[#This Row],[Account]],BV_Data_An_Cour!$L:$Q,6,0)</f>
        <v>10-Compte compteur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5" t="s">
        <v>2382</v>
      </c>
      <c r="B448" s="978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2956</v>
      </c>
      <c r="B458" s="158" t="s">
        <v>2955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2958</v>
      </c>
      <c r="B459" s="158" t="s">
        <v>2955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6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2964</v>
      </c>
      <c r="B481" s="158" t="s">
        <v>2963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2968</v>
      </c>
      <c r="B482" s="158" t="s">
        <v>2967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2" t="s">
        <v>2116</v>
      </c>
      <c r="B497" s="1402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4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6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4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08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7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5" t="s">
        <v>1513</v>
      </c>
      <c r="B543" s="1417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e">
        <f>+VLOOKUP(Table_1[[#This Row],[Account]],BV_Data_An_Cour!$L:$Q,6,0)</f>
        <v>#N/A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1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3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0" t="s">
        <v>2960</v>
      </c>
      <c r="B650" s="979" t="s">
        <v>2959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2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5" t="s">
        <v>2347</v>
      </c>
      <c r="B772" s="978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2978</v>
      </c>
      <c r="B774" s="175" t="s">
        <v>2976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str">
        <f>+VLOOKUP(Table_1[[#This Row],[Account]],BV_Data_An_Cour!$L:$Q,6,0)</f>
        <v>6-Coût des ventes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2957</v>
      </c>
      <c r="B798" s="479" t="s">
        <v>2955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2966</v>
      </c>
      <c r="B815" s="479" t="s">
        <v>2965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4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4" t="s">
        <v>983</v>
      </c>
      <c r="B832" s="1402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1" t="s">
        <v>655</v>
      </c>
      <c r="B833" s="1413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4" t="s">
        <v>656</v>
      </c>
      <c r="B834" s="1402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1" t="s">
        <v>2038</v>
      </c>
      <c r="B835" s="1413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4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4" t="s">
        <v>657</v>
      </c>
      <c r="B837" s="1402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4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7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4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4" t="s">
        <v>658</v>
      </c>
      <c r="B841" s="1402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1" t="s">
        <v>2016</v>
      </c>
      <c r="B842" s="1413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4" t="s">
        <v>659</v>
      </c>
      <c r="B843" s="1413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4" t="s">
        <v>662</v>
      </c>
      <c r="B844" s="1402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3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4" t="s">
        <v>2103</v>
      </c>
      <c r="B887" s="981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2962</v>
      </c>
      <c r="B903" s="158" t="s">
        <v>2961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3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79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2" t="s">
        <v>863</v>
      </c>
      <c r="B988" s="1413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1" t="s">
        <v>899</v>
      </c>
      <c r="B989" s="1413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4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1" t="s">
        <v>827</v>
      </c>
      <c r="B1049" s="1413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3017</v>
      </c>
      <c r="B1074" s="169" t="s">
        <v>3016</v>
      </c>
      <c r="C1074" s="159" t="s">
        <v>272</v>
      </c>
      <c r="D1074" s="159" t="s">
        <v>54</v>
      </c>
      <c r="E1074" s="186" t="s">
        <v>285</v>
      </c>
      <c r="F1074" s="1418"/>
      <c r="G1074" s="1419" t="str">
        <f>+VLOOKUP(Table_1[[#This Row],[Account]],BV_Data_An_Cour!$L:$Q,6,0)</f>
        <v>3-Passifs</v>
      </c>
      <c r="H1074" s="160"/>
    </row>
    <row r="1075" spans="1:8" ht="15.75" customHeight="1">
      <c r="A1075" s="168" t="s">
        <v>3019</v>
      </c>
      <c r="B1075" s="169" t="s">
        <v>3018</v>
      </c>
      <c r="C1075" s="159" t="s">
        <v>272</v>
      </c>
      <c r="D1075" s="159" t="s">
        <v>31</v>
      </c>
      <c r="E1075" s="186" t="s">
        <v>285</v>
      </c>
      <c r="F1075" s="1418"/>
      <c r="G1075" s="1419" t="str">
        <f>+VLOOKUP(Table_1[[#This Row],[Account]],BV_Data_An_Cour!$L:$Q,6,0)</f>
        <v>3-Passifs</v>
      </c>
      <c r="H1075" s="160"/>
    </row>
    <row r="1076" spans="1:8" ht="15.75" customHeight="1">
      <c r="A1076" s="168" t="s">
        <v>3023</v>
      </c>
      <c r="B1076" s="169" t="s">
        <v>3022</v>
      </c>
      <c r="C1076" s="159" t="s">
        <v>75</v>
      </c>
      <c r="D1076" s="159" t="s">
        <v>86</v>
      </c>
      <c r="E1076" s="186" t="s">
        <v>285</v>
      </c>
      <c r="F1076" s="1418" t="s">
        <v>1908</v>
      </c>
      <c r="G1076" s="1419" t="str">
        <f>+VLOOKUP(Table_1[[#This Row],[Account]],BV_Data_An_Cour!$L:$Q,6,0)</f>
        <v>5-Ventes</v>
      </c>
      <c r="H1076" s="160"/>
    </row>
    <row r="1077" spans="1:8" ht="15.75" customHeight="1">
      <c r="A1077" s="168" t="s">
        <v>3025</v>
      </c>
      <c r="B1077" s="169" t="s">
        <v>3024</v>
      </c>
      <c r="C1077" s="159" t="s">
        <v>75</v>
      </c>
      <c r="D1077" s="159" t="s">
        <v>86</v>
      </c>
      <c r="E1077" s="186" t="s">
        <v>285</v>
      </c>
      <c r="F1077" s="1418" t="s">
        <v>1908</v>
      </c>
      <c r="G1077" s="1419" t="str">
        <f>+VLOOKUP(Table_1[[#This Row],[Account]],BV_Data_An_Cour!$L:$Q,6,0)</f>
        <v>5-Ventes</v>
      </c>
      <c r="H1077" s="160"/>
    </row>
    <row r="1078" spans="1:8" ht="15.75" customHeight="1">
      <c r="A1078" s="168" t="s">
        <v>3027</v>
      </c>
      <c r="B1078" s="169" t="s">
        <v>3026</v>
      </c>
      <c r="C1078" s="159" t="s">
        <v>75</v>
      </c>
      <c r="D1078" s="159" t="s">
        <v>86</v>
      </c>
      <c r="E1078" s="186" t="s">
        <v>285</v>
      </c>
      <c r="F1078" s="1418" t="s">
        <v>1908</v>
      </c>
      <c r="G1078" s="1419" t="str">
        <f>+VLOOKUP(Table_1[[#This Row],[Account]],BV_Data_An_Cour!$L:$Q,6,0)</f>
        <v>5-Ventes</v>
      </c>
      <c r="H1078" s="160"/>
    </row>
    <row r="1079" spans="1:8" ht="15.75" customHeight="1">
      <c r="A1079" s="168" t="s">
        <v>3029</v>
      </c>
      <c r="B1079" s="169" t="s">
        <v>3028</v>
      </c>
      <c r="C1079" s="159" t="s">
        <v>75</v>
      </c>
      <c r="D1079" s="159" t="s">
        <v>87</v>
      </c>
      <c r="E1079" s="186" t="s">
        <v>285</v>
      </c>
      <c r="F1079" s="1418" t="s">
        <v>1908</v>
      </c>
      <c r="G1079" s="1419" t="str">
        <f>+VLOOKUP(Table_1[[#This Row],[Account]],BV_Data_An_Cour!$L:$Q,6,0)</f>
        <v>5-Ventes</v>
      </c>
      <c r="H1079" s="160"/>
    </row>
    <row r="1080" spans="1:8" ht="15.75" customHeight="1">
      <c r="A1080" s="168" t="s">
        <v>3030</v>
      </c>
      <c r="B1080" s="169" t="s">
        <v>3028</v>
      </c>
      <c r="C1080" s="159" t="s">
        <v>75</v>
      </c>
      <c r="D1080" s="159" t="s">
        <v>87</v>
      </c>
      <c r="E1080" s="186" t="s">
        <v>285</v>
      </c>
      <c r="F1080" s="1418"/>
      <c r="G1080" s="1419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3031</v>
      </c>
      <c r="B1081" s="169" t="s">
        <v>3026</v>
      </c>
      <c r="C1081" s="159" t="s">
        <v>75</v>
      </c>
      <c r="D1081" s="159" t="s">
        <v>86</v>
      </c>
      <c r="E1081" s="186" t="s">
        <v>285</v>
      </c>
      <c r="F1081" s="1418"/>
      <c r="G1081" s="1419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3032</v>
      </c>
      <c r="B1082" s="169" t="s">
        <v>3024</v>
      </c>
      <c r="C1082" s="159" t="s">
        <v>75</v>
      </c>
      <c r="D1082" s="159" t="s">
        <v>86</v>
      </c>
      <c r="E1082" s="186" t="s">
        <v>285</v>
      </c>
      <c r="F1082" s="1418"/>
      <c r="G1082" s="1419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3034</v>
      </c>
      <c r="B1083" s="169" t="s">
        <v>3033</v>
      </c>
      <c r="C1083" s="159" t="s">
        <v>75</v>
      </c>
      <c r="D1083" s="159" t="s">
        <v>86</v>
      </c>
      <c r="E1083" s="186" t="s">
        <v>285</v>
      </c>
      <c r="F1083" s="1418"/>
      <c r="G1083" s="1419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3035</v>
      </c>
      <c r="B1084" s="169" t="s">
        <v>3024</v>
      </c>
      <c r="C1084" s="159" t="s">
        <v>75</v>
      </c>
      <c r="D1084" s="159" t="s">
        <v>86</v>
      </c>
      <c r="E1084" s="186" t="s">
        <v>283</v>
      </c>
      <c r="F1084" s="1418"/>
      <c r="G1084" s="1419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3036</v>
      </c>
      <c r="B1085" s="169" t="s">
        <v>3026</v>
      </c>
      <c r="C1085" s="159" t="s">
        <v>75</v>
      </c>
      <c r="D1085" s="159" t="s">
        <v>86</v>
      </c>
      <c r="E1085" s="186" t="s">
        <v>283</v>
      </c>
      <c r="F1085" s="1418"/>
      <c r="G1085" s="1419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3037</v>
      </c>
      <c r="B1086" s="169" t="s">
        <v>3028</v>
      </c>
      <c r="C1086" s="159" t="s">
        <v>75</v>
      </c>
      <c r="D1086" s="159" t="s">
        <v>87</v>
      </c>
      <c r="E1086" s="186" t="s">
        <v>283</v>
      </c>
      <c r="F1086" s="1418"/>
      <c r="G1086" s="1419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3039</v>
      </c>
      <c r="B1087" s="169" t="s">
        <v>3038</v>
      </c>
      <c r="C1087" s="159" t="s">
        <v>75</v>
      </c>
      <c r="D1087" s="159" t="s">
        <v>86</v>
      </c>
      <c r="E1087" s="186" t="s">
        <v>283</v>
      </c>
      <c r="F1087" s="1418"/>
      <c r="G1087" s="1419" t="str">
        <f>+VLOOKUP(Table_1[[#This Row],[Account]],BV_Data_An_Cour!$L:$Q,6,0)</f>
        <v>10-Compte compteur</v>
      </c>
      <c r="H1087" s="160"/>
    </row>
    <row r="1088" spans="1:8" ht="15.75" customHeight="1">
      <c r="A1088" s="168" t="s">
        <v>3045</v>
      </c>
      <c r="B1088" s="169" t="s">
        <v>3044</v>
      </c>
      <c r="C1088" s="159" t="s">
        <v>272</v>
      </c>
      <c r="D1088" s="159" t="s">
        <v>39</v>
      </c>
      <c r="E1088" s="186" t="s">
        <v>285</v>
      </c>
      <c r="F1088" s="1422"/>
      <c r="G1088" s="1423" t="str">
        <f>+VLOOKUP(Table_1[[#This Row],[Account]],BV_Data_An_Cour!$L:$Q,6,0)</f>
        <v>2-Actifs</v>
      </c>
      <c r="H1088" s="160"/>
    </row>
    <row r="1089" spans="1:8" ht="15.75" customHeight="1">
      <c r="A1089" s="168" t="s">
        <v>3047</v>
      </c>
      <c r="B1089" s="169" t="s">
        <v>3046</v>
      </c>
      <c r="C1089" s="159" t="s">
        <v>1911</v>
      </c>
      <c r="D1089" s="159" t="s">
        <v>154</v>
      </c>
      <c r="E1089" s="186" t="s">
        <v>285</v>
      </c>
      <c r="F1089" s="1422" t="s">
        <v>1908</v>
      </c>
      <c r="G1089" s="1423" t="str">
        <f>+VLOOKUP(Table_1[[#This Row],[Account]],BV_Data_An_Cour!$L:$Q,6,0)</f>
        <v>5-Ventes</v>
      </c>
      <c r="H1089" s="160"/>
    </row>
    <row r="1090" spans="1:8" ht="15.75" customHeight="1">
      <c r="A1090" s="168" t="s">
        <v>3049</v>
      </c>
      <c r="B1090" s="169" t="s">
        <v>3048</v>
      </c>
      <c r="C1090" s="159" t="s">
        <v>1911</v>
      </c>
      <c r="D1090" s="159" t="s">
        <v>154</v>
      </c>
      <c r="E1090" s="186" t="s">
        <v>285</v>
      </c>
      <c r="F1090" s="1422" t="s">
        <v>1908</v>
      </c>
      <c r="G1090" s="1423" t="str">
        <f>+VLOOKUP(Table_1[[#This Row],[Account]],BV_Data_An_Cour!$L:$Q,6,0)</f>
        <v>5-Ventes</v>
      </c>
      <c r="H1090" s="160"/>
    </row>
    <row r="1091" spans="1:8" ht="15.75" customHeight="1">
      <c r="A1091" s="168" t="s">
        <v>3051</v>
      </c>
      <c r="B1091" s="169" t="s">
        <v>3050</v>
      </c>
      <c r="C1091" s="159" t="s">
        <v>1911</v>
      </c>
      <c r="D1091" s="159" t="s">
        <v>154</v>
      </c>
      <c r="E1091" s="186" t="s">
        <v>285</v>
      </c>
      <c r="F1091" s="1422" t="s">
        <v>1908</v>
      </c>
      <c r="G1091" s="1423" t="str">
        <f>+VLOOKUP(Table_1[[#This Row],[Account]],BV_Data_An_Cour!$L:$Q,6,0)</f>
        <v>5-Ventes</v>
      </c>
      <c r="H1091" s="160"/>
    </row>
    <row r="1092" spans="1:8" ht="15.75" customHeight="1">
      <c r="A1092" s="168" t="s">
        <v>3053</v>
      </c>
      <c r="B1092" s="169" t="s">
        <v>3052</v>
      </c>
      <c r="C1092" s="159" t="s">
        <v>1911</v>
      </c>
      <c r="D1092" s="159" t="s">
        <v>154</v>
      </c>
      <c r="E1092" s="186" t="s">
        <v>285</v>
      </c>
      <c r="F1092" s="1422"/>
      <c r="G1092" s="1423" t="str">
        <f>+VLOOKUP(Table_1[[#This Row],[Account]],BV_Data_An_Cour!$L:$Q,6,0)</f>
        <v>6-Coût des ventes</v>
      </c>
      <c r="H1092" s="160"/>
    </row>
    <row r="1093" spans="1:8" ht="15.75" customHeight="1">
      <c r="A1093" s="168" t="s">
        <v>3055</v>
      </c>
      <c r="B1093" s="169" t="s">
        <v>3054</v>
      </c>
      <c r="C1093" s="159" t="s">
        <v>1911</v>
      </c>
      <c r="D1093" s="159" t="s">
        <v>154</v>
      </c>
      <c r="E1093" s="186" t="s">
        <v>285</v>
      </c>
      <c r="F1093" s="1422"/>
      <c r="G1093" s="1423" t="str">
        <f>+VLOOKUP(Table_1[[#This Row],[Account]],BV_Data_An_Cour!$L:$Q,6,0)</f>
        <v>6-Coût des ventes</v>
      </c>
      <c r="H1093" s="160"/>
    </row>
    <row r="1094" spans="1:8" ht="15.75" customHeight="1">
      <c r="A1094" s="168" t="s">
        <v>3057</v>
      </c>
      <c r="B1094" s="169" t="s">
        <v>3056</v>
      </c>
      <c r="C1094" s="159" t="s">
        <v>1911</v>
      </c>
      <c r="D1094" s="159" t="s">
        <v>154</v>
      </c>
      <c r="E1094" s="186" t="s">
        <v>285</v>
      </c>
      <c r="F1094" s="1422"/>
      <c r="G1094" s="1423" t="str">
        <f>+VLOOKUP(Table_1[[#This Row],[Account]],BV_Data_An_Cour!$L:$Q,6,0)</f>
        <v>6-Coût des ventes</v>
      </c>
      <c r="H1094" s="160"/>
    </row>
    <row r="1095" spans="1:8" ht="15.75" customHeight="1">
      <c r="A1095" s="168" t="s">
        <v>3059</v>
      </c>
      <c r="B1095" s="169" t="s">
        <v>3058</v>
      </c>
      <c r="C1095" s="159" t="s">
        <v>1911</v>
      </c>
      <c r="D1095" s="159" t="s">
        <v>154</v>
      </c>
      <c r="E1095" s="186" t="s">
        <v>283</v>
      </c>
      <c r="F1095" s="1422"/>
      <c r="G1095" s="1423" t="str">
        <f>+VLOOKUP(Table_1[[#This Row],[Account]],BV_Data_An_Cour!$L:$Q,6,0)</f>
        <v>10-Compte compteur</v>
      </c>
      <c r="H1095" s="160"/>
    </row>
    <row r="1096" spans="1:8" ht="15.75" customHeight="1">
      <c r="A1096" s="168" t="s">
        <v>3061</v>
      </c>
      <c r="B1096" s="169" t="s">
        <v>3060</v>
      </c>
      <c r="C1096" s="159" t="s">
        <v>1911</v>
      </c>
      <c r="D1096" s="159" t="s">
        <v>154</v>
      </c>
      <c r="E1096" s="186" t="s">
        <v>283</v>
      </c>
      <c r="F1096" s="1422"/>
      <c r="G1096" s="1423" t="str">
        <f>+VLOOKUP(Table_1[[#This Row],[Account]],BV_Data_An_Cour!$L:$Q,6,0)</f>
        <v>10-Compte compteur</v>
      </c>
      <c r="H1096" s="160"/>
    </row>
    <row r="1097" spans="1:8" ht="15.75" customHeight="1">
      <c r="A1097" s="168" t="s">
        <v>3063</v>
      </c>
      <c r="B1097" s="169" t="s">
        <v>3062</v>
      </c>
      <c r="C1097" s="159" t="s">
        <v>1911</v>
      </c>
      <c r="D1097" s="159" t="s">
        <v>154</v>
      </c>
      <c r="E1097" s="186" t="s">
        <v>283</v>
      </c>
      <c r="F1097" s="1422"/>
      <c r="G1097" s="1423" t="str">
        <f>+VLOOKUP(Table_1[[#This Row],[Account]],BV_Data_An_Cour!$L:$Q,6,0)</f>
        <v>10-Compte compteur</v>
      </c>
      <c r="H1097" s="160"/>
    </row>
    <row r="1098" spans="1:8" ht="15.75" customHeight="1">
      <c r="A1098" s="168" t="s">
        <v>3065</v>
      </c>
      <c r="B1098" s="169" t="s">
        <v>3064</v>
      </c>
      <c r="C1098" s="159" t="s">
        <v>75</v>
      </c>
      <c r="D1098" s="159" t="s">
        <v>86</v>
      </c>
      <c r="E1098" s="186" t="s">
        <v>285</v>
      </c>
      <c r="F1098" s="1422" t="s">
        <v>1908</v>
      </c>
      <c r="G1098" s="1423" t="str">
        <f>+VLOOKUP(Table_1[[#This Row],[Account]],BV_Data_An_Cour!$L:$Q,6,0)</f>
        <v>5-Ventes</v>
      </c>
      <c r="H1098" s="160"/>
    </row>
    <row r="1099" spans="1:8" ht="15.75" customHeight="1">
      <c r="A1099" s="168" t="s">
        <v>3067</v>
      </c>
      <c r="B1099" s="169" t="s">
        <v>3064</v>
      </c>
      <c r="C1099" s="159" t="s">
        <v>75</v>
      </c>
      <c r="D1099" s="159" t="s">
        <v>86</v>
      </c>
      <c r="E1099" s="186" t="s">
        <v>285</v>
      </c>
      <c r="F1099" s="1422"/>
      <c r="G1099" s="1423" t="str">
        <f>+VLOOKUP(Table_1[[#This Row],[Account]],BV_Data_An_Cour!$L:$Q,6,0)</f>
        <v>6-Coût des ventes</v>
      </c>
      <c r="H1099" s="160"/>
    </row>
    <row r="1100" spans="1:8" ht="15.75" customHeight="1">
      <c r="A1100" s="168" t="s">
        <v>3066</v>
      </c>
      <c r="B1100" s="169" t="s">
        <v>3064</v>
      </c>
      <c r="C1100" s="159" t="s">
        <v>75</v>
      </c>
      <c r="D1100" s="159" t="s">
        <v>86</v>
      </c>
      <c r="E1100" s="186" t="s">
        <v>283</v>
      </c>
      <c r="F1100" s="1422"/>
      <c r="G1100" s="1423" t="str">
        <f>+VLOOKUP(Table_1[[#This Row],[Account]],BV_Data_An_Cour!$L:$Q,6,0)</f>
        <v>10-Compte compteur</v>
      </c>
      <c r="H1100" s="160"/>
    </row>
    <row r="1101" spans="1:8" ht="15.75" customHeight="1">
      <c r="A1101" s="168" t="s">
        <v>3078</v>
      </c>
      <c r="B1101" s="169" t="s">
        <v>3077</v>
      </c>
      <c r="C1101" s="159" t="s">
        <v>272</v>
      </c>
      <c r="D1101" s="159" t="s">
        <v>23</v>
      </c>
      <c r="E1101" s="186" t="s">
        <v>285</v>
      </c>
      <c r="F1101" s="1426"/>
      <c r="G1101" s="1427" t="str">
        <f>+VLOOKUP(Table_1[[#This Row],[Account]],BV_Data_An_Cour!$L:$Q,6,0)</f>
        <v>2-Actifs</v>
      </c>
      <c r="H1101" s="160"/>
    </row>
    <row r="1102" spans="1:8" ht="15.75" customHeight="1">
      <c r="A1102" s="168" t="s">
        <v>3080</v>
      </c>
      <c r="B1102" s="169" t="s">
        <v>3079</v>
      </c>
      <c r="C1102" s="159" t="s">
        <v>272</v>
      </c>
      <c r="D1102" s="159" t="s">
        <v>66</v>
      </c>
      <c r="E1102" s="186" t="s">
        <v>285</v>
      </c>
      <c r="F1102" s="1426"/>
      <c r="G1102" s="1427" t="s">
        <v>2225</v>
      </c>
      <c r="H1102" s="160"/>
    </row>
    <row r="1103" spans="1:8" ht="15.75" customHeight="1">
      <c r="A1103" s="168" t="s">
        <v>3084</v>
      </c>
      <c r="B1103" s="169" t="s">
        <v>3083</v>
      </c>
      <c r="C1103" s="159" t="s">
        <v>272</v>
      </c>
      <c r="D1103" s="159" t="s">
        <v>23</v>
      </c>
      <c r="E1103" s="186" t="s">
        <v>285</v>
      </c>
      <c r="F1103" s="1426"/>
      <c r="G1103" s="1427" t="str">
        <f>+VLOOKUP(Table_1[[#This Row],[Account]],BV_Data_An_Cour!$L:$Q,6,0)</f>
        <v>3-Passifs</v>
      </c>
      <c r="H1103" s="160"/>
    </row>
    <row r="1104" spans="1:8" ht="15.75" customHeight="1">
      <c r="A1104" s="168" t="s">
        <v>3087</v>
      </c>
      <c r="B1104" s="169" t="s">
        <v>3086</v>
      </c>
      <c r="C1104" s="159" t="s">
        <v>272</v>
      </c>
      <c r="D1104" s="159" t="s">
        <v>67</v>
      </c>
      <c r="E1104" s="186" t="s">
        <v>285</v>
      </c>
      <c r="F1104" s="1426"/>
      <c r="G1104" s="1427" t="str">
        <f>+VLOOKUP(Table_1[[#This Row],[Account]],BV_Data_An_Cour!$L:$Q,6,0)</f>
        <v>3-Passifs</v>
      </c>
      <c r="H1104" s="160"/>
    </row>
    <row r="1105" spans="1:8" ht="15.75" customHeight="1">
      <c r="A1105" s="168" t="s">
        <v>3090</v>
      </c>
      <c r="B1105" s="169" t="s">
        <v>3089</v>
      </c>
      <c r="C1105" s="159" t="s">
        <v>272</v>
      </c>
      <c r="D1105" s="159" t="s">
        <v>67</v>
      </c>
      <c r="E1105" s="186" t="s">
        <v>285</v>
      </c>
      <c r="F1105" s="1426"/>
      <c r="G1105" s="1427" t="str">
        <f>+VLOOKUP(Table_1[[#This Row],[Account]],BV_Data_An_Cour!$L:$Q,6,0)</f>
        <v>3-Passifs</v>
      </c>
      <c r="H1105" s="160"/>
    </row>
    <row r="1106" spans="1:8" ht="15.75" customHeight="1">
      <c r="A1106" s="168" t="s">
        <v>3097</v>
      </c>
      <c r="B1106" s="169" t="s">
        <v>3096</v>
      </c>
      <c r="C1106" s="159" t="s">
        <v>75</v>
      </c>
      <c r="D1106" s="159" t="s">
        <v>86</v>
      </c>
      <c r="E1106" s="186" t="s">
        <v>285</v>
      </c>
      <c r="F1106" s="1422" t="s">
        <v>1908</v>
      </c>
      <c r="G1106" s="1427" t="str">
        <f>+VLOOKUP(Table_1[[#This Row],[Account]],BV_Data_An_Cour!$L:$Q,6,0)</f>
        <v>5-Ventes</v>
      </c>
      <c r="H1106" s="160"/>
    </row>
    <row r="1107" spans="1:8" ht="15.75" customHeight="1">
      <c r="A1107" s="168" t="s">
        <v>3108</v>
      </c>
      <c r="B1107" s="169" t="s">
        <v>3096</v>
      </c>
      <c r="C1107" s="159" t="s">
        <v>75</v>
      </c>
      <c r="D1107" s="159" t="s">
        <v>86</v>
      </c>
      <c r="E1107" s="186" t="s">
        <v>285</v>
      </c>
      <c r="F1107" s="1422"/>
      <c r="G1107" s="1427" t="str">
        <f>+VLOOKUP(Table_1[[#This Row],[Account]],BV_Data_An_Cour!$L:$Q,6,0)</f>
        <v>6-Coût des ventes</v>
      </c>
      <c r="H1107" s="160"/>
    </row>
    <row r="1108" spans="1:8" ht="15.75" customHeight="1">
      <c r="A1108" s="168" t="s">
        <v>3114</v>
      </c>
      <c r="B1108" s="169" t="s">
        <v>3096</v>
      </c>
      <c r="C1108" s="159" t="s">
        <v>75</v>
      </c>
      <c r="D1108" s="159" t="s">
        <v>86</v>
      </c>
      <c r="E1108" s="186" t="s">
        <v>283</v>
      </c>
      <c r="F1108" s="1422"/>
      <c r="G1108" s="1427" t="str">
        <f>+VLOOKUP(Table_1[[#This Row],[Account]],BV_Data_An_Cour!$L:$Q,6,0)</f>
        <v>10-Compte compteur</v>
      </c>
      <c r="H1108" s="160"/>
    </row>
    <row r="1109" spans="1:8" ht="15.75" customHeight="1">
      <c r="A1109" s="168"/>
      <c r="B1109" s="169"/>
      <c r="C1109" s="159"/>
      <c r="D1109" s="159"/>
      <c r="E1109" s="186"/>
      <c r="F1109" s="1418"/>
      <c r="G1109" s="1419"/>
      <c r="H1109" s="160"/>
    </row>
    <row r="1110" spans="1:8" ht="15.75" customHeight="1">
      <c r="A1110" s="168"/>
      <c r="B1110" s="169"/>
      <c r="C1110" s="159"/>
      <c r="D1110" s="159"/>
      <c r="E1110" s="186"/>
      <c r="F1110" s="1418"/>
      <c r="G1110" s="1419"/>
      <c r="H1110" s="160"/>
    </row>
    <row r="1111" spans="1:8" ht="15.75" customHeight="1">
      <c r="A1111" s="168"/>
      <c r="B1111" s="169"/>
      <c r="C1111" s="159"/>
      <c r="D1111" s="159"/>
      <c r="E1111" s="186"/>
      <c r="F1111" s="1418"/>
      <c r="G1111" s="1419"/>
      <c r="H1111" s="160"/>
    </row>
    <row r="1112" spans="1:8" ht="15.75" customHeight="1">
      <c r="A1112" s="168"/>
      <c r="B1112" s="169"/>
      <c r="C1112" s="159"/>
      <c r="D1112" s="159"/>
      <c r="E1112" s="186"/>
      <c r="F1112" s="1418"/>
      <c r="G1112" s="1419"/>
      <c r="H1112" s="160"/>
    </row>
    <row r="1113" spans="1:8" ht="15.75" customHeight="1">
      <c r="A1113" s="168"/>
      <c r="B1113" s="169"/>
      <c r="C1113" s="159"/>
      <c r="D1113" s="159"/>
      <c r="E1113" s="186"/>
      <c r="F1113" s="1418"/>
      <c r="G1113" s="1419"/>
      <c r="H1113" s="160"/>
    </row>
    <row r="1114" spans="1:8" ht="15.75" customHeight="1">
      <c r="A1114" s="168"/>
      <c r="B1114" s="169"/>
      <c r="C1114" s="159"/>
      <c r="D1114" s="159"/>
      <c r="E1114" s="186"/>
      <c r="F1114" s="1418"/>
      <c r="G1114" s="1419"/>
      <c r="H1114" s="160"/>
    </row>
    <row r="1115" spans="1:8" ht="15.75" customHeight="1">
      <c r="A1115" s="168"/>
      <c r="B1115" s="169"/>
      <c r="C1115" s="159"/>
      <c r="D1115" s="159"/>
      <c r="E1115" s="186"/>
      <c r="F1115" s="1418"/>
      <c r="G1115" s="1419"/>
      <c r="H1115" s="160"/>
    </row>
    <row r="1116" spans="1:8" ht="15.75" customHeight="1">
      <c r="A1116" s="168"/>
      <c r="B1116" s="169"/>
      <c r="C1116" s="159"/>
      <c r="D1116" s="159"/>
      <c r="E1116" s="186"/>
      <c r="F1116" s="1418"/>
      <c r="G1116" s="1419"/>
      <c r="H1116" s="160"/>
    </row>
    <row r="1117" spans="1:8" ht="15.75" customHeight="1">
      <c r="A1117" s="168"/>
      <c r="B1117" s="169"/>
      <c r="C1117" s="159"/>
      <c r="D1117" s="159"/>
      <c r="E1117" s="186"/>
      <c r="F1117" s="1418"/>
      <c r="G1117" s="1419"/>
      <c r="H1117" s="160"/>
    </row>
    <row r="1118" spans="1:8" ht="15.75" customHeight="1">
      <c r="A1118" s="168"/>
      <c r="B1118" s="169"/>
      <c r="C1118" s="159"/>
      <c r="D1118" s="159"/>
      <c r="E1118" s="186"/>
      <c r="F1118" s="1418"/>
      <c r="G1118" s="1419"/>
      <c r="H1118" s="160"/>
    </row>
    <row r="1119" spans="1:8" ht="15.75" customHeight="1">
      <c r="A1119" s="168"/>
      <c r="B1119" s="169"/>
      <c r="C1119" s="159"/>
      <c r="D1119" s="159"/>
      <c r="E1119" s="186"/>
      <c r="F1119" s="1418"/>
      <c r="G1119" s="1419"/>
      <c r="H1119" s="160"/>
    </row>
    <row r="1120" spans="1:8" ht="15.75" customHeight="1">
      <c r="A1120" s="168"/>
      <c r="B1120" s="169"/>
      <c r="C1120" s="159"/>
      <c r="D1120" s="159"/>
      <c r="E1120" s="186"/>
      <c r="F1120" s="1418"/>
      <c r="G1120" s="1419"/>
      <c r="H1120" s="160"/>
    </row>
    <row r="1121" spans="1:8" ht="15.75" customHeight="1">
      <c r="A1121" s="168"/>
      <c r="B1121" s="169"/>
      <c r="C1121" s="159"/>
      <c r="D1121" s="159"/>
      <c r="E1121" s="186"/>
      <c r="F1121" s="1418"/>
      <c r="G1121" s="1419"/>
      <c r="H1121" s="160"/>
    </row>
    <row r="1122" spans="1:8" ht="15.75" customHeight="1">
      <c r="A1122" s="168"/>
      <c r="B1122" s="169"/>
      <c r="C1122" s="159"/>
      <c r="D1122" s="159"/>
      <c r="E1122" s="186"/>
      <c r="F1122" s="1418"/>
      <c r="G1122" s="1419"/>
      <c r="H1122" s="160"/>
    </row>
    <row r="1123" spans="1:8" ht="15.75" customHeight="1">
      <c r="A1123" s="168"/>
      <c r="B1123" s="169"/>
      <c r="C1123" s="159"/>
      <c r="D1123" s="159"/>
      <c r="E1123" s="186"/>
      <c r="F1123" s="1418"/>
      <c r="G1123" s="1419"/>
      <c r="H1123" s="160"/>
    </row>
    <row r="1124" spans="1:8" ht="15.75" customHeight="1">
      <c r="A1124" s="168"/>
      <c r="B1124" s="169"/>
      <c r="C1124" s="159"/>
      <c r="D1124" s="159"/>
      <c r="E1124" s="186"/>
      <c r="F1124" s="1418"/>
      <c r="G1124" s="1419"/>
      <c r="H1124" s="160"/>
    </row>
    <row r="1125" spans="1:8" ht="15.75" customHeight="1">
      <c r="A1125" s="168"/>
      <c r="B1125" s="169"/>
      <c r="C1125" s="159"/>
      <c r="D1125" s="159"/>
      <c r="E1125" s="186"/>
      <c r="F1125" s="1418"/>
      <c r="G1125" s="1419"/>
      <c r="H1125" s="160"/>
    </row>
    <row r="1126" spans="1:8" ht="15.75" customHeight="1">
      <c r="A1126" s="168"/>
      <c r="B1126" s="169"/>
      <c r="C1126" s="159"/>
      <c r="D1126" s="159"/>
      <c r="E1126" s="186"/>
      <c r="F1126" s="1418"/>
      <c r="G1126" s="1419"/>
      <c r="H1126" s="160"/>
    </row>
    <row r="1127" spans="1:8" ht="15.75" customHeight="1">
      <c r="A1127" s="168"/>
      <c r="B1127" s="169"/>
      <c r="C1127" s="159"/>
      <c r="D1127" s="159"/>
      <c r="E1127" s="186"/>
      <c r="F1127" s="1418"/>
      <c r="G1127" s="1419"/>
      <c r="H1127" s="160"/>
    </row>
    <row r="1128" spans="1:8" ht="15.75" customHeight="1">
      <c r="A1128" s="168"/>
      <c r="B1128" s="169"/>
      <c r="C1128" s="159"/>
      <c r="D1128" s="159"/>
      <c r="E1128" s="186"/>
      <c r="F1128" s="1418"/>
      <c r="G1128" s="1419"/>
      <c r="H1128" s="160"/>
    </row>
    <row r="1129" spans="1:8" ht="15.75" customHeight="1">
      <c r="A1129" s="168"/>
      <c r="B1129" s="169"/>
      <c r="C1129" s="159"/>
      <c r="D1129" s="159"/>
      <c r="E1129" s="186"/>
      <c r="F1129" s="1418"/>
      <c r="G1129" s="1419"/>
      <c r="H1129" s="160"/>
    </row>
    <row r="1130" spans="1:8" ht="15.75" customHeight="1">
      <c r="A1130" s="168"/>
      <c r="B1130" s="169"/>
      <c r="C1130" s="159"/>
      <c r="D1130" s="159"/>
      <c r="E1130" s="186"/>
      <c r="F1130" s="1418"/>
      <c r="G1130" s="1419"/>
      <c r="H1130" s="160"/>
    </row>
    <row r="1131" spans="1:8" ht="15.75" customHeight="1">
      <c r="A1131" s="168"/>
      <c r="B1131" s="169"/>
      <c r="C1131" s="159"/>
      <c r="D1131" s="159"/>
      <c r="E1131" s="186"/>
      <c r="F1131" s="1418"/>
      <c r="G1131" s="1419"/>
      <c r="H1131" s="160"/>
    </row>
    <row r="1132" spans="1:8" ht="15.75" customHeight="1">
      <c r="A1132" s="168"/>
      <c r="B1132" s="169"/>
      <c r="C1132" s="159"/>
      <c r="D1132" s="159"/>
      <c r="E1132" s="186"/>
      <c r="F1132" s="1418"/>
      <c r="G1132" s="1419"/>
      <c r="H1132" s="160"/>
    </row>
    <row r="1133" spans="1:8" ht="15.75" customHeight="1">
      <c r="A1133" s="168"/>
      <c r="B1133" s="169"/>
      <c r="C1133" s="159"/>
      <c r="D1133" s="159"/>
      <c r="E1133" s="186"/>
      <c r="F1133" s="1418"/>
      <c r="G1133" s="1419"/>
      <c r="H1133" s="160"/>
    </row>
    <row r="1134" spans="1:8" ht="15.75" customHeight="1">
      <c r="A1134" s="168"/>
      <c r="B1134" s="169"/>
      <c r="C1134" s="159"/>
      <c r="D1134" s="159"/>
      <c r="E1134" s="186"/>
      <c r="F1134" s="1418"/>
      <c r="G1134" s="1419"/>
      <c r="H1134" s="160"/>
    </row>
    <row r="1135" spans="1:8" ht="15.75" customHeight="1">
      <c r="A1135" s="168"/>
      <c r="B1135" s="169"/>
      <c r="C1135" s="159"/>
      <c r="D1135" s="159"/>
      <c r="E1135" s="186"/>
      <c r="F1135" s="1418"/>
      <c r="G1135" s="1419"/>
      <c r="H1135" s="160"/>
    </row>
    <row r="1136" spans="1:8" ht="15.75" customHeight="1">
      <c r="A1136" s="168"/>
      <c r="B1136" s="169"/>
      <c r="C1136" s="159"/>
      <c r="D1136" s="159"/>
      <c r="E1136" s="186"/>
      <c r="F1136" s="1418"/>
      <c r="G1136" s="1419"/>
      <c r="H1136" s="160"/>
    </row>
    <row r="1137" spans="1:8" ht="15.75" customHeight="1">
      <c r="A1137" s="168"/>
      <c r="B1137" s="169"/>
      <c r="C1137" s="159"/>
      <c r="D1137" s="159"/>
      <c r="E1137" s="186"/>
      <c r="F1137" s="1418"/>
      <c r="G1137" s="1419"/>
      <c r="H1137" s="160"/>
    </row>
    <row r="1138" spans="1:8" ht="15.75" customHeight="1">
      <c r="A1138" s="168"/>
      <c r="B1138" s="169"/>
      <c r="C1138" s="159"/>
      <c r="D1138" s="159"/>
      <c r="E1138" s="186"/>
      <c r="F1138" s="1418"/>
      <c r="G1138" s="1419"/>
      <c r="H1138" s="160"/>
    </row>
    <row r="1139" spans="1:8" ht="15.75" customHeight="1">
      <c r="A1139" s="168"/>
      <c r="B1139" s="169"/>
      <c r="C1139" s="159"/>
      <c r="D1139" s="159"/>
      <c r="E1139" s="186"/>
      <c r="F1139" s="1418"/>
      <c r="G1139" s="1419"/>
      <c r="H1139" s="160"/>
    </row>
    <row r="1140" spans="1:8" ht="15.75" customHeight="1">
      <c r="A1140" s="168"/>
      <c r="B1140" s="169"/>
      <c r="C1140" s="159"/>
      <c r="D1140" s="159"/>
      <c r="E1140" s="186"/>
      <c r="F1140" s="1418"/>
      <c r="G1140" s="1419"/>
      <c r="H1140" s="160"/>
    </row>
    <row r="1141" spans="1:8" ht="15.75" customHeight="1">
      <c r="A1141" s="168"/>
      <c r="B1141" s="169"/>
      <c r="C1141" s="159"/>
      <c r="D1141" s="159"/>
      <c r="E1141" s="186"/>
      <c r="F1141" s="1418"/>
      <c r="G1141" s="1419"/>
      <c r="H1141" s="160"/>
    </row>
    <row r="1142" spans="1:8" ht="15.75" customHeight="1">
      <c r="A1142" s="168"/>
      <c r="B1142" s="169"/>
      <c r="C1142" s="159"/>
      <c r="D1142" s="159"/>
      <c r="E1142" s="186"/>
      <c r="F1142" s="1418"/>
      <c r="G1142" s="1419"/>
      <c r="H1142" s="160"/>
    </row>
    <row r="1143" spans="1:8" ht="15.75" customHeight="1">
      <c r="A1143" s="168"/>
      <c r="B1143" s="169"/>
      <c r="C1143" s="159"/>
      <c r="D1143" s="159"/>
      <c r="E1143" s="186"/>
      <c r="F1143" s="1418"/>
      <c r="G1143" s="1419"/>
      <c r="H1143" s="160"/>
    </row>
    <row r="1144" spans="1:8" ht="15.75" customHeight="1">
      <c r="A1144" s="168"/>
      <c r="B1144" s="169"/>
      <c r="C1144" s="159"/>
      <c r="D1144" s="159"/>
      <c r="E1144" s="186"/>
      <c r="F1144" s="1418"/>
      <c r="G1144" s="1419"/>
      <c r="H1144" s="160"/>
    </row>
    <row r="1145" spans="1:8" ht="15.75" customHeight="1">
      <c r="A1145" s="168"/>
      <c r="B1145" s="169"/>
      <c r="C1145" s="159"/>
      <c r="D1145" s="159"/>
      <c r="E1145" s="186"/>
      <c r="F1145" s="1418"/>
      <c r="G1145" s="1419"/>
      <c r="H1145" s="160"/>
    </row>
    <row r="1146" spans="1:8" ht="15.75" customHeight="1">
      <c r="A1146" s="168"/>
      <c r="B1146" s="169"/>
      <c r="C1146" s="159"/>
      <c r="D1146" s="159"/>
      <c r="E1146" s="186"/>
      <c r="F1146" s="1418"/>
      <c r="G1146" s="1419"/>
      <c r="H1146" s="160"/>
    </row>
    <row r="1147" spans="1:8" ht="15.75" customHeight="1">
      <c r="A1147" s="168"/>
      <c r="B1147" s="169"/>
      <c r="C1147" s="159"/>
      <c r="D1147" s="159"/>
      <c r="E1147" s="186"/>
      <c r="F1147" s="1418"/>
      <c r="G1147" s="1419"/>
      <c r="H1147" s="160"/>
    </row>
    <row r="1148" spans="1:8" ht="15.75" customHeight="1">
      <c r="A1148" s="168"/>
      <c r="B1148" s="169"/>
      <c r="C1148" s="159"/>
      <c r="D1148" s="159"/>
      <c r="E1148" s="186"/>
      <c r="F1148" s="1418"/>
      <c r="G1148" s="1419"/>
      <c r="H1148" s="160"/>
    </row>
    <row r="1149" spans="1:8" ht="15.75" customHeight="1">
      <c r="A1149" s="168"/>
      <c r="B1149" s="169"/>
      <c r="C1149" s="159"/>
      <c r="D1149" s="159"/>
      <c r="E1149" s="186"/>
      <c r="F1149" s="1418"/>
      <c r="G1149" s="1419"/>
      <c r="H1149" s="160"/>
    </row>
    <row r="1150" spans="1:8" ht="15.75" customHeight="1">
      <c r="A1150" s="168"/>
      <c r="B1150" s="169"/>
      <c r="C1150" s="159"/>
      <c r="D1150" s="159"/>
      <c r="E1150" s="186"/>
      <c r="F1150" s="1418"/>
      <c r="G1150" s="1419"/>
      <c r="H1150" s="160"/>
    </row>
    <row r="1151" spans="1:8" ht="15.75" customHeight="1">
      <c r="A1151" s="168"/>
      <c r="B1151" s="169"/>
      <c r="C1151" s="159"/>
      <c r="D1151" s="159"/>
      <c r="E1151" s="186"/>
      <c r="F1151" s="1418"/>
      <c r="G1151" s="1419"/>
      <c r="H1151" s="160"/>
    </row>
    <row r="1152" spans="1:8" ht="15.75" customHeight="1">
      <c r="A1152" s="168"/>
      <c r="B1152" s="169"/>
      <c r="C1152" s="159"/>
      <c r="D1152" s="159"/>
      <c r="E1152" s="186"/>
      <c r="F1152" s="1418"/>
      <c r="G1152" s="1419"/>
      <c r="H1152" s="160"/>
    </row>
    <row r="1153" spans="1:8" ht="15.75" customHeight="1">
      <c r="A1153" s="168"/>
      <c r="B1153" s="169"/>
      <c r="C1153" s="159"/>
      <c r="D1153" s="159"/>
      <c r="E1153" s="186"/>
      <c r="F1153" s="1418"/>
      <c r="G1153" s="1419"/>
      <c r="H1153" s="160"/>
    </row>
    <row r="1154" spans="1:8" ht="15.75" customHeight="1">
      <c r="A1154" s="168"/>
      <c r="B1154" s="169"/>
      <c r="C1154" s="159"/>
      <c r="D1154" s="159"/>
      <c r="E1154" s="186"/>
      <c r="F1154" s="1418"/>
      <c r="G1154" s="1419"/>
      <c r="H1154" s="160"/>
    </row>
    <row r="1155" spans="1:8" ht="15.75" customHeight="1">
      <c r="A1155" s="168"/>
      <c r="B1155" s="169"/>
      <c r="C1155" s="159"/>
      <c r="D1155" s="159"/>
      <c r="E1155" s="186"/>
      <c r="F1155" s="1418"/>
      <c r="G1155" s="1419"/>
      <c r="H1155" s="160"/>
    </row>
    <row r="1156" spans="1:8" ht="15.75" customHeight="1">
      <c r="A1156" s="168"/>
      <c r="B1156" s="169"/>
      <c r="C1156" s="159"/>
      <c r="D1156" s="159"/>
      <c r="E1156" s="186"/>
      <c r="F1156" s="1418"/>
      <c r="G1156" s="1419"/>
      <c r="H1156" s="160"/>
    </row>
    <row r="1157" spans="1:8" ht="15.75" customHeight="1">
      <c r="A1157" s="168"/>
      <c r="B1157" s="169"/>
      <c r="C1157" s="159"/>
      <c r="D1157" s="159"/>
      <c r="E1157" s="186"/>
      <c r="F1157" s="1418"/>
      <c r="G1157" s="1419"/>
      <c r="H1157" s="160"/>
    </row>
    <row r="1158" spans="1:8" ht="15.75" customHeight="1">
      <c r="A1158" s="168"/>
      <c r="B1158" s="169"/>
      <c r="C1158" s="159"/>
      <c r="D1158" s="159"/>
      <c r="E1158" s="186"/>
      <c r="F1158" s="1418"/>
      <c r="G1158" s="1419"/>
      <c r="H1158" s="160"/>
    </row>
    <row r="1159" spans="1:8" ht="15.75" customHeight="1">
      <c r="A1159" s="168"/>
      <c r="B1159" s="169"/>
      <c r="C1159" s="159"/>
      <c r="D1159" s="159"/>
      <c r="E1159" s="186"/>
      <c r="F1159" s="1418"/>
      <c r="G1159" s="1419"/>
      <c r="H1159" s="160"/>
    </row>
    <row r="1160" spans="1:8" ht="15.75" customHeight="1">
      <c r="A1160" s="168"/>
      <c r="B1160" s="169"/>
      <c r="C1160" s="159"/>
      <c r="D1160" s="159"/>
      <c r="E1160" s="186"/>
      <c r="F1160" s="1418"/>
      <c r="G1160" s="1419"/>
      <c r="H1160" s="160"/>
    </row>
    <row r="1161" spans="1:8" ht="15.75" customHeight="1">
      <c r="A1161" s="168"/>
      <c r="B1161" s="169"/>
      <c r="C1161" s="159"/>
      <c r="D1161" s="159"/>
      <c r="E1161" s="186"/>
      <c r="F1161" s="1418"/>
      <c r="G1161" s="1419"/>
      <c r="H1161" s="160"/>
    </row>
    <row r="1162" spans="1:8" ht="15.75" customHeight="1">
      <c r="A1162" s="168"/>
      <c r="B1162" s="169"/>
      <c r="C1162" s="159"/>
      <c r="D1162" s="159"/>
      <c r="E1162" s="186"/>
      <c r="F1162" s="1418"/>
      <c r="G1162" s="1419"/>
      <c r="H1162" s="160"/>
    </row>
    <row r="1163" spans="1:8" ht="15.75" customHeight="1">
      <c r="A1163" s="168"/>
      <c r="B1163" s="169"/>
      <c r="C1163" s="159"/>
      <c r="D1163" s="159"/>
      <c r="E1163" s="186"/>
      <c r="F1163" s="1418"/>
      <c r="G1163" s="1419"/>
      <c r="H1163" s="160"/>
    </row>
    <row r="1164" spans="1:8" ht="15.75" customHeight="1">
      <c r="A1164" s="168"/>
      <c r="B1164" s="169"/>
      <c r="C1164" s="159"/>
      <c r="D1164" s="159"/>
      <c r="E1164" s="186"/>
      <c r="F1164" s="1418"/>
      <c r="G1164" s="1419"/>
      <c r="H1164" s="160"/>
    </row>
    <row r="1165" spans="1:8" ht="15.75" customHeight="1">
      <c r="A1165" s="168"/>
      <c r="B1165" s="169"/>
      <c r="C1165" s="159"/>
      <c r="D1165" s="159"/>
      <c r="E1165" s="186"/>
      <c r="F1165" s="1418"/>
      <c r="G1165" s="1419"/>
      <c r="H1165" s="160"/>
    </row>
    <row r="1166" spans="1:8" ht="15.75" customHeight="1">
      <c r="A1166" s="168"/>
      <c r="B1166" s="169"/>
      <c r="C1166" s="159"/>
      <c r="D1166" s="159"/>
      <c r="E1166" s="186"/>
      <c r="F1166" s="1418"/>
      <c r="G1166" s="1419"/>
      <c r="H1166" s="160"/>
    </row>
    <row r="1167" spans="1:8" ht="15.75" customHeight="1">
      <c r="A1167" s="168"/>
      <c r="B1167" s="169"/>
      <c r="C1167" s="159"/>
      <c r="D1167" s="159"/>
      <c r="E1167" s="186"/>
      <c r="F1167" s="1418"/>
      <c r="G1167" s="1419"/>
      <c r="H1167" s="160"/>
    </row>
    <row r="1168" spans="1:8" ht="15.75" customHeight="1">
      <c r="A1168" s="168"/>
      <c r="B1168" s="169"/>
      <c r="C1168" s="159"/>
      <c r="D1168" s="159"/>
      <c r="E1168" s="186"/>
      <c r="F1168" s="1418"/>
      <c r="G1168" s="1419"/>
      <c r="H1168" s="160"/>
    </row>
    <row r="1169" spans="1:8" ht="15.75" customHeight="1">
      <c r="A1169" s="168"/>
      <c r="B1169" s="169"/>
      <c r="C1169" s="159"/>
      <c r="D1169" s="159"/>
      <c r="E1169" s="186"/>
      <c r="F1169" s="1418"/>
      <c r="G1169" s="1419"/>
      <c r="H1169" s="160"/>
    </row>
    <row r="1170" spans="1:8" ht="15.75" customHeight="1">
      <c r="A1170" s="168"/>
      <c r="B1170" s="169"/>
      <c r="C1170" s="159"/>
      <c r="D1170" s="159"/>
      <c r="E1170" s="186"/>
      <c r="F1170" s="1418"/>
      <c r="G1170" s="1419"/>
      <c r="H1170" s="160"/>
    </row>
    <row r="1171" spans="1:8" ht="15.75" customHeight="1">
      <c r="A1171" s="168"/>
      <c r="B1171" s="169"/>
      <c r="C1171" s="159"/>
      <c r="D1171" s="159"/>
      <c r="E1171" s="186"/>
      <c r="F1171" s="1418"/>
      <c r="G1171" s="1419"/>
      <c r="H1171" s="160"/>
    </row>
    <row r="1172" spans="1:8" ht="15.75" customHeight="1">
      <c r="A1172" s="168"/>
      <c r="B1172" s="169"/>
      <c r="C1172" s="159"/>
      <c r="D1172" s="159"/>
      <c r="E1172" s="186"/>
      <c r="F1172" s="1418"/>
      <c r="G1172" s="1419"/>
      <c r="H1172" s="160"/>
    </row>
    <row r="1173" spans="1:8" ht="15.75" customHeight="1">
      <c r="A1173" s="168"/>
      <c r="B1173" s="169"/>
      <c r="C1173" s="159"/>
      <c r="D1173" s="159"/>
      <c r="E1173" s="186"/>
      <c r="F1173" s="1418"/>
      <c r="G1173" s="1419"/>
      <c r="H1173" s="160"/>
    </row>
    <row r="1174" spans="1:8" ht="15.75" customHeight="1">
      <c r="A1174" s="168"/>
      <c r="B1174" s="169"/>
      <c r="C1174" s="159"/>
      <c r="D1174" s="159"/>
      <c r="E1174" s="186"/>
      <c r="F1174" s="1418"/>
      <c r="G1174" s="1419"/>
      <c r="H1174" s="160"/>
    </row>
    <row r="1175" spans="1:8" ht="15.75" customHeight="1">
      <c r="A1175" s="168"/>
      <c r="B1175" s="169"/>
      <c r="C1175" s="159"/>
      <c r="D1175" s="159"/>
      <c r="E1175" s="186"/>
      <c r="F1175" s="1418"/>
      <c r="G1175" s="1419"/>
      <c r="H1175" s="160"/>
    </row>
    <row r="1176" spans="1:8" ht="15.75" customHeight="1">
      <c r="A1176" s="168"/>
      <c r="B1176" s="169"/>
      <c r="C1176" s="159"/>
      <c r="D1176" s="159"/>
      <c r="E1176" s="186"/>
      <c r="F1176" s="1418"/>
      <c r="G1176" s="1419"/>
      <c r="H1176" s="160"/>
    </row>
    <row r="1177" spans="1:8" ht="15.75" customHeight="1">
      <c r="A1177" s="168"/>
      <c r="B1177" s="169"/>
      <c r="C1177" s="159"/>
      <c r="D1177" s="159"/>
      <c r="E1177" s="186"/>
      <c r="F1177" s="1418"/>
      <c r="G1177" s="1419"/>
      <c r="H1177" s="160"/>
    </row>
    <row r="1178" spans="1:8" ht="15.75" customHeight="1">
      <c r="A1178" s="168"/>
      <c r="B1178" s="169"/>
      <c r="C1178" s="159"/>
      <c r="D1178" s="159"/>
      <c r="E1178" s="186"/>
      <c r="F1178" s="1418"/>
      <c r="G1178" s="1419"/>
      <c r="H1178" s="160"/>
    </row>
    <row r="1179" spans="1:8" ht="15.75" customHeight="1">
      <c r="A1179" s="168"/>
      <c r="B1179" s="169"/>
      <c r="C1179" s="159"/>
      <c r="D1179" s="159"/>
      <c r="E1179" s="186"/>
      <c r="F1179" s="1418"/>
      <c r="G1179" s="1419"/>
      <c r="H1179" s="160"/>
    </row>
    <row r="1180" spans="1:8" ht="15.75" customHeight="1">
      <c r="A1180" s="168"/>
      <c r="B1180" s="169"/>
      <c r="C1180" s="159"/>
      <c r="D1180" s="159"/>
      <c r="E1180" s="186"/>
      <c r="F1180" s="1418"/>
      <c r="G1180" s="1419"/>
      <c r="H1180" s="160"/>
    </row>
    <row r="1181" spans="1:8" ht="15.75" customHeight="1">
      <c r="A1181" s="168"/>
      <c r="B1181" s="169"/>
      <c r="C1181" s="159"/>
      <c r="D1181" s="159"/>
      <c r="E1181" s="186"/>
      <c r="F1181" s="1418"/>
      <c r="G1181" s="1419"/>
      <c r="H1181" s="160"/>
    </row>
    <row r="1182" spans="1:8" ht="15.75" customHeight="1">
      <c r="A1182" s="168"/>
      <c r="B1182" s="169"/>
      <c r="C1182" s="159"/>
      <c r="D1182" s="159"/>
      <c r="E1182" s="186"/>
      <c r="F1182" s="1418"/>
      <c r="G1182" s="1419"/>
      <c r="H1182" s="160"/>
    </row>
    <row r="1183" spans="1:8" ht="15.75" customHeight="1">
      <c r="A1183" s="168"/>
      <c r="B1183" s="169"/>
      <c r="C1183" s="159"/>
      <c r="D1183" s="159"/>
      <c r="E1183" s="186"/>
      <c r="F1183" s="1418"/>
      <c r="G1183" s="1419"/>
      <c r="H1183" s="160"/>
    </row>
    <row r="1184" spans="1:8" ht="15.75" customHeight="1">
      <c r="A1184" s="168"/>
      <c r="B1184" s="169"/>
      <c r="C1184" s="159"/>
      <c r="D1184" s="159"/>
      <c r="E1184" s="186"/>
      <c r="F1184" s="1418"/>
      <c r="G1184" s="1419"/>
      <c r="H1184" s="160"/>
    </row>
    <row r="1185" spans="1:8" ht="15.75" customHeight="1">
      <c r="A1185" s="168"/>
      <c r="B1185" s="169"/>
      <c r="C1185" s="159"/>
      <c r="D1185" s="159"/>
      <c r="E1185" s="186"/>
      <c r="F1185" s="1418"/>
      <c r="G1185" s="1419"/>
      <c r="H1185" s="160"/>
    </row>
    <row r="1186" spans="1:8" ht="15.75" customHeight="1">
      <c r="A1186" s="168"/>
      <c r="B1186" s="169"/>
      <c r="C1186" s="159"/>
      <c r="D1186" s="159"/>
      <c r="E1186" s="186"/>
      <c r="F1186" s="1418"/>
      <c r="G1186" s="1419"/>
      <c r="H1186" s="160"/>
    </row>
    <row r="1187" spans="1:8" ht="15.75" customHeight="1">
      <c r="A1187" s="168"/>
      <c r="B1187" s="169"/>
      <c r="C1187" s="159"/>
      <c r="D1187" s="159"/>
      <c r="E1187" s="186"/>
      <c r="F1187" s="1418"/>
      <c r="G1187" s="1419"/>
      <c r="H1187" s="160"/>
    </row>
    <row r="1188" spans="1:8" ht="15.75" customHeight="1">
      <c r="A1188" s="168"/>
      <c r="B1188" s="169"/>
      <c r="C1188" s="159"/>
      <c r="D1188" s="159"/>
      <c r="E1188" s="186"/>
      <c r="F1188" s="1418"/>
      <c r="G1188" s="1419"/>
      <c r="H1188" s="160"/>
    </row>
    <row r="1189" spans="1:8" ht="15.75" customHeight="1">
      <c r="A1189" s="168"/>
      <c r="B1189" s="169"/>
      <c r="C1189" s="159"/>
      <c r="D1189" s="159"/>
      <c r="E1189" s="186"/>
      <c r="F1189" s="1418"/>
      <c r="G1189" s="1419"/>
      <c r="H1189" s="160"/>
    </row>
    <row r="1190" spans="1:8" ht="15.75" customHeight="1">
      <c r="A1190" s="168"/>
      <c r="B1190" s="169"/>
      <c r="C1190" s="159"/>
      <c r="D1190" s="159"/>
      <c r="E1190" s="186"/>
      <c r="F1190" s="1418"/>
      <c r="G1190" s="1419"/>
      <c r="H1190" s="160"/>
    </row>
    <row r="1191" spans="1:8" ht="15.75" customHeight="1">
      <c r="A1191" s="168"/>
      <c r="B1191" s="169"/>
      <c r="C1191" s="159"/>
      <c r="D1191" s="159"/>
      <c r="E1191" s="186"/>
      <c r="F1191" s="1418"/>
      <c r="G1191" s="1419"/>
      <c r="H1191" s="160"/>
    </row>
    <row r="1192" spans="1:8" ht="15.75" customHeight="1">
      <c r="A1192" s="168"/>
      <c r="B1192" s="169"/>
      <c r="C1192" s="159"/>
      <c r="D1192" s="159"/>
      <c r="E1192" s="186"/>
      <c r="F1192" s="1418"/>
      <c r="G1192" s="1419"/>
      <c r="H1192" s="160"/>
    </row>
    <row r="1193" spans="1:8" ht="15.75" customHeight="1">
      <c r="A1193" s="168"/>
      <c r="B1193" s="169"/>
      <c r="C1193" s="159"/>
      <c r="D1193" s="159"/>
      <c r="E1193" s="186"/>
      <c r="F1193" s="1418"/>
      <c r="G1193" s="1419"/>
      <c r="H1193" s="160"/>
    </row>
    <row r="1194" spans="1:8" ht="15.75" customHeight="1">
      <c r="A1194" s="168"/>
      <c r="B1194" s="169"/>
      <c r="C1194" s="159"/>
      <c r="D1194" s="159"/>
      <c r="E1194" s="186"/>
      <c r="F1194" s="1418"/>
      <c r="G1194" s="1419"/>
      <c r="H1194" s="160"/>
    </row>
    <row r="1195" spans="1:8" ht="15.75" customHeight="1">
      <c r="A1195" s="168"/>
      <c r="B1195" s="169"/>
      <c r="C1195" s="159"/>
      <c r="D1195" s="159"/>
      <c r="E1195" s="186"/>
      <c r="F1195" s="1418"/>
      <c r="G1195" s="1419"/>
      <c r="H1195" s="160"/>
    </row>
    <row r="1196" spans="1:8" ht="15.75" customHeight="1">
      <c r="A1196" s="168"/>
      <c r="B1196" s="169"/>
      <c r="C1196" s="159"/>
      <c r="D1196" s="159"/>
      <c r="E1196" s="186"/>
      <c r="F1196" s="1418"/>
      <c r="G1196" s="1419"/>
      <c r="H1196" s="160"/>
    </row>
    <row r="1197" spans="1:8" ht="15.75" customHeight="1">
      <c r="A1197" s="168"/>
      <c r="B1197" s="169"/>
      <c r="C1197" s="159"/>
      <c r="D1197" s="159"/>
      <c r="E1197" s="186"/>
      <c r="F1197" s="1418"/>
      <c r="G1197" s="1419"/>
      <c r="H1197" s="160"/>
    </row>
    <row r="1198" spans="1:8" ht="15.75" customHeight="1">
      <c r="A1198" s="168"/>
      <c r="B1198" s="169"/>
      <c r="C1198" s="159"/>
      <c r="D1198" s="159"/>
      <c r="E1198" s="186"/>
      <c r="F1198" s="1418"/>
      <c r="G1198" s="1419"/>
      <c r="H1198" s="160"/>
    </row>
    <row r="1199" spans="1:8" ht="15.75" customHeight="1">
      <c r="A1199" s="168"/>
      <c r="B1199" s="169"/>
      <c r="C1199" s="159"/>
      <c r="D1199" s="159"/>
      <c r="E1199" s="186"/>
      <c r="F1199" s="1418"/>
      <c r="G1199" s="1419"/>
      <c r="H1199" s="160"/>
    </row>
    <row r="1200" spans="1:8" ht="15.75" customHeight="1">
      <c r="A1200" s="168"/>
      <c r="B1200" s="169"/>
      <c r="C1200" s="159"/>
      <c r="D1200" s="159"/>
      <c r="E1200" s="186"/>
      <c r="F1200" s="1418"/>
      <c r="G1200" s="1419"/>
      <c r="H1200" s="160"/>
    </row>
    <row r="1201" spans="1:8" ht="15.75" customHeight="1">
      <c r="A1201" s="168"/>
      <c r="B1201" s="169"/>
      <c r="C1201" s="159"/>
      <c r="D1201" s="159"/>
      <c r="E1201" s="186"/>
      <c r="F1201" s="1418"/>
      <c r="G1201" s="1419"/>
      <c r="H1201" s="160"/>
    </row>
    <row r="1202" spans="1:8" ht="15.75" customHeight="1">
      <c r="A1202" s="168"/>
      <c r="B1202" s="169"/>
      <c r="C1202" s="159"/>
      <c r="D1202" s="159"/>
      <c r="E1202" s="186"/>
      <c r="F1202" s="1418"/>
      <c r="G1202" s="1419"/>
      <c r="H1202" s="160"/>
    </row>
    <row r="1203" spans="1:8" ht="15.75" customHeight="1">
      <c r="A1203" s="168"/>
      <c r="B1203" s="169"/>
      <c r="C1203" s="159"/>
      <c r="D1203" s="159"/>
      <c r="E1203" s="186"/>
      <c r="F1203" s="1418"/>
      <c r="G1203" s="1419"/>
      <c r="H1203" s="160"/>
    </row>
    <row r="1204" spans="1:8" ht="15.75" customHeight="1">
      <c r="A1204" s="168"/>
      <c r="B1204" s="169"/>
      <c r="C1204" s="159"/>
      <c r="D1204" s="159"/>
      <c r="E1204" s="186"/>
      <c r="F1204" s="1418"/>
      <c r="G1204" s="1419"/>
      <c r="H1204" s="160"/>
    </row>
    <row r="1205" spans="1:8" ht="15.75" customHeight="1">
      <c r="A1205" s="168"/>
      <c r="B1205" s="169"/>
      <c r="C1205" s="159"/>
      <c r="D1205" s="159"/>
      <c r="E1205" s="186"/>
      <c r="F1205" s="1418"/>
      <c r="G1205" s="1419"/>
      <c r="H1205" s="160"/>
    </row>
    <row r="1206" spans="1:8" ht="15.75" customHeight="1">
      <c r="A1206" s="168"/>
      <c r="B1206" s="169"/>
      <c r="C1206" s="159"/>
      <c r="D1206" s="159"/>
      <c r="E1206" s="186"/>
      <c r="F1206" s="1418"/>
      <c r="G1206" s="1419"/>
      <c r="H1206" s="160"/>
    </row>
    <row r="1207" spans="1:8" ht="15.75" customHeight="1">
      <c r="A1207" s="168"/>
      <c r="B1207" s="169"/>
      <c r="C1207" s="159"/>
      <c r="D1207" s="159"/>
      <c r="E1207" s="186"/>
      <c r="F1207" s="1418"/>
      <c r="G1207" s="1419"/>
      <c r="H1207" s="160"/>
    </row>
    <row r="1208" spans="1:8" ht="15.75" customHeight="1">
      <c r="A1208" s="168"/>
      <c r="B1208" s="169"/>
      <c r="C1208" s="159"/>
      <c r="D1208" s="159"/>
      <c r="E1208" s="186"/>
      <c r="F1208" s="1418"/>
      <c r="G1208" s="1419"/>
      <c r="H1208" s="160"/>
    </row>
    <row r="1209" spans="1:8" ht="15.75" customHeight="1">
      <c r="A1209" s="168"/>
      <c r="B1209" s="169"/>
      <c r="C1209" s="159"/>
      <c r="D1209" s="159"/>
      <c r="E1209" s="186"/>
      <c r="F1209" s="1418"/>
      <c r="G1209" s="1419"/>
      <c r="H1209" s="160"/>
    </row>
    <row r="1210" spans="1:8" ht="15.75" customHeight="1">
      <c r="A1210" s="168"/>
      <c r="B1210" s="169"/>
      <c r="C1210" s="159"/>
      <c r="D1210" s="159"/>
      <c r="E1210" s="186"/>
      <c r="F1210" s="1418"/>
      <c r="G1210" s="1419"/>
      <c r="H1210" s="160"/>
    </row>
    <row r="1211" spans="1:8" ht="15.75" customHeight="1">
      <c r="A1211" s="168"/>
      <c r="B1211" s="169"/>
      <c r="C1211" s="159"/>
      <c r="D1211" s="159"/>
      <c r="E1211" s="186"/>
      <c r="F1211" s="1418"/>
      <c r="G1211" s="1419"/>
      <c r="H1211" s="160"/>
    </row>
    <row r="1212" spans="1:8" ht="15.75" customHeight="1">
      <c r="A1212" s="168"/>
      <c r="B1212" s="169"/>
      <c r="C1212" s="159"/>
      <c r="D1212" s="159"/>
      <c r="E1212" s="186"/>
      <c r="F1212" s="1418"/>
      <c r="G1212" s="1419"/>
      <c r="H1212" s="160"/>
    </row>
    <row r="1213" spans="1:8" ht="15.75" customHeight="1">
      <c r="A1213" s="168"/>
      <c r="B1213" s="169"/>
      <c r="C1213" s="159"/>
      <c r="D1213" s="159"/>
      <c r="E1213" s="186"/>
      <c r="F1213" s="1418"/>
      <c r="G1213" s="1419"/>
      <c r="H1213" s="160"/>
    </row>
    <row r="1214" spans="1:8" ht="15.75" customHeight="1">
      <c r="A1214" s="168"/>
      <c r="B1214" s="169"/>
      <c r="C1214" s="159"/>
      <c r="D1214" s="159"/>
      <c r="E1214" s="186"/>
      <c r="F1214" s="1418"/>
      <c r="G1214" s="1419"/>
      <c r="H1214" s="160"/>
    </row>
    <row r="1215" spans="1:8" ht="15.75" customHeight="1">
      <c r="A1215" s="168"/>
      <c r="B1215" s="169"/>
      <c r="C1215" s="159"/>
      <c r="D1215" s="159"/>
      <c r="E1215" s="186"/>
      <c r="F1215" s="1418"/>
      <c r="G1215" s="1419"/>
      <c r="H1215" s="160"/>
    </row>
    <row r="1216" spans="1:8" ht="15.75" customHeight="1">
      <c r="A1216" s="168"/>
      <c r="B1216" s="169"/>
      <c r="C1216" s="159"/>
      <c r="D1216" s="159"/>
      <c r="E1216" s="186"/>
      <c r="F1216" s="1418"/>
      <c r="G1216" s="1419"/>
      <c r="H1216" s="160"/>
    </row>
    <row r="1217" spans="1:8" ht="15.75" customHeight="1">
      <c r="A1217" s="168"/>
      <c r="B1217" s="169"/>
      <c r="C1217" s="159"/>
      <c r="D1217" s="159"/>
      <c r="E1217" s="186"/>
      <c r="F1217" s="1418"/>
      <c r="G1217" s="1419"/>
      <c r="H1217" s="160"/>
    </row>
    <row r="1218" spans="1:8" ht="15.75" customHeight="1">
      <c r="A1218" s="168"/>
      <c r="B1218" s="169"/>
      <c r="C1218" s="159"/>
      <c r="D1218" s="159"/>
      <c r="E1218" s="186"/>
      <c r="F1218" s="1418"/>
      <c r="G1218" s="1419"/>
      <c r="H1218" s="160"/>
    </row>
    <row r="1219" spans="1:8" ht="15.75" customHeight="1">
      <c r="A1219" s="168"/>
      <c r="B1219" s="169"/>
      <c r="C1219" s="159"/>
      <c r="D1219" s="159"/>
      <c r="E1219" s="186"/>
      <c r="F1219" s="1418"/>
      <c r="G1219" s="1419"/>
      <c r="H1219" s="160"/>
    </row>
    <row r="1220" spans="1:8" ht="15.75" customHeight="1">
      <c r="A1220" s="168"/>
      <c r="B1220" s="169"/>
      <c r="C1220" s="159"/>
      <c r="D1220" s="159"/>
      <c r="E1220" s="186"/>
      <c r="F1220" s="1418"/>
      <c r="G1220" s="1419"/>
      <c r="H1220" s="160"/>
    </row>
    <row r="1221" spans="1:8" ht="15.75" customHeight="1">
      <c r="A1221" s="168"/>
      <c r="B1221" s="169"/>
      <c r="C1221" s="159"/>
      <c r="D1221" s="159"/>
      <c r="E1221" s="186"/>
      <c r="F1221" s="1418"/>
      <c r="G1221" s="1419"/>
      <c r="H1221" s="160"/>
    </row>
    <row r="1222" spans="1:8" ht="15.75" customHeight="1">
      <c r="A1222" s="168"/>
      <c r="B1222" s="169"/>
      <c r="C1222" s="159"/>
      <c r="D1222" s="159"/>
      <c r="E1222" s="186"/>
      <c r="F1222" s="1418"/>
      <c r="G1222" s="1419"/>
      <c r="H1222" s="160"/>
    </row>
    <row r="1223" spans="1:8" ht="15.75" customHeight="1">
      <c r="A1223" s="168"/>
      <c r="B1223" s="169"/>
      <c r="C1223" s="159"/>
      <c r="D1223" s="159"/>
      <c r="E1223" s="186"/>
      <c r="F1223" s="1418"/>
      <c r="G1223" s="1419"/>
      <c r="H1223" s="160"/>
    </row>
    <row r="1224" spans="1:8" ht="15.75" customHeight="1">
      <c r="A1224" s="168"/>
      <c r="B1224" s="169"/>
      <c r="C1224" s="159"/>
      <c r="D1224" s="159"/>
      <c r="E1224" s="186"/>
      <c r="F1224" s="1418"/>
      <c r="G1224" s="1419"/>
      <c r="H1224" s="160"/>
    </row>
    <row r="1225" spans="1:8" ht="15.75" customHeight="1">
      <c r="A1225" s="168"/>
      <c r="B1225" s="169"/>
      <c r="C1225" s="159"/>
      <c r="D1225" s="159"/>
      <c r="E1225" s="186"/>
      <c r="F1225" s="1418"/>
      <c r="G1225" s="1419"/>
      <c r="H1225" s="160"/>
    </row>
    <row r="1226" spans="1:8" ht="15.75" customHeight="1">
      <c r="A1226" s="168"/>
      <c r="B1226" s="169"/>
      <c r="C1226" s="159"/>
      <c r="D1226" s="159"/>
      <c r="E1226" s="186"/>
      <c r="F1226" s="1418"/>
      <c r="G1226" s="1419"/>
      <c r="H1226" s="160"/>
    </row>
    <row r="1227" spans="1:8" ht="15.75" customHeight="1">
      <c r="A1227" s="168"/>
      <c r="B1227" s="169"/>
      <c r="C1227" s="159"/>
      <c r="D1227" s="159"/>
      <c r="E1227" s="186"/>
      <c r="F1227" s="1418"/>
      <c r="G1227" s="1419"/>
      <c r="H1227" s="160"/>
    </row>
    <row r="1228" spans="1:8" ht="15.75" customHeight="1">
      <c r="A1228" s="168"/>
      <c r="B1228" s="169"/>
      <c r="C1228" s="159"/>
      <c r="D1228" s="159"/>
      <c r="E1228" s="186"/>
      <c r="F1228" s="1418"/>
      <c r="G1228" s="1419"/>
      <c r="H1228" s="160"/>
    </row>
    <row r="1229" spans="1:8" ht="15.75" customHeight="1">
      <c r="A1229" s="168"/>
      <c r="B1229" s="169"/>
      <c r="C1229" s="159"/>
      <c r="D1229" s="159"/>
      <c r="E1229" s="186"/>
      <c r="F1229" s="1418"/>
      <c r="G1229" s="1419"/>
      <c r="H1229" s="160"/>
    </row>
    <row r="1230" spans="1:8" ht="15.75" customHeight="1">
      <c r="A1230" s="168"/>
      <c r="B1230" s="169"/>
      <c r="C1230" s="159"/>
      <c r="D1230" s="159"/>
      <c r="E1230" s="186"/>
      <c r="F1230" s="1418"/>
      <c r="G1230" s="1419"/>
      <c r="H1230" s="160"/>
    </row>
    <row r="1231" spans="1:8" ht="15.75" customHeight="1">
      <c r="A1231" s="168"/>
      <c r="B1231" s="169"/>
      <c r="C1231" s="159"/>
      <c r="D1231" s="159"/>
      <c r="E1231" s="186"/>
      <c r="F1231" s="1418"/>
      <c r="G1231" s="1419"/>
      <c r="H1231" s="160"/>
    </row>
    <row r="1232" spans="1:8" ht="15.75" customHeight="1">
      <c r="A1232" s="168"/>
      <c r="B1232" s="169"/>
      <c r="C1232" s="159"/>
      <c r="D1232" s="159"/>
      <c r="E1232" s="186"/>
      <c r="F1232" s="1418"/>
      <c r="G1232" s="1419"/>
      <c r="H1232" s="160"/>
    </row>
    <row r="1233" spans="1:8" ht="15.75" customHeight="1">
      <c r="A1233" s="168"/>
      <c r="B1233" s="169"/>
      <c r="C1233" s="159"/>
      <c r="D1233" s="159"/>
      <c r="E1233" s="186"/>
      <c r="F1233" s="1418"/>
      <c r="G1233" s="1419"/>
      <c r="H1233" s="160"/>
    </row>
    <row r="1234" spans="1:8" ht="15.75" customHeight="1">
      <c r="A1234" s="168"/>
      <c r="B1234" s="169"/>
      <c r="C1234" s="159"/>
      <c r="D1234" s="159"/>
      <c r="E1234" s="186"/>
      <c r="F1234" s="1418"/>
      <c r="G1234" s="1419"/>
      <c r="H1234" s="160"/>
    </row>
    <row r="1235" spans="1:8" ht="15.75" customHeight="1">
      <c r="A1235" s="168"/>
      <c r="B1235" s="169"/>
      <c r="C1235" s="159"/>
      <c r="D1235" s="159"/>
      <c r="E1235" s="186"/>
      <c r="F1235" s="1418"/>
      <c r="G1235" s="1419"/>
      <c r="H1235" s="160"/>
    </row>
    <row r="1236" spans="1:8" ht="15.75" customHeight="1">
      <c r="A1236" s="168"/>
      <c r="B1236" s="169"/>
      <c r="C1236" s="159"/>
      <c r="D1236" s="159"/>
      <c r="E1236" s="186"/>
      <c r="F1236" s="1418"/>
      <c r="G1236" s="1419"/>
      <c r="H1236" s="160"/>
    </row>
    <row r="1237" spans="1:8" ht="15.75" customHeight="1">
      <c r="A1237" s="168"/>
      <c r="B1237" s="169"/>
      <c r="C1237" s="159"/>
      <c r="D1237" s="159"/>
      <c r="E1237" s="186"/>
      <c r="F1237" s="1418"/>
      <c r="G1237" s="1419"/>
      <c r="H1237" s="160"/>
    </row>
    <row r="1238" spans="1:8" ht="15.75" customHeight="1">
      <c r="A1238" s="168"/>
      <c r="B1238" s="169"/>
      <c r="C1238" s="159"/>
      <c r="D1238" s="159"/>
      <c r="E1238" s="186"/>
      <c r="F1238" s="1418"/>
      <c r="G1238" s="1419"/>
      <c r="H1238" s="160"/>
    </row>
    <row r="1239" spans="1:8" ht="15.75" customHeight="1">
      <c r="A1239" s="168"/>
      <c r="B1239" s="169"/>
      <c r="C1239" s="159"/>
      <c r="D1239" s="159"/>
      <c r="E1239" s="186"/>
      <c r="F1239" s="1418"/>
      <c r="G1239" s="1419"/>
      <c r="H1239" s="160"/>
    </row>
    <row r="1240" spans="1:8" ht="15.75" customHeight="1">
      <c r="A1240" s="168"/>
      <c r="B1240" s="169"/>
      <c r="C1240" s="159"/>
      <c r="D1240" s="159"/>
      <c r="E1240" s="186"/>
      <c r="F1240" s="1418"/>
      <c r="G1240" s="1419"/>
      <c r="H1240" s="160"/>
    </row>
    <row r="1241" spans="1:8" ht="15.75" customHeight="1">
      <c r="A1241" s="168"/>
      <c r="B1241" s="169"/>
      <c r="C1241" s="159"/>
      <c r="D1241" s="159"/>
      <c r="E1241" s="186"/>
      <c r="F1241" s="1418"/>
      <c r="G1241" s="1419"/>
      <c r="H1241" s="160"/>
    </row>
    <row r="1242" spans="1:8" ht="15.75" customHeight="1">
      <c r="A1242" s="168"/>
      <c r="B1242" s="169"/>
      <c r="C1242" s="159"/>
      <c r="D1242" s="159"/>
      <c r="E1242" s="186"/>
      <c r="F1242" s="1418"/>
      <c r="G1242" s="1419"/>
      <c r="H1242" s="160"/>
    </row>
    <row r="1243" spans="1:8" ht="15.75" customHeight="1">
      <c r="A1243" s="168"/>
      <c r="B1243" s="169"/>
      <c r="C1243" s="159"/>
      <c r="D1243" s="159"/>
      <c r="E1243" s="186"/>
      <c r="F1243" s="1418"/>
      <c r="G1243" s="1419"/>
      <c r="H1243" s="160"/>
    </row>
    <row r="1244" spans="1:8" ht="15.75" customHeight="1">
      <c r="A1244" s="168"/>
      <c r="B1244" s="169"/>
      <c r="C1244" s="159"/>
      <c r="D1244" s="159"/>
      <c r="E1244" s="186"/>
      <c r="F1244" s="1418"/>
      <c r="G1244" s="1419"/>
      <c r="H1244" s="160"/>
    </row>
    <row r="1245" spans="1:8" ht="15.75" customHeight="1">
      <c r="A1245" s="168"/>
      <c r="B1245" s="169"/>
      <c r="C1245" s="159"/>
      <c r="D1245" s="159"/>
      <c r="E1245" s="186"/>
      <c r="F1245" s="1418"/>
      <c r="G1245" s="1419"/>
      <c r="H1245" s="160"/>
    </row>
    <row r="1246" spans="1:8" ht="15.75" customHeight="1">
      <c r="A1246" s="168"/>
      <c r="B1246" s="169"/>
      <c r="C1246" s="159"/>
      <c r="D1246" s="159"/>
      <c r="E1246" s="186"/>
      <c r="F1246" s="1418"/>
      <c r="G1246" s="1419"/>
      <c r="H1246" s="160"/>
    </row>
    <row r="1247" spans="1:8" ht="15.75" customHeight="1">
      <c r="A1247" s="168"/>
      <c r="B1247" s="169"/>
      <c r="C1247" s="159"/>
      <c r="D1247" s="159"/>
      <c r="E1247" s="186"/>
      <c r="F1247" s="1418"/>
      <c r="G1247" s="1419"/>
      <c r="H1247" s="160"/>
    </row>
    <row r="1248" spans="1:8" ht="15.75" customHeight="1">
      <c r="A1248" s="168"/>
      <c r="B1248" s="169"/>
      <c r="C1248" s="159"/>
      <c r="D1248" s="159"/>
      <c r="E1248" s="186"/>
      <c r="F1248" s="1418"/>
      <c r="G1248" s="1419"/>
      <c r="H1248" s="160"/>
    </row>
    <row r="1249" spans="1:8" ht="15.75" customHeight="1">
      <c r="A1249" s="168"/>
      <c r="B1249" s="169"/>
      <c r="C1249" s="159"/>
      <c r="D1249" s="159"/>
      <c r="E1249" s="186"/>
      <c r="F1249" s="1418"/>
      <c r="G1249" s="1419"/>
      <c r="H1249" s="160"/>
    </row>
    <row r="1250" spans="1:8" ht="15.75" customHeight="1">
      <c r="A1250" s="168"/>
      <c r="B1250" s="169"/>
      <c r="C1250" s="159"/>
      <c r="D1250" s="159"/>
      <c r="E1250" s="186"/>
      <c r="F1250" s="1418"/>
      <c r="G1250" s="1419"/>
      <c r="H1250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InputMessage="1" showErrorMessage="1" sqref="D957" xr:uid="{BAF27795-1353-4CE5-A8FC-6290334B9472}">
      <formula1>$K$2:$K$168</formula1>
    </dataValidation>
    <dataValidation type="list" allowBlank="1" showErrorMessage="1" sqref="C2:C1108" xr:uid="{00000000-0002-0000-0800-000000000000}">
      <formula1>$I$1:$I$11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U475" activePane="bottomRight" state="frozen"/>
      <selection sqref="A1:XFD1048576"/>
      <selection pane="topRight" sqref="A1:XFD1048576"/>
      <selection pane="bottomLeft" sqref="A1:XFD1048576"/>
      <selection pane="bottomRight" activeCell="W236" sqref="W236:AO236"/>
    </sheetView>
  </sheetViews>
  <sheetFormatPr baseColWidth="10" defaultColWidth="11" defaultRowHeight="15"/>
  <cols>
    <col min="1" max="1" width="56.1640625" style="529" customWidth="1"/>
    <col min="2" max="2" width="34.6640625" style="505" customWidth="1"/>
    <col min="3" max="3" width="16.6640625" style="505" customWidth="1"/>
    <col min="4" max="4" width="17.1640625" style="505" bestFit="1" customWidth="1"/>
    <col min="5" max="5" width="17.33203125" style="505" bestFit="1" customWidth="1"/>
    <col min="6" max="6" width="16.6640625" style="505" customWidth="1"/>
    <col min="7" max="7" width="14.5" style="505" customWidth="1"/>
    <col min="8" max="8" width="15.83203125" style="505" customWidth="1"/>
    <col min="9" max="9" width="16.6640625" style="505" customWidth="1"/>
    <col min="10" max="10" width="14.5" style="505" customWidth="1"/>
    <col min="11" max="11" width="15.83203125" style="505" customWidth="1"/>
    <col min="12" max="12" width="16.6640625" style="505" customWidth="1"/>
    <col min="13" max="13" width="14.5" style="505" customWidth="1"/>
    <col min="14" max="14" width="15.83203125" style="505" customWidth="1"/>
    <col min="15" max="15" width="16.6640625" style="505" customWidth="1"/>
    <col min="16" max="16" width="14.5" style="505" customWidth="1"/>
    <col min="17" max="17" width="15.83203125" style="505" customWidth="1"/>
    <col min="18" max="18" width="16.6640625" style="505" customWidth="1"/>
    <col min="19" max="19" width="14.5" style="505" customWidth="1"/>
    <col min="20" max="20" width="15.83203125" style="505" customWidth="1"/>
    <col min="21" max="21" width="16.6640625" style="505" customWidth="1"/>
    <col min="22" max="22" width="14.5" style="505" customWidth="1"/>
    <col min="23" max="23" width="15.83203125" style="505" customWidth="1"/>
    <col min="24" max="24" width="16.6640625" style="505" customWidth="1"/>
    <col min="25" max="25" width="14.5" style="505" customWidth="1"/>
    <col min="26" max="26" width="15.83203125" style="505" customWidth="1"/>
    <col min="27" max="27" width="16.6640625" style="505" customWidth="1"/>
    <col min="28" max="28" width="14.5" style="505" customWidth="1"/>
    <col min="29" max="29" width="15.83203125" style="505" customWidth="1"/>
    <col min="30" max="30" width="16.6640625" style="505" customWidth="1"/>
    <col min="31" max="31" width="14.5" style="505" customWidth="1"/>
    <col min="32" max="32" width="15.83203125" style="505" customWidth="1"/>
    <col min="33" max="33" width="16.6640625" style="505" customWidth="1"/>
    <col min="34" max="34" width="14.5" style="505" customWidth="1"/>
    <col min="35" max="35" width="15.83203125" style="505" customWidth="1"/>
    <col min="36" max="36" width="16.6640625" style="505" customWidth="1"/>
    <col min="37" max="37" width="14.5" style="505" customWidth="1"/>
    <col min="38" max="38" width="15.83203125" style="505" customWidth="1"/>
    <col min="39" max="39" width="16.6640625" style="505" customWidth="1"/>
    <col min="40" max="40" width="14.5" style="505" customWidth="1"/>
    <col min="41" max="41" width="15.83203125" style="505" customWidth="1"/>
    <col min="42" max="228" width="11" style="505"/>
    <col min="229" max="229" width="32.6640625" style="505" customWidth="1"/>
    <col min="230" max="230" width="14.5" style="505" customWidth="1"/>
    <col min="231" max="231" width="15.6640625" style="505" bestFit="1" customWidth="1"/>
    <col min="232" max="232" width="15.5" style="505" customWidth="1"/>
    <col min="233" max="233" width="15.6640625" style="505" customWidth="1"/>
    <col min="234" max="234" width="15.6640625" style="505" bestFit="1" customWidth="1"/>
    <col min="235" max="235" width="15.83203125" style="505" customWidth="1"/>
    <col min="236" max="236" width="14.83203125" style="505" customWidth="1"/>
    <col min="237" max="237" width="14.5" style="505" customWidth="1"/>
    <col min="238" max="238" width="15.83203125" style="505" customWidth="1"/>
    <col min="239" max="239" width="12" style="505" bestFit="1" customWidth="1"/>
    <col min="240" max="240" width="18.6640625" style="505" customWidth="1"/>
    <col min="241" max="241" width="15.1640625" style="505" customWidth="1"/>
    <col min="242" max="242" width="15.6640625" style="505" bestFit="1" customWidth="1"/>
    <col min="243" max="243" width="16.33203125" style="505" customWidth="1"/>
    <col min="244" max="244" width="13.83203125" style="505" customWidth="1"/>
    <col min="245" max="245" width="18.6640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3203125" style="505" customWidth="1"/>
    <col min="250" max="250" width="10.83203125" style="505" customWidth="1"/>
    <col min="251" max="251" width="10" style="505" customWidth="1"/>
    <col min="252" max="252" width="17.33203125" style="505" customWidth="1"/>
    <col min="253" max="253" width="10.83203125" style="505" customWidth="1"/>
    <col min="254" max="254" width="10" style="505" customWidth="1"/>
    <col min="255" max="255" width="16.1640625" style="505" customWidth="1"/>
    <col min="256" max="256" width="10.83203125" style="505" customWidth="1"/>
    <col min="257" max="257" width="12" style="505" customWidth="1"/>
    <col min="258" max="258" width="18.83203125" style="505" customWidth="1"/>
    <col min="259" max="259" width="10.83203125" style="505" customWidth="1"/>
    <col min="260" max="260" width="16.1640625" style="505" bestFit="1" customWidth="1"/>
    <col min="261" max="261" width="12.33203125" style="505" bestFit="1" customWidth="1"/>
    <col min="262" max="262" width="10.83203125" style="505" customWidth="1"/>
    <col min="263" max="263" width="10" style="505" customWidth="1"/>
    <col min="264" max="264" width="17.5" style="505" customWidth="1"/>
    <col min="265" max="265" width="10.83203125" style="505" customWidth="1"/>
    <col min="266" max="266" width="16" style="505" customWidth="1"/>
    <col min="267" max="267" width="12.33203125" style="505" bestFit="1" customWidth="1"/>
    <col min="268" max="484" width="11" style="505"/>
    <col min="485" max="485" width="32.6640625" style="505" customWidth="1"/>
    <col min="486" max="486" width="14.5" style="505" customWidth="1"/>
    <col min="487" max="487" width="15.6640625" style="505" bestFit="1" customWidth="1"/>
    <col min="488" max="488" width="15.5" style="505" customWidth="1"/>
    <col min="489" max="489" width="15.6640625" style="505" customWidth="1"/>
    <col min="490" max="490" width="15.6640625" style="505" bestFit="1" customWidth="1"/>
    <col min="491" max="491" width="15.83203125" style="505" customWidth="1"/>
    <col min="492" max="492" width="14.83203125" style="505" customWidth="1"/>
    <col min="493" max="493" width="14.5" style="505" customWidth="1"/>
    <col min="494" max="494" width="15.83203125" style="505" customWidth="1"/>
    <col min="495" max="495" width="12" style="505" bestFit="1" customWidth="1"/>
    <col min="496" max="496" width="18.6640625" style="505" customWidth="1"/>
    <col min="497" max="497" width="15.1640625" style="505" customWidth="1"/>
    <col min="498" max="498" width="15.6640625" style="505" bestFit="1" customWidth="1"/>
    <col min="499" max="499" width="16.33203125" style="505" customWidth="1"/>
    <col min="500" max="500" width="13.83203125" style="505" customWidth="1"/>
    <col min="501" max="501" width="18.6640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3203125" style="505" customWidth="1"/>
    <col min="506" max="506" width="10.83203125" style="505" customWidth="1"/>
    <col min="507" max="507" width="10" style="505" customWidth="1"/>
    <col min="508" max="508" width="17.33203125" style="505" customWidth="1"/>
    <col min="509" max="509" width="10.83203125" style="505" customWidth="1"/>
    <col min="510" max="510" width="10" style="505" customWidth="1"/>
    <col min="511" max="511" width="16.1640625" style="505" customWidth="1"/>
    <col min="512" max="512" width="10.83203125" style="505" customWidth="1"/>
    <col min="513" max="513" width="12" style="505" customWidth="1"/>
    <col min="514" max="514" width="18.83203125" style="505" customWidth="1"/>
    <col min="515" max="515" width="10.83203125" style="505" customWidth="1"/>
    <col min="516" max="516" width="16.1640625" style="505" bestFit="1" customWidth="1"/>
    <col min="517" max="517" width="12.33203125" style="505" bestFit="1" customWidth="1"/>
    <col min="518" max="518" width="10.83203125" style="505" customWidth="1"/>
    <col min="519" max="519" width="10" style="505" customWidth="1"/>
    <col min="520" max="520" width="17.5" style="505" customWidth="1"/>
    <col min="521" max="521" width="10.83203125" style="505" customWidth="1"/>
    <col min="522" max="522" width="16" style="505" customWidth="1"/>
    <col min="523" max="523" width="12.33203125" style="505" bestFit="1" customWidth="1"/>
    <col min="524" max="740" width="11" style="505"/>
    <col min="741" max="741" width="32.6640625" style="505" customWidth="1"/>
    <col min="742" max="742" width="14.5" style="505" customWidth="1"/>
    <col min="743" max="743" width="15.6640625" style="505" bestFit="1" customWidth="1"/>
    <col min="744" max="744" width="15.5" style="505" customWidth="1"/>
    <col min="745" max="745" width="15.6640625" style="505" customWidth="1"/>
    <col min="746" max="746" width="15.6640625" style="505" bestFit="1" customWidth="1"/>
    <col min="747" max="747" width="15.83203125" style="505" customWidth="1"/>
    <col min="748" max="748" width="14.83203125" style="505" customWidth="1"/>
    <col min="749" max="749" width="14.5" style="505" customWidth="1"/>
    <col min="750" max="750" width="15.83203125" style="505" customWidth="1"/>
    <col min="751" max="751" width="12" style="505" bestFit="1" customWidth="1"/>
    <col min="752" max="752" width="18.6640625" style="505" customWidth="1"/>
    <col min="753" max="753" width="15.1640625" style="505" customWidth="1"/>
    <col min="754" max="754" width="15.6640625" style="505" bestFit="1" customWidth="1"/>
    <col min="755" max="755" width="16.33203125" style="505" customWidth="1"/>
    <col min="756" max="756" width="13.83203125" style="505" customWidth="1"/>
    <col min="757" max="757" width="18.6640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3203125" style="505" customWidth="1"/>
    <col min="762" max="762" width="10.83203125" style="505" customWidth="1"/>
    <col min="763" max="763" width="10" style="505" customWidth="1"/>
    <col min="764" max="764" width="17.33203125" style="505" customWidth="1"/>
    <col min="765" max="765" width="10.83203125" style="505" customWidth="1"/>
    <col min="766" max="766" width="10" style="505" customWidth="1"/>
    <col min="767" max="767" width="16.1640625" style="505" customWidth="1"/>
    <col min="768" max="768" width="10.83203125" style="505" customWidth="1"/>
    <col min="769" max="769" width="12" style="505" customWidth="1"/>
    <col min="770" max="770" width="18.83203125" style="505" customWidth="1"/>
    <col min="771" max="771" width="10.83203125" style="505" customWidth="1"/>
    <col min="772" max="772" width="16.1640625" style="505" bestFit="1" customWidth="1"/>
    <col min="773" max="773" width="12.33203125" style="505" bestFit="1" customWidth="1"/>
    <col min="774" max="774" width="10.83203125" style="505" customWidth="1"/>
    <col min="775" max="775" width="10" style="505" customWidth="1"/>
    <col min="776" max="776" width="17.5" style="505" customWidth="1"/>
    <col min="777" max="777" width="10.83203125" style="505" customWidth="1"/>
    <col min="778" max="778" width="16" style="505" customWidth="1"/>
    <col min="779" max="779" width="12.33203125" style="505" bestFit="1" customWidth="1"/>
    <col min="780" max="996" width="11" style="505"/>
    <col min="997" max="997" width="32.6640625" style="505" customWidth="1"/>
    <col min="998" max="998" width="14.5" style="505" customWidth="1"/>
    <col min="999" max="999" width="15.6640625" style="505" bestFit="1" customWidth="1"/>
    <col min="1000" max="1000" width="15.5" style="505" customWidth="1"/>
    <col min="1001" max="1001" width="15.6640625" style="505" customWidth="1"/>
    <col min="1002" max="1002" width="15.6640625" style="505" bestFit="1" customWidth="1"/>
    <col min="1003" max="1003" width="15.83203125" style="505" customWidth="1"/>
    <col min="1004" max="1004" width="14.83203125" style="505" customWidth="1"/>
    <col min="1005" max="1005" width="14.5" style="505" customWidth="1"/>
    <col min="1006" max="1006" width="15.83203125" style="505" customWidth="1"/>
    <col min="1007" max="1007" width="12" style="505" bestFit="1" customWidth="1"/>
    <col min="1008" max="1008" width="18.6640625" style="505" customWidth="1"/>
    <col min="1009" max="1009" width="15.1640625" style="505" customWidth="1"/>
    <col min="1010" max="1010" width="15.6640625" style="505" bestFit="1" customWidth="1"/>
    <col min="1011" max="1011" width="16.33203125" style="505" customWidth="1"/>
    <col min="1012" max="1012" width="13.83203125" style="505" customWidth="1"/>
    <col min="1013" max="1013" width="18.6640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3203125" style="505" customWidth="1"/>
    <col min="1018" max="1018" width="10.83203125" style="505" customWidth="1"/>
    <col min="1019" max="1019" width="10" style="505" customWidth="1"/>
    <col min="1020" max="1020" width="17.33203125" style="505" customWidth="1"/>
    <col min="1021" max="1021" width="10.83203125" style="505" customWidth="1"/>
    <col min="1022" max="1022" width="10" style="505" customWidth="1"/>
    <col min="1023" max="1023" width="16.1640625" style="505" customWidth="1"/>
    <col min="1024" max="1024" width="10.83203125" style="505" customWidth="1"/>
    <col min="1025" max="1025" width="12" style="505" customWidth="1"/>
    <col min="1026" max="1026" width="18.83203125" style="505" customWidth="1"/>
    <col min="1027" max="1027" width="10.83203125" style="505" customWidth="1"/>
    <col min="1028" max="1028" width="16.1640625" style="505" bestFit="1" customWidth="1"/>
    <col min="1029" max="1029" width="12.33203125" style="505" bestFit="1" customWidth="1"/>
    <col min="1030" max="1030" width="10.83203125" style="505" customWidth="1"/>
    <col min="1031" max="1031" width="10" style="505" customWidth="1"/>
    <col min="1032" max="1032" width="17.5" style="505" customWidth="1"/>
    <col min="1033" max="1033" width="10.83203125" style="505" customWidth="1"/>
    <col min="1034" max="1034" width="16" style="505" customWidth="1"/>
    <col min="1035" max="1035" width="12.33203125" style="505" bestFit="1" customWidth="1"/>
    <col min="1036" max="1252" width="11" style="505"/>
    <col min="1253" max="1253" width="32.6640625" style="505" customWidth="1"/>
    <col min="1254" max="1254" width="14.5" style="505" customWidth="1"/>
    <col min="1255" max="1255" width="15.6640625" style="505" bestFit="1" customWidth="1"/>
    <col min="1256" max="1256" width="15.5" style="505" customWidth="1"/>
    <col min="1257" max="1257" width="15.6640625" style="505" customWidth="1"/>
    <col min="1258" max="1258" width="15.6640625" style="505" bestFit="1" customWidth="1"/>
    <col min="1259" max="1259" width="15.83203125" style="505" customWidth="1"/>
    <col min="1260" max="1260" width="14.83203125" style="505" customWidth="1"/>
    <col min="1261" max="1261" width="14.5" style="505" customWidth="1"/>
    <col min="1262" max="1262" width="15.83203125" style="505" customWidth="1"/>
    <col min="1263" max="1263" width="12" style="505" bestFit="1" customWidth="1"/>
    <col min="1264" max="1264" width="18.6640625" style="505" customWidth="1"/>
    <col min="1265" max="1265" width="15.1640625" style="505" customWidth="1"/>
    <col min="1266" max="1266" width="15.6640625" style="505" bestFit="1" customWidth="1"/>
    <col min="1267" max="1267" width="16.33203125" style="505" customWidth="1"/>
    <col min="1268" max="1268" width="13.83203125" style="505" customWidth="1"/>
    <col min="1269" max="1269" width="18.6640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3203125" style="505" customWidth="1"/>
    <col min="1274" max="1274" width="10.83203125" style="505" customWidth="1"/>
    <col min="1275" max="1275" width="10" style="505" customWidth="1"/>
    <col min="1276" max="1276" width="17.33203125" style="505" customWidth="1"/>
    <col min="1277" max="1277" width="10.83203125" style="505" customWidth="1"/>
    <col min="1278" max="1278" width="10" style="505" customWidth="1"/>
    <col min="1279" max="1279" width="16.1640625" style="505" customWidth="1"/>
    <col min="1280" max="1280" width="10.83203125" style="505" customWidth="1"/>
    <col min="1281" max="1281" width="12" style="505" customWidth="1"/>
    <col min="1282" max="1282" width="18.83203125" style="505" customWidth="1"/>
    <col min="1283" max="1283" width="10.83203125" style="505" customWidth="1"/>
    <col min="1284" max="1284" width="16.1640625" style="505" bestFit="1" customWidth="1"/>
    <col min="1285" max="1285" width="12.33203125" style="505" bestFit="1" customWidth="1"/>
    <col min="1286" max="1286" width="10.83203125" style="505" customWidth="1"/>
    <col min="1287" max="1287" width="10" style="505" customWidth="1"/>
    <col min="1288" max="1288" width="17.5" style="505" customWidth="1"/>
    <col min="1289" max="1289" width="10.83203125" style="505" customWidth="1"/>
    <col min="1290" max="1290" width="16" style="505" customWidth="1"/>
    <col min="1291" max="1291" width="12.33203125" style="505" bestFit="1" customWidth="1"/>
    <col min="1292" max="1508" width="11" style="505"/>
    <col min="1509" max="1509" width="32.6640625" style="505" customWidth="1"/>
    <col min="1510" max="1510" width="14.5" style="505" customWidth="1"/>
    <col min="1511" max="1511" width="15.6640625" style="505" bestFit="1" customWidth="1"/>
    <col min="1512" max="1512" width="15.5" style="505" customWidth="1"/>
    <col min="1513" max="1513" width="15.6640625" style="505" customWidth="1"/>
    <col min="1514" max="1514" width="15.6640625" style="505" bestFit="1" customWidth="1"/>
    <col min="1515" max="1515" width="15.83203125" style="505" customWidth="1"/>
    <col min="1516" max="1516" width="14.83203125" style="505" customWidth="1"/>
    <col min="1517" max="1517" width="14.5" style="505" customWidth="1"/>
    <col min="1518" max="1518" width="15.83203125" style="505" customWidth="1"/>
    <col min="1519" max="1519" width="12" style="505" bestFit="1" customWidth="1"/>
    <col min="1520" max="1520" width="18.6640625" style="505" customWidth="1"/>
    <col min="1521" max="1521" width="15.1640625" style="505" customWidth="1"/>
    <col min="1522" max="1522" width="15.6640625" style="505" bestFit="1" customWidth="1"/>
    <col min="1523" max="1523" width="16.33203125" style="505" customWidth="1"/>
    <col min="1524" max="1524" width="13.83203125" style="505" customWidth="1"/>
    <col min="1525" max="1525" width="18.6640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3203125" style="505" customWidth="1"/>
    <col min="1530" max="1530" width="10.83203125" style="505" customWidth="1"/>
    <col min="1531" max="1531" width="10" style="505" customWidth="1"/>
    <col min="1532" max="1532" width="17.33203125" style="505" customWidth="1"/>
    <col min="1533" max="1533" width="10.83203125" style="505" customWidth="1"/>
    <col min="1534" max="1534" width="10" style="505" customWidth="1"/>
    <col min="1535" max="1535" width="16.1640625" style="505" customWidth="1"/>
    <col min="1536" max="1536" width="10.83203125" style="505" customWidth="1"/>
    <col min="1537" max="1537" width="12" style="505" customWidth="1"/>
    <col min="1538" max="1538" width="18.83203125" style="505" customWidth="1"/>
    <col min="1539" max="1539" width="10.83203125" style="505" customWidth="1"/>
    <col min="1540" max="1540" width="16.1640625" style="505" bestFit="1" customWidth="1"/>
    <col min="1541" max="1541" width="12.33203125" style="505" bestFit="1" customWidth="1"/>
    <col min="1542" max="1542" width="10.83203125" style="505" customWidth="1"/>
    <col min="1543" max="1543" width="10" style="505" customWidth="1"/>
    <col min="1544" max="1544" width="17.5" style="505" customWidth="1"/>
    <col min="1545" max="1545" width="10.83203125" style="505" customWidth="1"/>
    <col min="1546" max="1546" width="16" style="505" customWidth="1"/>
    <col min="1547" max="1547" width="12.33203125" style="505" bestFit="1" customWidth="1"/>
    <col min="1548" max="1764" width="11" style="505"/>
    <col min="1765" max="1765" width="32.6640625" style="505" customWidth="1"/>
    <col min="1766" max="1766" width="14.5" style="505" customWidth="1"/>
    <col min="1767" max="1767" width="15.6640625" style="505" bestFit="1" customWidth="1"/>
    <col min="1768" max="1768" width="15.5" style="505" customWidth="1"/>
    <col min="1769" max="1769" width="15.6640625" style="505" customWidth="1"/>
    <col min="1770" max="1770" width="15.6640625" style="505" bestFit="1" customWidth="1"/>
    <col min="1771" max="1771" width="15.83203125" style="505" customWidth="1"/>
    <col min="1772" max="1772" width="14.83203125" style="505" customWidth="1"/>
    <col min="1773" max="1773" width="14.5" style="505" customWidth="1"/>
    <col min="1774" max="1774" width="15.83203125" style="505" customWidth="1"/>
    <col min="1775" max="1775" width="12" style="505" bestFit="1" customWidth="1"/>
    <col min="1776" max="1776" width="18.6640625" style="505" customWidth="1"/>
    <col min="1777" max="1777" width="15.1640625" style="505" customWidth="1"/>
    <col min="1778" max="1778" width="15.6640625" style="505" bestFit="1" customWidth="1"/>
    <col min="1779" max="1779" width="16.33203125" style="505" customWidth="1"/>
    <col min="1780" max="1780" width="13.83203125" style="505" customWidth="1"/>
    <col min="1781" max="1781" width="18.6640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3203125" style="505" customWidth="1"/>
    <col min="1786" max="1786" width="10.83203125" style="505" customWidth="1"/>
    <col min="1787" max="1787" width="10" style="505" customWidth="1"/>
    <col min="1788" max="1788" width="17.33203125" style="505" customWidth="1"/>
    <col min="1789" max="1789" width="10.83203125" style="505" customWidth="1"/>
    <col min="1790" max="1790" width="10" style="505" customWidth="1"/>
    <col min="1791" max="1791" width="16.1640625" style="505" customWidth="1"/>
    <col min="1792" max="1792" width="10.83203125" style="505" customWidth="1"/>
    <col min="1793" max="1793" width="12" style="505" customWidth="1"/>
    <col min="1794" max="1794" width="18.83203125" style="505" customWidth="1"/>
    <col min="1795" max="1795" width="10.83203125" style="505" customWidth="1"/>
    <col min="1796" max="1796" width="16.1640625" style="505" bestFit="1" customWidth="1"/>
    <col min="1797" max="1797" width="12.33203125" style="505" bestFit="1" customWidth="1"/>
    <col min="1798" max="1798" width="10.83203125" style="505" customWidth="1"/>
    <col min="1799" max="1799" width="10" style="505" customWidth="1"/>
    <col min="1800" max="1800" width="17.5" style="505" customWidth="1"/>
    <col min="1801" max="1801" width="10.83203125" style="505" customWidth="1"/>
    <col min="1802" max="1802" width="16" style="505" customWidth="1"/>
    <col min="1803" max="1803" width="12.33203125" style="505" bestFit="1" customWidth="1"/>
    <col min="1804" max="2020" width="11" style="505"/>
    <col min="2021" max="2021" width="32.6640625" style="505" customWidth="1"/>
    <col min="2022" max="2022" width="14.5" style="505" customWidth="1"/>
    <col min="2023" max="2023" width="15.6640625" style="505" bestFit="1" customWidth="1"/>
    <col min="2024" max="2024" width="15.5" style="505" customWidth="1"/>
    <col min="2025" max="2025" width="15.6640625" style="505" customWidth="1"/>
    <col min="2026" max="2026" width="15.6640625" style="505" bestFit="1" customWidth="1"/>
    <col min="2027" max="2027" width="15.83203125" style="505" customWidth="1"/>
    <col min="2028" max="2028" width="14.83203125" style="505" customWidth="1"/>
    <col min="2029" max="2029" width="14.5" style="505" customWidth="1"/>
    <col min="2030" max="2030" width="15.83203125" style="505" customWidth="1"/>
    <col min="2031" max="2031" width="12" style="505" bestFit="1" customWidth="1"/>
    <col min="2032" max="2032" width="18.6640625" style="505" customWidth="1"/>
    <col min="2033" max="2033" width="15.1640625" style="505" customWidth="1"/>
    <col min="2034" max="2034" width="15.6640625" style="505" bestFit="1" customWidth="1"/>
    <col min="2035" max="2035" width="16.33203125" style="505" customWidth="1"/>
    <col min="2036" max="2036" width="13.83203125" style="505" customWidth="1"/>
    <col min="2037" max="2037" width="18.6640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3203125" style="505" customWidth="1"/>
    <col min="2042" max="2042" width="10.83203125" style="505" customWidth="1"/>
    <col min="2043" max="2043" width="10" style="505" customWidth="1"/>
    <col min="2044" max="2044" width="17.33203125" style="505" customWidth="1"/>
    <col min="2045" max="2045" width="10.83203125" style="505" customWidth="1"/>
    <col min="2046" max="2046" width="10" style="505" customWidth="1"/>
    <col min="2047" max="2047" width="16.1640625" style="505" customWidth="1"/>
    <col min="2048" max="2048" width="10.83203125" style="505" customWidth="1"/>
    <col min="2049" max="2049" width="12" style="505" customWidth="1"/>
    <col min="2050" max="2050" width="18.83203125" style="505" customWidth="1"/>
    <col min="2051" max="2051" width="10.83203125" style="505" customWidth="1"/>
    <col min="2052" max="2052" width="16.1640625" style="505" bestFit="1" customWidth="1"/>
    <col min="2053" max="2053" width="12.33203125" style="505" bestFit="1" customWidth="1"/>
    <col min="2054" max="2054" width="10.83203125" style="505" customWidth="1"/>
    <col min="2055" max="2055" width="10" style="505" customWidth="1"/>
    <col min="2056" max="2056" width="17.5" style="505" customWidth="1"/>
    <col min="2057" max="2057" width="10.83203125" style="505" customWidth="1"/>
    <col min="2058" max="2058" width="16" style="505" customWidth="1"/>
    <col min="2059" max="2059" width="12.33203125" style="505" bestFit="1" customWidth="1"/>
    <col min="2060" max="2276" width="11" style="505"/>
    <col min="2277" max="2277" width="32.6640625" style="505" customWidth="1"/>
    <col min="2278" max="2278" width="14.5" style="505" customWidth="1"/>
    <col min="2279" max="2279" width="15.6640625" style="505" bestFit="1" customWidth="1"/>
    <col min="2280" max="2280" width="15.5" style="505" customWidth="1"/>
    <col min="2281" max="2281" width="15.6640625" style="505" customWidth="1"/>
    <col min="2282" max="2282" width="15.6640625" style="505" bestFit="1" customWidth="1"/>
    <col min="2283" max="2283" width="15.83203125" style="505" customWidth="1"/>
    <col min="2284" max="2284" width="14.83203125" style="505" customWidth="1"/>
    <col min="2285" max="2285" width="14.5" style="505" customWidth="1"/>
    <col min="2286" max="2286" width="15.83203125" style="505" customWidth="1"/>
    <col min="2287" max="2287" width="12" style="505" bestFit="1" customWidth="1"/>
    <col min="2288" max="2288" width="18.6640625" style="505" customWidth="1"/>
    <col min="2289" max="2289" width="15.1640625" style="505" customWidth="1"/>
    <col min="2290" max="2290" width="15.6640625" style="505" bestFit="1" customWidth="1"/>
    <col min="2291" max="2291" width="16.33203125" style="505" customWidth="1"/>
    <col min="2292" max="2292" width="13.83203125" style="505" customWidth="1"/>
    <col min="2293" max="2293" width="18.6640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3203125" style="505" customWidth="1"/>
    <col min="2298" max="2298" width="10.83203125" style="505" customWidth="1"/>
    <col min="2299" max="2299" width="10" style="505" customWidth="1"/>
    <col min="2300" max="2300" width="17.33203125" style="505" customWidth="1"/>
    <col min="2301" max="2301" width="10.83203125" style="505" customWidth="1"/>
    <col min="2302" max="2302" width="10" style="505" customWidth="1"/>
    <col min="2303" max="2303" width="16.1640625" style="505" customWidth="1"/>
    <col min="2304" max="2304" width="10.83203125" style="505" customWidth="1"/>
    <col min="2305" max="2305" width="12" style="505" customWidth="1"/>
    <col min="2306" max="2306" width="18.83203125" style="505" customWidth="1"/>
    <col min="2307" max="2307" width="10.83203125" style="505" customWidth="1"/>
    <col min="2308" max="2308" width="16.1640625" style="505" bestFit="1" customWidth="1"/>
    <col min="2309" max="2309" width="12.33203125" style="505" bestFit="1" customWidth="1"/>
    <col min="2310" max="2310" width="10.83203125" style="505" customWidth="1"/>
    <col min="2311" max="2311" width="10" style="505" customWidth="1"/>
    <col min="2312" max="2312" width="17.5" style="505" customWidth="1"/>
    <col min="2313" max="2313" width="10.83203125" style="505" customWidth="1"/>
    <col min="2314" max="2314" width="16" style="505" customWidth="1"/>
    <col min="2315" max="2315" width="12.33203125" style="505" bestFit="1" customWidth="1"/>
    <col min="2316" max="2532" width="11" style="505"/>
    <col min="2533" max="2533" width="32.6640625" style="505" customWidth="1"/>
    <col min="2534" max="2534" width="14.5" style="505" customWidth="1"/>
    <col min="2535" max="2535" width="15.6640625" style="505" bestFit="1" customWidth="1"/>
    <col min="2536" max="2536" width="15.5" style="505" customWidth="1"/>
    <col min="2537" max="2537" width="15.6640625" style="505" customWidth="1"/>
    <col min="2538" max="2538" width="15.6640625" style="505" bestFit="1" customWidth="1"/>
    <col min="2539" max="2539" width="15.83203125" style="505" customWidth="1"/>
    <col min="2540" max="2540" width="14.83203125" style="505" customWidth="1"/>
    <col min="2541" max="2541" width="14.5" style="505" customWidth="1"/>
    <col min="2542" max="2542" width="15.83203125" style="505" customWidth="1"/>
    <col min="2543" max="2543" width="12" style="505" bestFit="1" customWidth="1"/>
    <col min="2544" max="2544" width="18.6640625" style="505" customWidth="1"/>
    <col min="2545" max="2545" width="15.1640625" style="505" customWidth="1"/>
    <col min="2546" max="2546" width="15.6640625" style="505" bestFit="1" customWidth="1"/>
    <col min="2547" max="2547" width="16.33203125" style="505" customWidth="1"/>
    <col min="2548" max="2548" width="13.83203125" style="505" customWidth="1"/>
    <col min="2549" max="2549" width="18.6640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3203125" style="505" customWidth="1"/>
    <col min="2554" max="2554" width="10.83203125" style="505" customWidth="1"/>
    <col min="2555" max="2555" width="10" style="505" customWidth="1"/>
    <col min="2556" max="2556" width="17.33203125" style="505" customWidth="1"/>
    <col min="2557" max="2557" width="10.83203125" style="505" customWidth="1"/>
    <col min="2558" max="2558" width="10" style="505" customWidth="1"/>
    <col min="2559" max="2559" width="16.1640625" style="505" customWidth="1"/>
    <col min="2560" max="2560" width="10.83203125" style="505" customWidth="1"/>
    <col min="2561" max="2561" width="12" style="505" customWidth="1"/>
    <col min="2562" max="2562" width="18.83203125" style="505" customWidth="1"/>
    <col min="2563" max="2563" width="10.83203125" style="505" customWidth="1"/>
    <col min="2564" max="2564" width="16.1640625" style="505" bestFit="1" customWidth="1"/>
    <col min="2565" max="2565" width="12.33203125" style="505" bestFit="1" customWidth="1"/>
    <col min="2566" max="2566" width="10.83203125" style="505" customWidth="1"/>
    <col min="2567" max="2567" width="10" style="505" customWidth="1"/>
    <col min="2568" max="2568" width="17.5" style="505" customWidth="1"/>
    <col min="2569" max="2569" width="10.83203125" style="505" customWidth="1"/>
    <col min="2570" max="2570" width="16" style="505" customWidth="1"/>
    <col min="2571" max="2571" width="12.33203125" style="505" bestFit="1" customWidth="1"/>
    <col min="2572" max="2788" width="11" style="505"/>
    <col min="2789" max="2789" width="32.6640625" style="505" customWidth="1"/>
    <col min="2790" max="2790" width="14.5" style="505" customWidth="1"/>
    <col min="2791" max="2791" width="15.6640625" style="505" bestFit="1" customWidth="1"/>
    <col min="2792" max="2792" width="15.5" style="505" customWidth="1"/>
    <col min="2793" max="2793" width="15.6640625" style="505" customWidth="1"/>
    <col min="2794" max="2794" width="15.6640625" style="505" bestFit="1" customWidth="1"/>
    <col min="2795" max="2795" width="15.83203125" style="505" customWidth="1"/>
    <col min="2796" max="2796" width="14.83203125" style="505" customWidth="1"/>
    <col min="2797" max="2797" width="14.5" style="505" customWidth="1"/>
    <col min="2798" max="2798" width="15.83203125" style="505" customWidth="1"/>
    <col min="2799" max="2799" width="12" style="505" bestFit="1" customWidth="1"/>
    <col min="2800" max="2800" width="18.6640625" style="505" customWidth="1"/>
    <col min="2801" max="2801" width="15.1640625" style="505" customWidth="1"/>
    <col min="2802" max="2802" width="15.6640625" style="505" bestFit="1" customWidth="1"/>
    <col min="2803" max="2803" width="16.33203125" style="505" customWidth="1"/>
    <col min="2804" max="2804" width="13.83203125" style="505" customWidth="1"/>
    <col min="2805" max="2805" width="18.6640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3203125" style="505" customWidth="1"/>
    <col min="2810" max="2810" width="10.83203125" style="505" customWidth="1"/>
    <col min="2811" max="2811" width="10" style="505" customWidth="1"/>
    <col min="2812" max="2812" width="17.33203125" style="505" customWidth="1"/>
    <col min="2813" max="2813" width="10.83203125" style="505" customWidth="1"/>
    <col min="2814" max="2814" width="10" style="505" customWidth="1"/>
    <col min="2815" max="2815" width="16.1640625" style="505" customWidth="1"/>
    <col min="2816" max="2816" width="10.83203125" style="505" customWidth="1"/>
    <col min="2817" max="2817" width="12" style="505" customWidth="1"/>
    <col min="2818" max="2818" width="18.83203125" style="505" customWidth="1"/>
    <col min="2819" max="2819" width="10.83203125" style="505" customWidth="1"/>
    <col min="2820" max="2820" width="16.1640625" style="505" bestFit="1" customWidth="1"/>
    <col min="2821" max="2821" width="12.33203125" style="505" bestFit="1" customWidth="1"/>
    <col min="2822" max="2822" width="10.83203125" style="505" customWidth="1"/>
    <col min="2823" max="2823" width="10" style="505" customWidth="1"/>
    <col min="2824" max="2824" width="17.5" style="505" customWidth="1"/>
    <col min="2825" max="2825" width="10.83203125" style="505" customWidth="1"/>
    <col min="2826" max="2826" width="16" style="505" customWidth="1"/>
    <col min="2827" max="2827" width="12.33203125" style="505" bestFit="1" customWidth="1"/>
    <col min="2828" max="3044" width="11" style="505"/>
    <col min="3045" max="3045" width="32.6640625" style="505" customWidth="1"/>
    <col min="3046" max="3046" width="14.5" style="505" customWidth="1"/>
    <col min="3047" max="3047" width="15.6640625" style="505" bestFit="1" customWidth="1"/>
    <col min="3048" max="3048" width="15.5" style="505" customWidth="1"/>
    <col min="3049" max="3049" width="15.6640625" style="505" customWidth="1"/>
    <col min="3050" max="3050" width="15.6640625" style="505" bestFit="1" customWidth="1"/>
    <col min="3051" max="3051" width="15.83203125" style="505" customWidth="1"/>
    <col min="3052" max="3052" width="14.83203125" style="505" customWidth="1"/>
    <col min="3053" max="3053" width="14.5" style="505" customWidth="1"/>
    <col min="3054" max="3054" width="15.83203125" style="505" customWidth="1"/>
    <col min="3055" max="3055" width="12" style="505" bestFit="1" customWidth="1"/>
    <col min="3056" max="3056" width="18.6640625" style="505" customWidth="1"/>
    <col min="3057" max="3057" width="15.1640625" style="505" customWidth="1"/>
    <col min="3058" max="3058" width="15.6640625" style="505" bestFit="1" customWidth="1"/>
    <col min="3059" max="3059" width="16.33203125" style="505" customWidth="1"/>
    <col min="3060" max="3060" width="13.83203125" style="505" customWidth="1"/>
    <col min="3061" max="3061" width="18.6640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3203125" style="505" customWidth="1"/>
    <col min="3066" max="3066" width="10.83203125" style="505" customWidth="1"/>
    <col min="3067" max="3067" width="10" style="505" customWidth="1"/>
    <col min="3068" max="3068" width="17.33203125" style="505" customWidth="1"/>
    <col min="3069" max="3069" width="10.83203125" style="505" customWidth="1"/>
    <col min="3070" max="3070" width="10" style="505" customWidth="1"/>
    <col min="3071" max="3071" width="16.1640625" style="505" customWidth="1"/>
    <col min="3072" max="3072" width="10.83203125" style="505" customWidth="1"/>
    <col min="3073" max="3073" width="12" style="505" customWidth="1"/>
    <col min="3074" max="3074" width="18.83203125" style="505" customWidth="1"/>
    <col min="3075" max="3075" width="10.83203125" style="505" customWidth="1"/>
    <col min="3076" max="3076" width="16.1640625" style="505" bestFit="1" customWidth="1"/>
    <col min="3077" max="3077" width="12.33203125" style="505" bestFit="1" customWidth="1"/>
    <col min="3078" max="3078" width="10.83203125" style="505" customWidth="1"/>
    <col min="3079" max="3079" width="10" style="505" customWidth="1"/>
    <col min="3080" max="3080" width="17.5" style="505" customWidth="1"/>
    <col min="3081" max="3081" width="10.83203125" style="505" customWidth="1"/>
    <col min="3082" max="3082" width="16" style="505" customWidth="1"/>
    <col min="3083" max="3083" width="12.33203125" style="505" bestFit="1" customWidth="1"/>
    <col min="3084" max="3300" width="11" style="505"/>
    <col min="3301" max="3301" width="32.6640625" style="505" customWidth="1"/>
    <col min="3302" max="3302" width="14.5" style="505" customWidth="1"/>
    <col min="3303" max="3303" width="15.6640625" style="505" bestFit="1" customWidth="1"/>
    <col min="3304" max="3304" width="15.5" style="505" customWidth="1"/>
    <col min="3305" max="3305" width="15.6640625" style="505" customWidth="1"/>
    <col min="3306" max="3306" width="15.6640625" style="505" bestFit="1" customWidth="1"/>
    <col min="3307" max="3307" width="15.83203125" style="505" customWidth="1"/>
    <col min="3308" max="3308" width="14.83203125" style="505" customWidth="1"/>
    <col min="3309" max="3309" width="14.5" style="505" customWidth="1"/>
    <col min="3310" max="3310" width="15.83203125" style="505" customWidth="1"/>
    <col min="3311" max="3311" width="12" style="505" bestFit="1" customWidth="1"/>
    <col min="3312" max="3312" width="18.6640625" style="505" customWidth="1"/>
    <col min="3313" max="3313" width="15.1640625" style="505" customWidth="1"/>
    <col min="3314" max="3314" width="15.6640625" style="505" bestFit="1" customWidth="1"/>
    <col min="3315" max="3315" width="16.33203125" style="505" customWidth="1"/>
    <col min="3316" max="3316" width="13.83203125" style="505" customWidth="1"/>
    <col min="3317" max="3317" width="18.6640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3203125" style="505" customWidth="1"/>
    <col min="3322" max="3322" width="10.83203125" style="505" customWidth="1"/>
    <col min="3323" max="3323" width="10" style="505" customWidth="1"/>
    <col min="3324" max="3324" width="17.33203125" style="505" customWidth="1"/>
    <col min="3325" max="3325" width="10.83203125" style="505" customWidth="1"/>
    <col min="3326" max="3326" width="10" style="505" customWidth="1"/>
    <col min="3327" max="3327" width="16.1640625" style="505" customWidth="1"/>
    <col min="3328" max="3328" width="10.83203125" style="505" customWidth="1"/>
    <col min="3329" max="3329" width="12" style="505" customWidth="1"/>
    <col min="3330" max="3330" width="18.83203125" style="505" customWidth="1"/>
    <col min="3331" max="3331" width="10.83203125" style="505" customWidth="1"/>
    <col min="3332" max="3332" width="16.1640625" style="505" bestFit="1" customWidth="1"/>
    <col min="3333" max="3333" width="12.33203125" style="505" bestFit="1" customWidth="1"/>
    <col min="3334" max="3334" width="10.83203125" style="505" customWidth="1"/>
    <col min="3335" max="3335" width="10" style="505" customWidth="1"/>
    <col min="3336" max="3336" width="17.5" style="505" customWidth="1"/>
    <col min="3337" max="3337" width="10.83203125" style="505" customWidth="1"/>
    <col min="3338" max="3338" width="16" style="505" customWidth="1"/>
    <col min="3339" max="3339" width="12.33203125" style="505" bestFit="1" customWidth="1"/>
    <col min="3340" max="3556" width="11" style="505"/>
    <col min="3557" max="3557" width="32.6640625" style="505" customWidth="1"/>
    <col min="3558" max="3558" width="14.5" style="505" customWidth="1"/>
    <col min="3559" max="3559" width="15.6640625" style="505" bestFit="1" customWidth="1"/>
    <col min="3560" max="3560" width="15.5" style="505" customWidth="1"/>
    <col min="3561" max="3561" width="15.6640625" style="505" customWidth="1"/>
    <col min="3562" max="3562" width="15.6640625" style="505" bestFit="1" customWidth="1"/>
    <col min="3563" max="3563" width="15.83203125" style="505" customWidth="1"/>
    <col min="3564" max="3564" width="14.83203125" style="505" customWidth="1"/>
    <col min="3565" max="3565" width="14.5" style="505" customWidth="1"/>
    <col min="3566" max="3566" width="15.83203125" style="505" customWidth="1"/>
    <col min="3567" max="3567" width="12" style="505" bestFit="1" customWidth="1"/>
    <col min="3568" max="3568" width="18.6640625" style="505" customWidth="1"/>
    <col min="3569" max="3569" width="15.1640625" style="505" customWidth="1"/>
    <col min="3570" max="3570" width="15.6640625" style="505" bestFit="1" customWidth="1"/>
    <col min="3571" max="3571" width="16.33203125" style="505" customWidth="1"/>
    <col min="3572" max="3572" width="13.83203125" style="505" customWidth="1"/>
    <col min="3573" max="3573" width="18.6640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3203125" style="505" customWidth="1"/>
    <col min="3578" max="3578" width="10.83203125" style="505" customWidth="1"/>
    <col min="3579" max="3579" width="10" style="505" customWidth="1"/>
    <col min="3580" max="3580" width="17.33203125" style="505" customWidth="1"/>
    <col min="3581" max="3581" width="10.83203125" style="505" customWidth="1"/>
    <col min="3582" max="3582" width="10" style="505" customWidth="1"/>
    <col min="3583" max="3583" width="16.1640625" style="505" customWidth="1"/>
    <col min="3584" max="3584" width="10.83203125" style="505" customWidth="1"/>
    <col min="3585" max="3585" width="12" style="505" customWidth="1"/>
    <col min="3586" max="3586" width="18.83203125" style="505" customWidth="1"/>
    <col min="3587" max="3587" width="10.83203125" style="505" customWidth="1"/>
    <col min="3588" max="3588" width="16.1640625" style="505" bestFit="1" customWidth="1"/>
    <col min="3589" max="3589" width="12.33203125" style="505" bestFit="1" customWidth="1"/>
    <col min="3590" max="3590" width="10.83203125" style="505" customWidth="1"/>
    <col min="3591" max="3591" width="10" style="505" customWidth="1"/>
    <col min="3592" max="3592" width="17.5" style="505" customWidth="1"/>
    <col min="3593" max="3593" width="10.83203125" style="505" customWidth="1"/>
    <col min="3594" max="3594" width="16" style="505" customWidth="1"/>
    <col min="3595" max="3595" width="12.33203125" style="505" bestFit="1" customWidth="1"/>
    <col min="3596" max="3812" width="11" style="505"/>
    <col min="3813" max="3813" width="32.6640625" style="505" customWidth="1"/>
    <col min="3814" max="3814" width="14.5" style="505" customWidth="1"/>
    <col min="3815" max="3815" width="15.6640625" style="505" bestFit="1" customWidth="1"/>
    <col min="3816" max="3816" width="15.5" style="505" customWidth="1"/>
    <col min="3817" max="3817" width="15.6640625" style="505" customWidth="1"/>
    <col min="3818" max="3818" width="15.6640625" style="505" bestFit="1" customWidth="1"/>
    <col min="3819" max="3819" width="15.83203125" style="505" customWidth="1"/>
    <col min="3820" max="3820" width="14.83203125" style="505" customWidth="1"/>
    <col min="3821" max="3821" width="14.5" style="505" customWidth="1"/>
    <col min="3822" max="3822" width="15.83203125" style="505" customWidth="1"/>
    <col min="3823" max="3823" width="12" style="505" bestFit="1" customWidth="1"/>
    <col min="3824" max="3824" width="18.6640625" style="505" customWidth="1"/>
    <col min="3825" max="3825" width="15.1640625" style="505" customWidth="1"/>
    <col min="3826" max="3826" width="15.6640625" style="505" bestFit="1" customWidth="1"/>
    <col min="3827" max="3827" width="16.33203125" style="505" customWidth="1"/>
    <col min="3828" max="3828" width="13.83203125" style="505" customWidth="1"/>
    <col min="3829" max="3829" width="18.6640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3203125" style="505" customWidth="1"/>
    <col min="3834" max="3834" width="10.83203125" style="505" customWidth="1"/>
    <col min="3835" max="3835" width="10" style="505" customWidth="1"/>
    <col min="3836" max="3836" width="17.33203125" style="505" customWidth="1"/>
    <col min="3837" max="3837" width="10.83203125" style="505" customWidth="1"/>
    <col min="3838" max="3838" width="10" style="505" customWidth="1"/>
    <col min="3839" max="3839" width="16.1640625" style="505" customWidth="1"/>
    <col min="3840" max="3840" width="10.83203125" style="505" customWidth="1"/>
    <col min="3841" max="3841" width="12" style="505" customWidth="1"/>
    <col min="3842" max="3842" width="18.83203125" style="505" customWidth="1"/>
    <col min="3843" max="3843" width="10.83203125" style="505" customWidth="1"/>
    <col min="3844" max="3844" width="16.1640625" style="505" bestFit="1" customWidth="1"/>
    <col min="3845" max="3845" width="12.33203125" style="505" bestFit="1" customWidth="1"/>
    <col min="3846" max="3846" width="10.83203125" style="505" customWidth="1"/>
    <col min="3847" max="3847" width="10" style="505" customWidth="1"/>
    <col min="3848" max="3848" width="17.5" style="505" customWidth="1"/>
    <col min="3849" max="3849" width="10.83203125" style="505" customWidth="1"/>
    <col min="3850" max="3850" width="16" style="505" customWidth="1"/>
    <col min="3851" max="3851" width="12.33203125" style="505" bestFit="1" customWidth="1"/>
    <col min="3852" max="4068" width="11" style="505"/>
    <col min="4069" max="4069" width="32.6640625" style="505" customWidth="1"/>
    <col min="4070" max="4070" width="14.5" style="505" customWidth="1"/>
    <col min="4071" max="4071" width="15.6640625" style="505" bestFit="1" customWidth="1"/>
    <col min="4072" max="4072" width="15.5" style="505" customWidth="1"/>
    <col min="4073" max="4073" width="15.6640625" style="505" customWidth="1"/>
    <col min="4074" max="4074" width="15.6640625" style="505" bestFit="1" customWidth="1"/>
    <col min="4075" max="4075" width="15.83203125" style="505" customWidth="1"/>
    <col min="4076" max="4076" width="14.83203125" style="505" customWidth="1"/>
    <col min="4077" max="4077" width="14.5" style="505" customWidth="1"/>
    <col min="4078" max="4078" width="15.83203125" style="505" customWidth="1"/>
    <col min="4079" max="4079" width="12" style="505" bestFit="1" customWidth="1"/>
    <col min="4080" max="4080" width="18.6640625" style="505" customWidth="1"/>
    <col min="4081" max="4081" width="15.1640625" style="505" customWidth="1"/>
    <col min="4082" max="4082" width="15.6640625" style="505" bestFit="1" customWidth="1"/>
    <col min="4083" max="4083" width="16.33203125" style="505" customWidth="1"/>
    <col min="4084" max="4084" width="13.83203125" style="505" customWidth="1"/>
    <col min="4085" max="4085" width="18.6640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3203125" style="505" customWidth="1"/>
    <col min="4090" max="4090" width="10.83203125" style="505" customWidth="1"/>
    <col min="4091" max="4091" width="10" style="505" customWidth="1"/>
    <col min="4092" max="4092" width="17.33203125" style="505" customWidth="1"/>
    <col min="4093" max="4093" width="10.83203125" style="505" customWidth="1"/>
    <col min="4094" max="4094" width="10" style="505" customWidth="1"/>
    <col min="4095" max="4095" width="16.1640625" style="505" customWidth="1"/>
    <col min="4096" max="4096" width="10.83203125" style="505" customWidth="1"/>
    <col min="4097" max="4097" width="12" style="505" customWidth="1"/>
    <col min="4098" max="4098" width="18.83203125" style="505" customWidth="1"/>
    <col min="4099" max="4099" width="10.83203125" style="505" customWidth="1"/>
    <col min="4100" max="4100" width="16.1640625" style="505" bestFit="1" customWidth="1"/>
    <col min="4101" max="4101" width="12.33203125" style="505" bestFit="1" customWidth="1"/>
    <col min="4102" max="4102" width="10.83203125" style="505" customWidth="1"/>
    <col min="4103" max="4103" width="10" style="505" customWidth="1"/>
    <col min="4104" max="4104" width="17.5" style="505" customWidth="1"/>
    <col min="4105" max="4105" width="10.83203125" style="505" customWidth="1"/>
    <col min="4106" max="4106" width="16" style="505" customWidth="1"/>
    <col min="4107" max="4107" width="12.33203125" style="505" bestFit="1" customWidth="1"/>
    <col min="4108" max="4324" width="11" style="505"/>
    <col min="4325" max="4325" width="32.6640625" style="505" customWidth="1"/>
    <col min="4326" max="4326" width="14.5" style="505" customWidth="1"/>
    <col min="4327" max="4327" width="15.6640625" style="505" bestFit="1" customWidth="1"/>
    <col min="4328" max="4328" width="15.5" style="505" customWidth="1"/>
    <col min="4329" max="4329" width="15.6640625" style="505" customWidth="1"/>
    <col min="4330" max="4330" width="15.6640625" style="505" bestFit="1" customWidth="1"/>
    <col min="4331" max="4331" width="15.83203125" style="505" customWidth="1"/>
    <col min="4332" max="4332" width="14.83203125" style="505" customWidth="1"/>
    <col min="4333" max="4333" width="14.5" style="505" customWidth="1"/>
    <col min="4334" max="4334" width="15.83203125" style="505" customWidth="1"/>
    <col min="4335" max="4335" width="12" style="505" bestFit="1" customWidth="1"/>
    <col min="4336" max="4336" width="18.6640625" style="505" customWidth="1"/>
    <col min="4337" max="4337" width="15.1640625" style="505" customWidth="1"/>
    <col min="4338" max="4338" width="15.6640625" style="505" bestFit="1" customWidth="1"/>
    <col min="4339" max="4339" width="16.33203125" style="505" customWidth="1"/>
    <col min="4340" max="4340" width="13.83203125" style="505" customWidth="1"/>
    <col min="4341" max="4341" width="18.6640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3203125" style="505" customWidth="1"/>
    <col min="4346" max="4346" width="10.83203125" style="505" customWidth="1"/>
    <col min="4347" max="4347" width="10" style="505" customWidth="1"/>
    <col min="4348" max="4348" width="17.33203125" style="505" customWidth="1"/>
    <col min="4349" max="4349" width="10.83203125" style="505" customWidth="1"/>
    <col min="4350" max="4350" width="10" style="505" customWidth="1"/>
    <col min="4351" max="4351" width="16.1640625" style="505" customWidth="1"/>
    <col min="4352" max="4352" width="10.83203125" style="505" customWidth="1"/>
    <col min="4353" max="4353" width="12" style="505" customWidth="1"/>
    <col min="4354" max="4354" width="18.83203125" style="505" customWidth="1"/>
    <col min="4355" max="4355" width="10.83203125" style="505" customWidth="1"/>
    <col min="4356" max="4356" width="16.1640625" style="505" bestFit="1" customWidth="1"/>
    <col min="4357" max="4357" width="12.33203125" style="505" bestFit="1" customWidth="1"/>
    <col min="4358" max="4358" width="10.83203125" style="505" customWidth="1"/>
    <col min="4359" max="4359" width="10" style="505" customWidth="1"/>
    <col min="4360" max="4360" width="17.5" style="505" customWidth="1"/>
    <col min="4361" max="4361" width="10.83203125" style="505" customWidth="1"/>
    <col min="4362" max="4362" width="16" style="505" customWidth="1"/>
    <col min="4363" max="4363" width="12.33203125" style="505" bestFit="1" customWidth="1"/>
    <col min="4364" max="4580" width="11" style="505"/>
    <col min="4581" max="4581" width="32.6640625" style="505" customWidth="1"/>
    <col min="4582" max="4582" width="14.5" style="505" customWidth="1"/>
    <col min="4583" max="4583" width="15.6640625" style="505" bestFit="1" customWidth="1"/>
    <col min="4584" max="4584" width="15.5" style="505" customWidth="1"/>
    <col min="4585" max="4585" width="15.6640625" style="505" customWidth="1"/>
    <col min="4586" max="4586" width="15.6640625" style="505" bestFit="1" customWidth="1"/>
    <col min="4587" max="4587" width="15.83203125" style="505" customWidth="1"/>
    <col min="4588" max="4588" width="14.83203125" style="505" customWidth="1"/>
    <col min="4589" max="4589" width="14.5" style="505" customWidth="1"/>
    <col min="4590" max="4590" width="15.83203125" style="505" customWidth="1"/>
    <col min="4591" max="4591" width="12" style="505" bestFit="1" customWidth="1"/>
    <col min="4592" max="4592" width="18.6640625" style="505" customWidth="1"/>
    <col min="4593" max="4593" width="15.1640625" style="505" customWidth="1"/>
    <col min="4594" max="4594" width="15.6640625" style="505" bestFit="1" customWidth="1"/>
    <col min="4595" max="4595" width="16.33203125" style="505" customWidth="1"/>
    <col min="4596" max="4596" width="13.83203125" style="505" customWidth="1"/>
    <col min="4597" max="4597" width="18.6640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3203125" style="505" customWidth="1"/>
    <col min="4602" max="4602" width="10.83203125" style="505" customWidth="1"/>
    <col min="4603" max="4603" width="10" style="505" customWidth="1"/>
    <col min="4604" max="4604" width="17.33203125" style="505" customWidth="1"/>
    <col min="4605" max="4605" width="10.83203125" style="505" customWidth="1"/>
    <col min="4606" max="4606" width="10" style="505" customWidth="1"/>
    <col min="4607" max="4607" width="16.1640625" style="505" customWidth="1"/>
    <col min="4608" max="4608" width="10.83203125" style="505" customWidth="1"/>
    <col min="4609" max="4609" width="12" style="505" customWidth="1"/>
    <col min="4610" max="4610" width="18.83203125" style="505" customWidth="1"/>
    <col min="4611" max="4611" width="10.83203125" style="505" customWidth="1"/>
    <col min="4612" max="4612" width="16.1640625" style="505" bestFit="1" customWidth="1"/>
    <col min="4613" max="4613" width="12.33203125" style="505" bestFit="1" customWidth="1"/>
    <col min="4614" max="4614" width="10.83203125" style="505" customWidth="1"/>
    <col min="4615" max="4615" width="10" style="505" customWidth="1"/>
    <col min="4616" max="4616" width="17.5" style="505" customWidth="1"/>
    <col min="4617" max="4617" width="10.83203125" style="505" customWidth="1"/>
    <col min="4618" max="4618" width="16" style="505" customWidth="1"/>
    <col min="4619" max="4619" width="12.33203125" style="505" bestFit="1" customWidth="1"/>
    <col min="4620" max="4836" width="11" style="505"/>
    <col min="4837" max="4837" width="32.6640625" style="505" customWidth="1"/>
    <col min="4838" max="4838" width="14.5" style="505" customWidth="1"/>
    <col min="4839" max="4839" width="15.6640625" style="505" bestFit="1" customWidth="1"/>
    <col min="4840" max="4840" width="15.5" style="505" customWidth="1"/>
    <col min="4841" max="4841" width="15.6640625" style="505" customWidth="1"/>
    <col min="4842" max="4842" width="15.6640625" style="505" bestFit="1" customWidth="1"/>
    <col min="4843" max="4843" width="15.83203125" style="505" customWidth="1"/>
    <col min="4844" max="4844" width="14.83203125" style="505" customWidth="1"/>
    <col min="4845" max="4845" width="14.5" style="505" customWidth="1"/>
    <col min="4846" max="4846" width="15.83203125" style="505" customWidth="1"/>
    <col min="4847" max="4847" width="12" style="505" bestFit="1" customWidth="1"/>
    <col min="4848" max="4848" width="18.6640625" style="505" customWidth="1"/>
    <col min="4849" max="4849" width="15.1640625" style="505" customWidth="1"/>
    <col min="4850" max="4850" width="15.6640625" style="505" bestFit="1" customWidth="1"/>
    <col min="4851" max="4851" width="16.33203125" style="505" customWidth="1"/>
    <col min="4852" max="4852" width="13.83203125" style="505" customWidth="1"/>
    <col min="4853" max="4853" width="18.6640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3203125" style="505" customWidth="1"/>
    <col min="4858" max="4858" width="10.83203125" style="505" customWidth="1"/>
    <col min="4859" max="4859" width="10" style="505" customWidth="1"/>
    <col min="4860" max="4860" width="17.33203125" style="505" customWidth="1"/>
    <col min="4861" max="4861" width="10.83203125" style="505" customWidth="1"/>
    <col min="4862" max="4862" width="10" style="505" customWidth="1"/>
    <col min="4863" max="4863" width="16.1640625" style="505" customWidth="1"/>
    <col min="4864" max="4864" width="10.83203125" style="505" customWidth="1"/>
    <col min="4865" max="4865" width="12" style="505" customWidth="1"/>
    <col min="4866" max="4866" width="18.83203125" style="505" customWidth="1"/>
    <col min="4867" max="4867" width="10.83203125" style="505" customWidth="1"/>
    <col min="4868" max="4868" width="16.1640625" style="505" bestFit="1" customWidth="1"/>
    <col min="4869" max="4869" width="12.33203125" style="505" bestFit="1" customWidth="1"/>
    <col min="4870" max="4870" width="10.83203125" style="505" customWidth="1"/>
    <col min="4871" max="4871" width="10" style="505" customWidth="1"/>
    <col min="4872" max="4872" width="17.5" style="505" customWidth="1"/>
    <col min="4873" max="4873" width="10.83203125" style="505" customWidth="1"/>
    <col min="4874" max="4874" width="16" style="505" customWidth="1"/>
    <col min="4875" max="4875" width="12.33203125" style="505" bestFit="1" customWidth="1"/>
    <col min="4876" max="5092" width="11" style="505"/>
    <col min="5093" max="5093" width="32.6640625" style="505" customWidth="1"/>
    <col min="5094" max="5094" width="14.5" style="505" customWidth="1"/>
    <col min="5095" max="5095" width="15.6640625" style="505" bestFit="1" customWidth="1"/>
    <col min="5096" max="5096" width="15.5" style="505" customWidth="1"/>
    <col min="5097" max="5097" width="15.6640625" style="505" customWidth="1"/>
    <col min="5098" max="5098" width="15.6640625" style="505" bestFit="1" customWidth="1"/>
    <col min="5099" max="5099" width="15.83203125" style="505" customWidth="1"/>
    <col min="5100" max="5100" width="14.83203125" style="505" customWidth="1"/>
    <col min="5101" max="5101" width="14.5" style="505" customWidth="1"/>
    <col min="5102" max="5102" width="15.83203125" style="505" customWidth="1"/>
    <col min="5103" max="5103" width="12" style="505" bestFit="1" customWidth="1"/>
    <col min="5104" max="5104" width="18.6640625" style="505" customWidth="1"/>
    <col min="5105" max="5105" width="15.1640625" style="505" customWidth="1"/>
    <col min="5106" max="5106" width="15.6640625" style="505" bestFit="1" customWidth="1"/>
    <col min="5107" max="5107" width="16.33203125" style="505" customWidth="1"/>
    <col min="5108" max="5108" width="13.83203125" style="505" customWidth="1"/>
    <col min="5109" max="5109" width="18.6640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3203125" style="505" customWidth="1"/>
    <col min="5114" max="5114" width="10.83203125" style="505" customWidth="1"/>
    <col min="5115" max="5115" width="10" style="505" customWidth="1"/>
    <col min="5116" max="5116" width="17.33203125" style="505" customWidth="1"/>
    <col min="5117" max="5117" width="10.83203125" style="505" customWidth="1"/>
    <col min="5118" max="5118" width="10" style="505" customWidth="1"/>
    <col min="5119" max="5119" width="16.1640625" style="505" customWidth="1"/>
    <col min="5120" max="5120" width="10.83203125" style="505" customWidth="1"/>
    <col min="5121" max="5121" width="12" style="505" customWidth="1"/>
    <col min="5122" max="5122" width="18.83203125" style="505" customWidth="1"/>
    <col min="5123" max="5123" width="10.83203125" style="505" customWidth="1"/>
    <col min="5124" max="5124" width="16.1640625" style="505" bestFit="1" customWidth="1"/>
    <col min="5125" max="5125" width="12.33203125" style="505" bestFit="1" customWidth="1"/>
    <col min="5126" max="5126" width="10.83203125" style="505" customWidth="1"/>
    <col min="5127" max="5127" width="10" style="505" customWidth="1"/>
    <col min="5128" max="5128" width="17.5" style="505" customWidth="1"/>
    <col min="5129" max="5129" width="10.83203125" style="505" customWidth="1"/>
    <col min="5130" max="5130" width="16" style="505" customWidth="1"/>
    <col min="5131" max="5131" width="12.33203125" style="505" bestFit="1" customWidth="1"/>
    <col min="5132" max="5348" width="11" style="505"/>
    <col min="5349" max="5349" width="32.6640625" style="505" customWidth="1"/>
    <col min="5350" max="5350" width="14.5" style="505" customWidth="1"/>
    <col min="5351" max="5351" width="15.6640625" style="505" bestFit="1" customWidth="1"/>
    <col min="5352" max="5352" width="15.5" style="505" customWidth="1"/>
    <col min="5353" max="5353" width="15.6640625" style="505" customWidth="1"/>
    <col min="5354" max="5354" width="15.6640625" style="505" bestFit="1" customWidth="1"/>
    <col min="5355" max="5355" width="15.83203125" style="505" customWidth="1"/>
    <col min="5356" max="5356" width="14.83203125" style="505" customWidth="1"/>
    <col min="5357" max="5357" width="14.5" style="505" customWidth="1"/>
    <col min="5358" max="5358" width="15.83203125" style="505" customWidth="1"/>
    <col min="5359" max="5359" width="12" style="505" bestFit="1" customWidth="1"/>
    <col min="5360" max="5360" width="18.6640625" style="505" customWidth="1"/>
    <col min="5361" max="5361" width="15.1640625" style="505" customWidth="1"/>
    <col min="5362" max="5362" width="15.6640625" style="505" bestFit="1" customWidth="1"/>
    <col min="5363" max="5363" width="16.33203125" style="505" customWidth="1"/>
    <col min="5364" max="5364" width="13.83203125" style="505" customWidth="1"/>
    <col min="5365" max="5365" width="18.6640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3203125" style="505" customWidth="1"/>
    <col min="5370" max="5370" width="10.83203125" style="505" customWidth="1"/>
    <col min="5371" max="5371" width="10" style="505" customWidth="1"/>
    <col min="5372" max="5372" width="17.33203125" style="505" customWidth="1"/>
    <col min="5373" max="5373" width="10.83203125" style="505" customWidth="1"/>
    <col min="5374" max="5374" width="10" style="505" customWidth="1"/>
    <col min="5375" max="5375" width="16.1640625" style="505" customWidth="1"/>
    <col min="5376" max="5376" width="10.83203125" style="505" customWidth="1"/>
    <col min="5377" max="5377" width="12" style="505" customWidth="1"/>
    <col min="5378" max="5378" width="18.83203125" style="505" customWidth="1"/>
    <col min="5379" max="5379" width="10.83203125" style="505" customWidth="1"/>
    <col min="5380" max="5380" width="16.1640625" style="505" bestFit="1" customWidth="1"/>
    <col min="5381" max="5381" width="12.33203125" style="505" bestFit="1" customWidth="1"/>
    <col min="5382" max="5382" width="10.83203125" style="505" customWidth="1"/>
    <col min="5383" max="5383" width="10" style="505" customWidth="1"/>
    <col min="5384" max="5384" width="17.5" style="505" customWidth="1"/>
    <col min="5385" max="5385" width="10.83203125" style="505" customWidth="1"/>
    <col min="5386" max="5386" width="16" style="505" customWidth="1"/>
    <col min="5387" max="5387" width="12.33203125" style="505" bestFit="1" customWidth="1"/>
    <col min="5388" max="5604" width="11" style="505"/>
    <col min="5605" max="5605" width="32.6640625" style="505" customWidth="1"/>
    <col min="5606" max="5606" width="14.5" style="505" customWidth="1"/>
    <col min="5607" max="5607" width="15.6640625" style="505" bestFit="1" customWidth="1"/>
    <col min="5608" max="5608" width="15.5" style="505" customWidth="1"/>
    <col min="5609" max="5609" width="15.6640625" style="505" customWidth="1"/>
    <col min="5610" max="5610" width="15.6640625" style="505" bestFit="1" customWidth="1"/>
    <col min="5611" max="5611" width="15.83203125" style="505" customWidth="1"/>
    <col min="5612" max="5612" width="14.83203125" style="505" customWidth="1"/>
    <col min="5613" max="5613" width="14.5" style="505" customWidth="1"/>
    <col min="5614" max="5614" width="15.83203125" style="505" customWidth="1"/>
    <col min="5615" max="5615" width="12" style="505" bestFit="1" customWidth="1"/>
    <col min="5616" max="5616" width="18.6640625" style="505" customWidth="1"/>
    <col min="5617" max="5617" width="15.1640625" style="505" customWidth="1"/>
    <col min="5618" max="5618" width="15.6640625" style="505" bestFit="1" customWidth="1"/>
    <col min="5619" max="5619" width="16.33203125" style="505" customWidth="1"/>
    <col min="5620" max="5620" width="13.83203125" style="505" customWidth="1"/>
    <col min="5621" max="5621" width="18.6640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3203125" style="505" customWidth="1"/>
    <col min="5626" max="5626" width="10.83203125" style="505" customWidth="1"/>
    <col min="5627" max="5627" width="10" style="505" customWidth="1"/>
    <col min="5628" max="5628" width="17.33203125" style="505" customWidth="1"/>
    <col min="5629" max="5629" width="10.83203125" style="505" customWidth="1"/>
    <col min="5630" max="5630" width="10" style="505" customWidth="1"/>
    <col min="5631" max="5631" width="16.1640625" style="505" customWidth="1"/>
    <col min="5632" max="5632" width="10.83203125" style="505" customWidth="1"/>
    <col min="5633" max="5633" width="12" style="505" customWidth="1"/>
    <col min="5634" max="5634" width="18.83203125" style="505" customWidth="1"/>
    <col min="5635" max="5635" width="10.83203125" style="505" customWidth="1"/>
    <col min="5636" max="5636" width="16.1640625" style="505" bestFit="1" customWidth="1"/>
    <col min="5637" max="5637" width="12.33203125" style="505" bestFit="1" customWidth="1"/>
    <col min="5638" max="5638" width="10.83203125" style="505" customWidth="1"/>
    <col min="5639" max="5639" width="10" style="505" customWidth="1"/>
    <col min="5640" max="5640" width="17.5" style="505" customWidth="1"/>
    <col min="5641" max="5641" width="10.83203125" style="505" customWidth="1"/>
    <col min="5642" max="5642" width="16" style="505" customWidth="1"/>
    <col min="5643" max="5643" width="12.33203125" style="505" bestFit="1" customWidth="1"/>
    <col min="5644" max="5860" width="11" style="505"/>
    <col min="5861" max="5861" width="32.6640625" style="505" customWidth="1"/>
    <col min="5862" max="5862" width="14.5" style="505" customWidth="1"/>
    <col min="5863" max="5863" width="15.6640625" style="505" bestFit="1" customWidth="1"/>
    <col min="5864" max="5864" width="15.5" style="505" customWidth="1"/>
    <col min="5865" max="5865" width="15.6640625" style="505" customWidth="1"/>
    <col min="5866" max="5866" width="15.6640625" style="505" bestFit="1" customWidth="1"/>
    <col min="5867" max="5867" width="15.83203125" style="505" customWidth="1"/>
    <col min="5868" max="5868" width="14.83203125" style="505" customWidth="1"/>
    <col min="5869" max="5869" width="14.5" style="505" customWidth="1"/>
    <col min="5870" max="5870" width="15.83203125" style="505" customWidth="1"/>
    <col min="5871" max="5871" width="12" style="505" bestFit="1" customWidth="1"/>
    <col min="5872" max="5872" width="18.6640625" style="505" customWidth="1"/>
    <col min="5873" max="5873" width="15.1640625" style="505" customWidth="1"/>
    <col min="5874" max="5874" width="15.6640625" style="505" bestFit="1" customWidth="1"/>
    <col min="5875" max="5875" width="16.33203125" style="505" customWidth="1"/>
    <col min="5876" max="5876" width="13.83203125" style="505" customWidth="1"/>
    <col min="5877" max="5877" width="18.6640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3203125" style="505" customWidth="1"/>
    <col min="5882" max="5882" width="10.83203125" style="505" customWidth="1"/>
    <col min="5883" max="5883" width="10" style="505" customWidth="1"/>
    <col min="5884" max="5884" width="17.33203125" style="505" customWidth="1"/>
    <col min="5885" max="5885" width="10.83203125" style="505" customWidth="1"/>
    <col min="5886" max="5886" width="10" style="505" customWidth="1"/>
    <col min="5887" max="5887" width="16.1640625" style="505" customWidth="1"/>
    <col min="5888" max="5888" width="10.83203125" style="505" customWidth="1"/>
    <col min="5889" max="5889" width="12" style="505" customWidth="1"/>
    <col min="5890" max="5890" width="18.83203125" style="505" customWidth="1"/>
    <col min="5891" max="5891" width="10.83203125" style="505" customWidth="1"/>
    <col min="5892" max="5892" width="16.1640625" style="505" bestFit="1" customWidth="1"/>
    <col min="5893" max="5893" width="12.33203125" style="505" bestFit="1" customWidth="1"/>
    <col min="5894" max="5894" width="10.83203125" style="505" customWidth="1"/>
    <col min="5895" max="5895" width="10" style="505" customWidth="1"/>
    <col min="5896" max="5896" width="17.5" style="505" customWidth="1"/>
    <col min="5897" max="5897" width="10.83203125" style="505" customWidth="1"/>
    <col min="5898" max="5898" width="16" style="505" customWidth="1"/>
    <col min="5899" max="5899" width="12.33203125" style="505" bestFit="1" customWidth="1"/>
    <col min="5900" max="6116" width="11" style="505"/>
    <col min="6117" max="6117" width="32.6640625" style="505" customWidth="1"/>
    <col min="6118" max="6118" width="14.5" style="505" customWidth="1"/>
    <col min="6119" max="6119" width="15.6640625" style="505" bestFit="1" customWidth="1"/>
    <col min="6120" max="6120" width="15.5" style="505" customWidth="1"/>
    <col min="6121" max="6121" width="15.6640625" style="505" customWidth="1"/>
    <col min="6122" max="6122" width="15.6640625" style="505" bestFit="1" customWidth="1"/>
    <col min="6123" max="6123" width="15.83203125" style="505" customWidth="1"/>
    <col min="6124" max="6124" width="14.83203125" style="505" customWidth="1"/>
    <col min="6125" max="6125" width="14.5" style="505" customWidth="1"/>
    <col min="6126" max="6126" width="15.83203125" style="505" customWidth="1"/>
    <col min="6127" max="6127" width="12" style="505" bestFit="1" customWidth="1"/>
    <col min="6128" max="6128" width="18.6640625" style="505" customWidth="1"/>
    <col min="6129" max="6129" width="15.1640625" style="505" customWidth="1"/>
    <col min="6130" max="6130" width="15.6640625" style="505" bestFit="1" customWidth="1"/>
    <col min="6131" max="6131" width="16.33203125" style="505" customWidth="1"/>
    <col min="6132" max="6132" width="13.83203125" style="505" customWidth="1"/>
    <col min="6133" max="6133" width="18.6640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3203125" style="505" customWidth="1"/>
    <col min="6138" max="6138" width="10.83203125" style="505" customWidth="1"/>
    <col min="6139" max="6139" width="10" style="505" customWidth="1"/>
    <col min="6140" max="6140" width="17.33203125" style="505" customWidth="1"/>
    <col min="6141" max="6141" width="10.83203125" style="505" customWidth="1"/>
    <col min="6142" max="6142" width="10" style="505" customWidth="1"/>
    <col min="6143" max="6143" width="16.1640625" style="505" customWidth="1"/>
    <col min="6144" max="6144" width="10.83203125" style="505" customWidth="1"/>
    <col min="6145" max="6145" width="12" style="505" customWidth="1"/>
    <col min="6146" max="6146" width="18.83203125" style="505" customWidth="1"/>
    <col min="6147" max="6147" width="10.83203125" style="505" customWidth="1"/>
    <col min="6148" max="6148" width="16.1640625" style="505" bestFit="1" customWidth="1"/>
    <col min="6149" max="6149" width="12.33203125" style="505" bestFit="1" customWidth="1"/>
    <col min="6150" max="6150" width="10.83203125" style="505" customWidth="1"/>
    <col min="6151" max="6151" width="10" style="505" customWidth="1"/>
    <col min="6152" max="6152" width="17.5" style="505" customWidth="1"/>
    <col min="6153" max="6153" width="10.83203125" style="505" customWidth="1"/>
    <col min="6154" max="6154" width="16" style="505" customWidth="1"/>
    <col min="6155" max="6155" width="12.33203125" style="505" bestFit="1" customWidth="1"/>
    <col min="6156" max="6372" width="11" style="505"/>
    <col min="6373" max="6373" width="32.6640625" style="505" customWidth="1"/>
    <col min="6374" max="6374" width="14.5" style="505" customWidth="1"/>
    <col min="6375" max="6375" width="15.6640625" style="505" bestFit="1" customWidth="1"/>
    <col min="6376" max="6376" width="15.5" style="505" customWidth="1"/>
    <col min="6377" max="6377" width="15.6640625" style="505" customWidth="1"/>
    <col min="6378" max="6378" width="15.6640625" style="505" bestFit="1" customWidth="1"/>
    <col min="6379" max="6379" width="15.83203125" style="505" customWidth="1"/>
    <col min="6380" max="6380" width="14.83203125" style="505" customWidth="1"/>
    <col min="6381" max="6381" width="14.5" style="505" customWidth="1"/>
    <col min="6382" max="6382" width="15.83203125" style="505" customWidth="1"/>
    <col min="6383" max="6383" width="12" style="505" bestFit="1" customWidth="1"/>
    <col min="6384" max="6384" width="18.6640625" style="505" customWidth="1"/>
    <col min="6385" max="6385" width="15.1640625" style="505" customWidth="1"/>
    <col min="6386" max="6386" width="15.6640625" style="505" bestFit="1" customWidth="1"/>
    <col min="6387" max="6387" width="16.33203125" style="505" customWidth="1"/>
    <col min="6388" max="6388" width="13.83203125" style="505" customWidth="1"/>
    <col min="6389" max="6389" width="18.6640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3203125" style="505" customWidth="1"/>
    <col min="6394" max="6394" width="10.83203125" style="505" customWidth="1"/>
    <col min="6395" max="6395" width="10" style="505" customWidth="1"/>
    <col min="6396" max="6396" width="17.33203125" style="505" customWidth="1"/>
    <col min="6397" max="6397" width="10.83203125" style="505" customWidth="1"/>
    <col min="6398" max="6398" width="10" style="505" customWidth="1"/>
    <col min="6399" max="6399" width="16.1640625" style="505" customWidth="1"/>
    <col min="6400" max="6400" width="10.83203125" style="505" customWidth="1"/>
    <col min="6401" max="6401" width="12" style="505" customWidth="1"/>
    <col min="6402" max="6402" width="18.83203125" style="505" customWidth="1"/>
    <col min="6403" max="6403" width="10.83203125" style="505" customWidth="1"/>
    <col min="6404" max="6404" width="16.1640625" style="505" bestFit="1" customWidth="1"/>
    <col min="6405" max="6405" width="12.33203125" style="505" bestFit="1" customWidth="1"/>
    <col min="6406" max="6406" width="10.83203125" style="505" customWidth="1"/>
    <col min="6407" max="6407" width="10" style="505" customWidth="1"/>
    <col min="6408" max="6408" width="17.5" style="505" customWidth="1"/>
    <col min="6409" max="6409" width="10.83203125" style="505" customWidth="1"/>
    <col min="6410" max="6410" width="16" style="505" customWidth="1"/>
    <col min="6411" max="6411" width="12.33203125" style="505" bestFit="1" customWidth="1"/>
    <col min="6412" max="6628" width="11" style="505"/>
    <col min="6629" max="6629" width="32.6640625" style="505" customWidth="1"/>
    <col min="6630" max="6630" width="14.5" style="505" customWidth="1"/>
    <col min="6631" max="6631" width="15.6640625" style="505" bestFit="1" customWidth="1"/>
    <col min="6632" max="6632" width="15.5" style="505" customWidth="1"/>
    <col min="6633" max="6633" width="15.6640625" style="505" customWidth="1"/>
    <col min="6634" max="6634" width="15.6640625" style="505" bestFit="1" customWidth="1"/>
    <col min="6635" max="6635" width="15.83203125" style="505" customWidth="1"/>
    <col min="6636" max="6636" width="14.83203125" style="505" customWidth="1"/>
    <col min="6637" max="6637" width="14.5" style="505" customWidth="1"/>
    <col min="6638" max="6638" width="15.83203125" style="505" customWidth="1"/>
    <col min="6639" max="6639" width="12" style="505" bestFit="1" customWidth="1"/>
    <col min="6640" max="6640" width="18.6640625" style="505" customWidth="1"/>
    <col min="6641" max="6641" width="15.1640625" style="505" customWidth="1"/>
    <col min="6642" max="6642" width="15.6640625" style="505" bestFit="1" customWidth="1"/>
    <col min="6643" max="6643" width="16.33203125" style="505" customWidth="1"/>
    <col min="6644" max="6644" width="13.83203125" style="505" customWidth="1"/>
    <col min="6645" max="6645" width="18.6640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3203125" style="505" customWidth="1"/>
    <col min="6650" max="6650" width="10.83203125" style="505" customWidth="1"/>
    <col min="6651" max="6651" width="10" style="505" customWidth="1"/>
    <col min="6652" max="6652" width="17.33203125" style="505" customWidth="1"/>
    <col min="6653" max="6653" width="10.83203125" style="505" customWidth="1"/>
    <col min="6654" max="6654" width="10" style="505" customWidth="1"/>
    <col min="6655" max="6655" width="16.1640625" style="505" customWidth="1"/>
    <col min="6656" max="6656" width="10.83203125" style="505" customWidth="1"/>
    <col min="6657" max="6657" width="12" style="505" customWidth="1"/>
    <col min="6658" max="6658" width="18.83203125" style="505" customWidth="1"/>
    <col min="6659" max="6659" width="10.83203125" style="505" customWidth="1"/>
    <col min="6660" max="6660" width="16.1640625" style="505" bestFit="1" customWidth="1"/>
    <col min="6661" max="6661" width="12.33203125" style="505" bestFit="1" customWidth="1"/>
    <col min="6662" max="6662" width="10.83203125" style="505" customWidth="1"/>
    <col min="6663" max="6663" width="10" style="505" customWidth="1"/>
    <col min="6664" max="6664" width="17.5" style="505" customWidth="1"/>
    <col min="6665" max="6665" width="10.83203125" style="505" customWidth="1"/>
    <col min="6666" max="6666" width="16" style="505" customWidth="1"/>
    <col min="6667" max="6667" width="12.33203125" style="505" bestFit="1" customWidth="1"/>
    <col min="6668" max="6884" width="11" style="505"/>
    <col min="6885" max="6885" width="32.6640625" style="505" customWidth="1"/>
    <col min="6886" max="6886" width="14.5" style="505" customWidth="1"/>
    <col min="6887" max="6887" width="15.6640625" style="505" bestFit="1" customWidth="1"/>
    <col min="6888" max="6888" width="15.5" style="505" customWidth="1"/>
    <col min="6889" max="6889" width="15.6640625" style="505" customWidth="1"/>
    <col min="6890" max="6890" width="15.6640625" style="505" bestFit="1" customWidth="1"/>
    <col min="6891" max="6891" width="15.83203125" style="505" customWidth="1"/>
    <col min="6892" max="6892" width="14.83203125" style="505" customWidth="1"/>
    <col min="6893" max="6893" width="14.5" style="505" customWidth="1"/>
    <col min="6894" max="6894" width="15.83203125" style="505" customWidth="1"/>
    <col min="6895" max="6895" width="12" style="505" bestFit="1" customWidth="1"/>
    <col min="6896" max="6896" width="18.6640625" style="505" customWidth="1"/>
    <col min="6897" max="6897" width="15.1640625" style="505" customWidth="1"/>
    <col min="6898" max="6898" width="15.6640625" style="505" bestFit="1" customWidth="1"/>
    <col min="6899" max="6899" width="16.33203125" style="505" customWidth="1"/>
    <col min="6900" max="6900" width="13.83203125" style="505" customWidth="1"/>
    <col min="6901" max="6901" width="18.6640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3203125" style="505" customWidth="1"/>
    <col min="6906" max="6906" width="10.83203125" style="505" customWidth="1"/>
    <col min="6907" max="6907" width="10" style="505" customWidth="1"/>
    <col min="6908" max="6908" width="17.33203125" style="505" customWidth="1"/>
    <col min="6909" max="6909" width="10.83203125" style="505" customWidth="1"/>
    <col min="6910" max="6910" width="10" style="505" customWidth="1"/>
    <col min="6911" max="6911" width="16.1640625" style="505" customWidth="1"/>
    <col min="6912" max="6912" width="10.83203125" style="505" customWidth="1"/>
    <col min="6913" max="6913" width="12" style="505" customWidth="1"/>
    <col min="6914" max="6914" width="18.83203125" style="505" customWidth="1"/>
    <col min="6915" max="6915" width="10.83203125" style="505" customWidth="1"/>
    <col min="6916" max="6916" width="16.1640625" style="505" bestFit="1" customWidth="1"/>
    <col min="6917" max="6917" width="12.33203125" style="505" bestFit="1" customWidth="1"/>
    <col min="6918" max="6918" width="10.83203125" style="505" customWidth="1"/>
    <col min="6919" max="6919" width="10" style="505" customWidth="1"/>
    <col min="6920" max="6920" width="17.5" style="505" customWidth="1"/>
    <col min="6921" max="6921" width="10.83203125" style="505" customWidth="1"/>
    <col min="6922" max="6922" width="16" style="505" customWidth="1"/>
    <col min="6923" max="6923" width="12.33203125" style="505" bestFit="1" customWidth="1"/>
    <col min="6924" max="7140" width="11" style="505"/>
    <col min="7141" max="7141" width="32.6640625" style="505" customWidth="1"/>
    <col min="7142" max="7142" width="14.5" style="505" customWidth="1"/>
    <col min="7143" max="7143" width="15.6640625" style="505" bestFit="1" customWidth="1"/>
    <col min="7144" max="7144" width="15.5" style="505" customWidth="1"/>
    <col min="7145" max="7145" width="15.6640625" style="505" customWidth="1"/>
    <col min="7146" max="7146" width="15.6640625" style="505" bestFit="1" customWidth="1"/>
    <col min="7147" max="7147" width="15.83203125" style="505" customWidth="1"/>
    <col min="7148" max="7148" width="14.83203125" style="505" customWidth="1"/>
    <col min="7149" max="7149" width="14.5" style="505" customWidth="1"/>
    <col min="7150" max="7150" width="15.83203125" style="505" customWidth="1"/>
    <col min="7151" max="7151" width="12" style="505" bestFit="1" customWidth="1"/>
    <col min="7152" max="7152" width="18.6640625" style="505" customWidth="1"/>
    <col min="7153" max="7153" width="15.1640625" style="505" customWidth="1"/>
    <col min="7154" max="7154" width="15.6640625" style="505" bestFit="1" customWidth="1"/>
    <col min="7155" max="7155" width="16.33203125" style="505" customWidth="1"/>
    <col min="7156" max="7156" width="13.83203125" style="505" customWidth="1"/>
    <col min="7157" max="7157" width="18.6640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3203125" style="505" customWidth="1"/>
    <col min="7162" max="7162" width="10.83203125" style="505" customWidth="1"/>
    <col min="7163" max="7163" width="10" style="505" customWidth="1"/>
    <col min="7164" max="7164" width="17.33203125" style="505" customWidth="1"/>
    <col min="7165" max="7165" width="10.83203125" style="505" customWidth="1"/>
    <col min="7166" max="7166" width="10" style="505" customWidth="1"/>
    <col min="7167" max="7167" width="16.1640625" style="505" customWidth="1"/>
    <col min="7168" max="7168" width="10.83203125" style="505" customWidth="1"/>
    <col min="7169" max="7169" width="12" style="505" customWidth="1"/>
    <col min="7170" max="7170" width="18.83203125" style="505" customWidth="1"/>
    <col min="7171" max="7171" width="10.83203125" style="505" customWidth="1"/>
    <col min="7172" max="7172" width="16.1640625" style="505" bestFit="1" customWidth="1"/>
    <col min="7173" max="7173" width="12.33203125" style="505" bestFit="1" customWidth="1"/>
    <col min="7174" max="7174" width="10.83203125" style="505" customWidth="1"/>
    <col min="7175" max="7175" width="10" style="505" customWidth="1"/>
    <col min="7176" max="7176" width="17.5" style="505" customWidth="1"/>
    <col min="7177" max="7177" width="10.83203125" style="505" customWidth="1"/>
    <col min="7178" max="7178" width="16" style="505" customWidth="1"/>
    <col min="7179" max="7179" width="12.33203125" style="505" bestFit="1" customWidth="1"/>
    <col min="7180" max="7396" width="11" style="505"/>
    <col min="7397" max="7397" width="32.6640625" style="505" customWidth="1"/>
    <col min="7398" max="7398" width="14.5" style="505" customWidth="1"/>
    <col min="7399" max="7399" width="15.6640625" style="505" bestFit="1" customWidth="1"/>
    <col min="7400" max="7400" width="15.5" style="505" customWidth="1"/>
    <col min="7401" max="7401" width="15.6640625" style="505" customWidth="1"/>
    <col min="7402" max="7402" width="15.6640625" style="505" bestFit="1" customWidth="1"/>
    <col min="7403" max="7403" width="15.83203125" style="505" customWidth="1"/>
    <col min="7404" max="7404" width="14.83203125" style="505" customWidth="1"/>
    <col min="7405" max="7405" width="14.5" style="505" customWidth="1"/>
    <col min="7406" max="7406" width="15.83203125" style="505" customWidth="1"/>
    <col min="7407" max="7407" width="12" style="505" bestFit="1" customWidth="1"/>
    <col min="7408" max="7408" width="18.6640625" style="505" customWidth="1"/>
    <col min="7409" max="7409" width="15.1640625" style="505" customWidth="1"/>
    <col min="7410" max="7410" width="15.6640625" style="505" bestFit="1" customWidth="1"/>
    <col min="7411" max="7411" width="16.33203125" style="505" customWidth="1"/>
    <col min="7412" max="7412" width="13.83203125" style="505" customWidth="1"/>
    <col min="7413" max="7413" width="18.6640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3203125" style="505" customWidth="1"/>
    <col min="7418" max="7418" width="10.83203125" style="505" customWidth="1"/>
    <col min="7419" max="7419" width="10" style="505" customWidth="1"/>
    <col min="7420" max="7420" width="17.33203125" style="505" customWidth="1"/>
    <col min="7421" max="7421" width="10.83203125" style="505" customWidth="1"/>
    <col min="7422" max="7422" width="10" style="505" customWidth="1"/>
    <col min="7423" max="7423" width="16.1640625" style="505" customWidth="1"/>
    <col min="7424" max="7424" width="10.83203125" style="505" customWidth="1"/>
    <col min="7425" max="7425" width="12" style="505" customWidth="1"/>
    <col min="7426" max="7426" width="18.83203125" style="505" customWidth="1"/>
    <col min="7427" max="7427" width="10.83203125" style="505" customWidth="1"/>
    <col min="7428" max="7428" width="16.1640625" style="505" bestFit="1" customWidth="1"/>
    <col min="7429" max="7429" width="12.33203125" style="505" bestFit="1" customWidth="1"/>
    <col min="7430" max="7430" width="10.83203125" style="505" customWidth="1"/>
    <col min="7431" max="7431" width="10" style="505" customWidth="1"/>
    <col min="7432" max="7432" width="17.5" style="505" customWidth="1"/>
    <col min="7433" max="7433" width="10.83203125" style="505" customWidth="1"/>
    <col min="7434" max="7434" width="16" style="505" customWidth="1"/>
    <col min="7435" max="7435" width="12.33203125" style="505" bestFit="1" customWidth="1"/>
    <col min="7436" max="7652" width="11" style="505"/>
    <col min="7653" max="7653" width="32.6640625" style="505" customWidth="1"/>
    <col min="7654" max="7654" width="14.5" style="505" customWidth="1"/>
    <col min="7655" max="7655" width="15.6640625" style="505" bestFit="1" customWidth="1"/>
    <col min="7656" max="7656" width="15.5" style="505" customWidth="1"/>
    <col min="7657" max="7657" width="15.6640625" style="505" customWidth="1"/>
    <col min="7658" max="7658" width="15.6640625" style="505" bestFit="1" customWidth="1"/>
    <col min="7659" max="7659" width="15.83203125" style="505" customWidth="1"/>
    <col min="7660" max="7660" width="14.83203125" style="505" customWidth="1"/>
    <col min="7661" max="7661" width="14.5" style="505" customWidth="1"/>
    <col min="7662" max="7662" width="15.83203125" style="505" customWidth="1"/>
    <col min="7663" max="7663" width="12" style="505" bestFit="1" customWidth="1"/>
    <col min="7664" max="7664" width="18.6640625" style="505" customWidth="1"/>
    <col min="7665" max="7665" width="15.1640625" style="505" customWidth="1"/>
    <col min="7666" max="7666" width="15.6640625" style="505" bestFit="1" customWidth="1"/>
    <col min="7667" max="7667" width="16.33203125" style="505" customWidth="1"/>
    <col min="7668" max="7668" width="13.83203125" style="505" customWidth="1"/>
    <col min="7669" max="7669" width="18.6640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3203125" style="505" customWidth="1"/>
    <col min="7674" max="7674" width="10.83203125" style="505" customWidth="1"/>
    <col min="7675" max="7675" width="10" style="505" customWidth="1"/>
    <col min="7676" max="7676" width="17.33203125" style="505" customWidth="1"/>
    <col min="7677" max="7677" width="10.83203125" style="505" customWidth="1"/>
    <col min="7678" max="7678" width="10" style="505" customWidth="1"/>
    <col min="7679" max="7679" width="16.1640625" style="505" customWidth="1"/>
    <col min="7680" max="7680" width="10.83203125" style="505" customWidth="1"/>
    <col min="7681" max="7681" width="12" style="505" customWidth="1"/>
    <col min="7682" max="7682" width="18.83203125" style="505" customWidth="1"/>
    <col min="7683" max="7683" width="10.83203125" style="505" customWidth="1"/>
    <col min="7684" max="7684" width="16.1640625" style="505" bestFit="1" customWidth="1"/>
    <col min="7685" max="7685" width="12.33203125" style="505" bestFit="1" customWidth="1"/>
    <col min="7686" max="7686" width="10.83203125" style="505" customWidth="1"/>
    <col min="7687" max="7687" width="10" style="505" customWidth="1"/>
    <col min="7688" max="7688" width="17.5" style="505" customWidth="1"/>
    <col min="7689" max="7689" width="10.83203125" style="505" customWidth="1"/>
    <col min="7690" max="7690" width="16" style="505" customWidth="1"/>
    <col min="7691" max="7691" width="12.33203125" style="505" bestFit="1" customWidth="1"/>
    <col min="7692" max="7908" width="11" style="505"/>
    <col min="7909" max="7909" width="32.6640625" style="505" customWidth="1"/>
    <col min="7910" max="7910" width="14.5" style="505" customWidth="1"/>
    <col min="7911" max="7911" width="15.6640625" style="505" bestFit="1" customWidth="1"/>
    <col min="7912" max="7912" width="15.5" style="505" customWidth="1"/>
    <col min="7913" max="7913" width="15.6640625" style="505" customWidth="1"/>
    <col min="7914" max="7914" width="15.6640625" style="505" bestFit="1" customWidth="1"/>
    <col min="7915" max="7915" width="15.83203125" style="505" customWidth="1"/>
    <col min="7916" max="7916" width="14.83203125" style="505" customWidth="1"/>
    <col min="7917" max="7917" width="14.5" style="505" customWidth="1"/>
    <col min="7918" max="7918" width="15.83203125" style="505" customWidth="1"/>
    <col min="7919" max="7919" width="12" style="505" bestFit="1" customWidth="1"/>
    <col min="7920" max="7920" width="18.6640625" style="505" customWidth="1"/>
    <col min="7921" max="7921" width="15.1640625" style="505" customWidth="1"/>
    <col min="7922" max="7922" width="15.6640625" style="505" bestFit="1" customWidth="1"/>
    <col min="7923" max="7923" width="16.33203125" style="505" customWidth="1"/>
    <col min="7924" max="7924" width="13.83203125" style="505" customWidth="1"/>
    <col min="7925" max="7925" width="18.6640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3203125" style="505" customWidth="1"/>
    <col min="7930" max="7930" width="10.83203125" style="505" customWidth="1"/>
    <col min="7931" max="7931" width="10" style="505" customWidth="1"/>
    <col min="7932" max="7932" width="17.33203125" style="505" customWidth="1"/>
    <col min="7933" max="7933" width="10.83203125" style="505" customWidth="1"/>
    <col min="7934" max="7934" width="10" style="505" customWidth="1"/>
    <col min="7935" max="7935" width="16.1640625" style="505" customWidth="1"/>
    <col min="7936" max="7936" width="10.83203125" style="505" customWidth="1"/>
    <col min="7937" max="7937" width="12" style="505" customWidth="1"/>
    <col min="7938" max="7938" width="18.83203125" style="505" customWidth="1"/>
    <col min="7939" max="7939" width="10.83203125" style="505" customWidth="1"/>
    <col min="7940" max="7940" width="16.1640625" style="505" bestFit="1" customWidth="1"/>
    <col min="7941" max="7941" width="12.33203125" style="505" bestFit="1" customWidth="1"/>
    <col min="7942" max="7942" width="10.83203125" style="505" customWidth="1"/>
    <col min="7943" max="7943" width="10" style="505" customWidth="1"/>
    <col min="7944" max="7944" width="17.5" style="505" customWidth="1"/>
    <col min="7945" max="7945" width="10.83203125" style="505" customWidth="1"/>
    <col min="7946" max="7946" width="16" style="505" customWidth="1"/>
    <col min="7947" max="7947" width="12.33203125" style="505" bestFit="1" customWidth="1"/>
    <col min="7948" max="8164" width="11" style="505"/>
    <col min="8165" max="8165" width="32.6640625" style="505" customWidth="1"/>
    <col min="8166" max="8166" width="14.5" style="505" customWidth="1"/>
    <col min="8167" max="8167" width="15.6640625" style="505" bestFit="1" customWidth="1"/>
    <col min="8168" max="8168" width="15.5" style="505" customWidth="1"/>
    <col min="8169" max="8169" width="15.6640625" style="505" customWidth="1"/>
    <col min="8170" max="8170" width="15.6640625" style="505" bestFit="1" customWidth="1"/>
    <col min="8171" max="8171" width="15.83203125" style="505" customWidth="1"/>
    <col min="8172" max="8172" width="14.83203125" style="505" customWidth="1"/>
    <col min="8173" max="8173" width="14.5" style="505" customWidth="1"/>
    <col min="8174" max="8174" width="15.83203125" style="505" customWidth="1"/>
    <col min="8175" max="8175" width="12" style="505" bestFit="1" customWidth="1"/>
    <col min="8176" max="8176" width="18.6640625" style="505" customWidth="1"/>
    <col min="8177" max="8177" width="15.1640625" style="505" customWidth="1"/>
    <col min="8178" max="8178" width="15.6640625" style="505" bestFit="1" customWidth="1"/>
    <col min="8179" max="8179" width="16.33203125" style="505" customWidth="1"/>
    <col min="8180" max="8180" width="13.83203125" style="505" customWidth="1"/>
    <col min="8181" max="8181" width="18.6640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3203125" style="505" customWidth="1"/>
    <col min="8186" max="8186" width="10.83203125" style="505" customWidth="1"/>
    <col min="8187" max="8187" width="10" style="505" customWidth="1"/>
    <col min="8188" max="8188" width="17.33203125" style="505" customWidth="1"/>
    <col min="8189" max="8189" width="10.83203125" style="505" customWidth="1"/>
    <col min="8190" max="8190" width="10" style="505" customWidth="1"/>
    <col min="8191" max="8191" width="16.1640625" style="505" customWidth="1"/>
    <col min="8192" max="8192" width="10.83203125" style="505" customWidth="1"/>
    <col min="8193" max="8193" width="12" style="505" customWidth="1"/>
    <col min="8194" max="8194" width="18.83203125" style="505" customWidth="1"/>
    <col min="8195" max="8195" width="10.83203125" style="505" customWidth="1"/>
    <col min="8196" max="8196" width="16.1640625" style="505" bestFit="1" customWidth="1"/>
    <col min="8197" max="8197" width="12.33203125" style="505" bestFit="1" customWidth="1"/>
    <col min="8198" max="8198" width="10.83203125" style="505" customWidth="1"/>
    <col min="8199" max="8199" width="10" style="505" customWidth="1"/>
    <col min="8200" max="8200" width="17.5" style="505" customWidth="1"/>
    <col min="8201" max="8201" width="10.83203125" style="505" customWidth="1"/>
    <col min="8202" max="8202" width="16" style="505" customWidth="1"/>
    <col min="8203" max="8203" width="12.33203125" style="505" bestFit="1" customWidth="1"/>
    <col min="8204" max="8420" width="11" style="505"/>
    <col min="8421" max="8421" width="32.6640625" style="505" customWidth="1"/>
    <col min="8422" max="8422" width="14.5" style="505" customWidth="1"/>
    <col min="8423" max="8423" width="15.6640625" style="505" bestFit="1" customWidth="1"/>
    <col min="8424" max="8424" width="15.5" style="505" customWidth="1"/>
    <col min="8425" max="8425" width="15.6640625" style="505" customWidth="1"/>
    <col min="8426" max="8426" width="15.6640625" style="505" bestFit="1" customWidth="1"/>
    <col min="8427" max="8427" width="15.83203125" style="505" customWidth="1"/>
    <col min="8428" max="8428" width="14.83203125" style="505" customWidth="1"/>
    <col min="8429" max="8429" width="14.5" style="505" customWidth="1"/>
    <col min="8430" max="8430" width="15.83203125" style="505" customWidth="1"/>
    <col min="8431" max="8431" width="12" style="505" bestFit="1" customWidth="1"/>
    <col min="8432" max="8432" width="18.6640625" style="505" customWidth="1"/>
    <col min="8433" max="8433" width="15.1640625" style="505" customWidth="1"/>
    <col min="8434" max="8434" width="15.6640625" style="505" bestFit="1" customWidth="1"/>
    <col min="8435" max="8435" width="16.33203125" style="505" customWidth="1"/>
    <col min="8436" max="8436" width="13.83203125" style="505" customWidth="1"/>
    <col min="8437" max="8437" width="18.6640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3203125" style="505" customWidth="1"/>
    <col min="8442" max="8442" width="10.83203125" style="505" customWidth="1"/>
    <col min="8443" max="8443" width="10" style="505" customWidth="1"/>
    <col min="8444" max="8444" width="17.33203125" style="505" customWidth="1"/>
    <col min="8445" max="8445" width="10.83203125" style="505" customWidth="1"/>
    <col min="8446" max="8446" width="10" style="505" customWidth="1"/>
    <col min="8447" max="8447" width="16.1640625" style="505" customWidth="1"/>
    <col min="8448" max="8448" width="10.83203125" style="505" customWidth="1"/>
    <col min="8449" max="8449" width="12" style="505" customWidth="1"/>
    <col min="8450" max="8450" width="18.83203125" style="505" customWidth="1"/>
    <col min="8451" max="8451" width="10.83203125" style="505" customWidth="1"/>
    <col min="8452" max="8452" width="16.1640625" style="505" bestFit="1" customWidth="1"/>
    <col min="8453" max="8453" width="12.33203125" style="505" bestFit="1" customWidth="1"/>
    <col min="8454" max="8454" width="10.83203125" style="505" customWidth="1"/>
    <col min="8455" max="8455" width="10" style="505" customWidth="1"/>
    <col min="8456" max="8456" width="17.5" style="505" customWidth="1"/>
    <col min="8457" max="8457" width="10.83203125" style="505" customWidth="1"/>
    <col min="8458" max="8458" width="16" style="505" customWidth="1"/>
    <col min="8459" max="8459" width="12.33203125" style="505" bestFit="1" customWidth="1"/>
    <col min="8460" max="8676" width="11" style="505"/>
    <col min="8677" max="8677" width="32.6640625" style="505" customWidth="1"/>
    <col min="8678" max="8678" width="14.5" style="505" customWidth="1"/>
    <col min="8679" max="8679" width="15.6640625" style="505" bestFit="1" customWidth="1"/>
    <col min="8680" max="8680" width="15.5" style="505" customWidth="1"/>
    <col min="8681" max="8681" width="15.6640625" style="505" customWidth="1"/>
    <col min="8682" max="8682" width="15.6640625" style="505" bestFit="1" customWidth="1"/>
    <col min="8683" max="8683" width="15.83203125" style="505" customWidth="1"/>
    <col min="8684" max="8684" width="14.83203125" style="505" customWidth="1"/>
    <col min="8685" max="8685" width="14.5" style="505" customWidth="1"/>
    <col min="8686" max="8686" width="15.83203125" style="505" customWidth="1"/>
    <col min="8687" max="8687" width="12" style="505" bestFit="1" customWidth="1"/>
    <col min="8688" max="8688" width="18.6640625" style="505" customWidth="1"/>
    <col min="8689" max="8689" width="15.1640625" style="505" customWidth="1"/>
    <col min="8690" max="8690" width="15.6640625" style="505" bestFit="1" customWidth="1"/>
    <col min="8691" max="8691" width="16.33203125" style="505" customWidth="1"/>
    <col min="8692" max="8692" width="13.83203125" style="505" customWidth="1"/>
    <col min="8693" max="8693" width="18.6640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3203125" style="505" customWidth="1"/>
    <col min="8698" max="8698" width="10.83203125" style="505" customWidth="1"/>
    <col min="8699" max="8699" width="10" style="505" customWidth="1"/>
    <col min="8700" max="8700" width="17.33203125" style="505" customWidth="1"/>
    <col min="8701" max="8701" width="10.83203125" style="505" customWidth="1"/>
    <col min="8702" max="8702" width="10" style="505" customWidth="1"/>
    <col min="8703" max="8703" width="16.1640625" style="505" customWidth="1"/>
    <col min="8704" max="8704" width="10.83203125" style="505" customWidth="1"/>
    <col min="8705" max="8705" width="12" style="505" customWidth="1"/>
    <col min="8706" max="8706" width="18.83203125" style="505" customWidth="1"/>
    <col min="8707" max="8707" width="10.83203125" style="505" customWidth="1"/>
    <col min="8708" max="8708" width="16.1640625" style="505" bestFit="1" customWidth="1"/>
    <col min="8709" max="8709" width="12.33203125" style="505" bestFit="1" customWidth="1"/>
    <col min="8710" max="8710" width="10.83203125" style="505" customWidth="1"/>
    <col min="8711" max="8711" width="10" style="505" customWidth="1"/>
    <col min="8712" max="8712" width="17.5" style="505" customWidth="1"/>
    <col min="8713" max="8713" width="10.83203125" style="505" customWidth="1"/>
    <col min="8714" max="8714" width="16" style="505" customWidth="1"/>
    <col min="8715" max="8715" width="12.33203125" style="505" bestFit="1" customWidth="1"/>
    <col min="8716" max="8932" width="11" style="505"/>
    <col min="8933" max="8933" width="32.6640625" style="505" customWidth="1"/>
    <col min="8934" max="8934" width="14.5" style="505" customWidth="1"/>
    <col min="8935" max="8935" width="15.6640625" style="505" bestFit="1" customWidth="1"/>
    <col min="8936" max="8936" width="15.5" style="505" customWidth="1"/>
    <col min="8937" max="8937" width="15.6640625" style="505" customWidth="1"/>
    <col min="8938" max="8938" width="15.6640625" style="505" bestFit="1" customWidth="1"/>
    <col min="8939" max="8939" width="15.83203125" style="505" customWidth="1"/>
    <col min="8940" max="8940" width="14.83203125" style="505" customWidth="1"/>
    <col min="8941" max="8941" width="14.5" style="505" customWidth="1"/>
    <col min="8942" max="8942" width="15.83203125" style="505" customWidth="1"/>
    <col min="8943" max="8943" width="12" style="505" bestFit="1" customWidth="1"/>
    <col min="8944" max="8944" width="18.6640625" style="505" customWidth="1"/>
    <col min="8945" max="8945" width="15.1640625" style="505" customWidth="1"/>
    <col min="8946" max="8946" width="15.6640625" style="505" bestFit="1" customWidth="1"/>
    <col min="8947" max="8947" width="16.33203125" style="505" customWidth="1"/>
    <col min="8948" max="8948" width="13.83203125" style="505" customWidth="1"/>
    <col min="8949" max="8949" width="18.6640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3203125" style="505" customWidth="1"/>
    <col min="8954" max="8954" width="10.83203125" style="505" customWidth="1"/>
    <col min="8955" max="8955" width="10" style="505" customWidth="1"/>
    <col min="8956" max="8956" width="17.33203125" style="505" customWidth="1"/>
    <col min="8957" max="8957" width="10.83203125" style="505" customWidth="1"/>
    <col min="8958" max="8958" width="10" style="505" customWidth="1"/>
    <col min="8959" max="8959" width="16.1640625" style="505" customWidth="1"/>
    <col min="8960" max="8960" width="10.83203125" style="505" customWidth="1"/>
    <col min="8961" max="8961" width="12" style="505" customWidth="1"/>
    <col min="8962" max="8962" width="18.83203125" style="505" customWidth="1"/>
    <col min="8963" max="8963" width="10.83203125" style="505" customWidth="1"/>
    <col min="8964" max="8964" width="16.1640625" style="505" bestFit="1" customWidth="1"/>
    <col min="8965" max="8965" width="12.33203125" style="505" bestFit="1" customWidth="1"/>
    <col min="8966" max="8966" width="10.83203125" style="505" customWidth="1"/>
    <col min="8967" max="8967" width="10" style="505" customWidth="1"/>
    <col min="8968" max="8968" width="17.5" style="505" customWidth="1"/>
    <col min="8969" max="8969" width="10.83203125" style="505" customWidth="1"/>
    <col min="8970" max="8970" width="16" style="505" customWidth="1"/>
    <col min="8971" max="8971" width="12.33203125" style="505" bestFit="1" customWidth="1"/>
    <col min="8972" max="9188" width="11" style="505"/>
    <col min="9189" max="9189" width="32.6640625" style="505" customWidth="1"/>
    <col min="9190" max="9190" width="14.5" style="505" customWidth="1"/>
    <col min="9191" max="9191" width="15.6640625" style="505" bestFit="1" customWidth="1"/>
    <col min="9192" max="9192" width="15.5" style="505" customWidth="1"/>
    <col min="9193" max="9193" width="15.6640625" style="505" customWidth="1"/>
    <col min="9194" max="9194" width="15.6640625" style="505" bestFit="1" customWidth="1"/>
    <col min="9195" max="9195" width="15.83203125" style="505" customWidth="1"/>
    <col min="9196" max="9196" width="14.83203125" style="505" customWidth="1"/>
    <col min="9197" max="9197" width="14.5" style="505" customWidth="1"/>
    <col min="9198" max="9198" width="15.83203125" style="505" customWidth="1"/>
    <col min="9199" max="9199" width="12" style="505" bestFit="1" customWidth="1"/>
    <col min="9200" max="9200" width="18.6640625" style="505" customWidth="1"/>
    <col min="9201" max="9201" width="15.1640625" style="505" customWidth="1"/>
    <col min="9202" max="9202" width="15.6640625" style="505" bestFit="1" customWidth="1"/>
    <col min="9203" max="9203" width="16.33203125" style="505" customWidth="1"/>
    <col min="9204" max="9204" width="13.83203125" style="505" customWidth="1"/>
    <col min="9205" max="9205" width="18.6640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3203125" style="505" customWidth="1"/>
    <col min="9210" max="9210" width="10.83203125" style="505" customWidth="1"/>
    <col min="9211" max="9211" width="10" style="505" customWidth="1"/>
    <col min="9212" max="9212" width="17.33203125" style="505" customWidth="1"/>
    <col min="9213" max="9213" width="10.83203125" style="505" customWidth="1"/>
    <col min="9214" max="9214" width="10" style="505" customWidth="1"/>
    <col min="9215" max="9215" width="16.1640625" style="505" customWidth="1"/>
    <col min="9216" max="9216" width="10.83203125" style="505" customWidth="1"/>
    <col min="9217" max="9217" width="12" style="505" customWidth="1"/>
    <col min="9218" max="9218" width="18.83203125" style="505" customWidth="1"/>
    <col min="9219" max="9219" width="10.83203125" style="505" customWidth="1"/>
    <col min="9220" max="9220" width="16.1640625" style="505" bestFit="1" customWidth="1"/>
    <col min="9221" max="9221" width="12.33203125" style="505" bestFit="1" customWidth="1"/>
    <col min="9222" max="9222" width="10.83203125" style="505" customWidth="1"/>
    <col min="9223" max="9223" width="10" style="505" customWidth="1"/>
    <col min="9224" max="9224" width="17.5" style="505" customWidth="1"/>
    <col min="9225" max="9225" width="10.83203125" style="505" customWidth="1"/>
    <col min="9226" max="9226" width="16" style="505" customWidth="1"/>
    <col min="9227" max="9227" width="12.33203125" style="505" bestFit="1" customWidth="1"/>
    <col min="9228" max="9444" width="11" style="505"/>
    <col min="9445" max="9445" width="32.6640625" style="505" customWidth="1"/>
    <col min="9446" max="9446" width="14.5" style="505" customWidth="1"/>
    <col min="9447" max="9447" width="15.6640625" style="505" bestFit="1" customWidth="1"/>
    <col min="9448" max="9448" width="15.5" style="505" customWidth="1"/>
    <col min="9449" max="9449" width="15.6640625" style="505" customWidth="1"/>
    <col min="9450" max="9450" width="15.6640625" style="505" bestFit="1" customWidth="1"/>
    <col min="9451" max="9451" width="15.83203125" style="505" customWidth="1"/>
    <col min="9452" max="9452" width="14.83203125" style="505" customWidth="1"/>
    <col min="9453" max="9453" width="14.5" style="505" customWidth="1"/>
    <col min="9454" max="9454" width="15.83203125" style="505" customWidth="1"/>
    <col min="9455" max="9455" width="12" style="505" bestFit="1" customWidth="1"/>
    <col min="9456" max="9456" width="18.6640625" style="505" customWidth="1"/>
    <col min="9457" max="9457" width="15.1640625" style="505" customWidth="1"/>
    <col min="9458" max="9458" width="15.6640625" style="505" bestFit="1" customWidth="1"/>
    <col min="9459" max="9459" width="16.33203125" style="505" customWidth="1"/>
    <col min="9460" max="9460" width="13.83203125" style="505" customWidth="1"/>
    <col min="9461" max="9461" width="18.6640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3203125" style="505" customWidth="1"/>
    <col min="9466" max="9466" width="10.83203125" style="505" customWidth="1"/>
    <col min="9467" max="9467" width="10" style="505" customWidth="1"/>
    <col min="9468" max="9468" width="17.33203125" style="505" customWidth="1"/>
    <col min="9469" max="9469" width="10.83203125" style="505" customWidth="1"/>
    <col min="9470" max="9470" width="10" style="505" customWidth="1"/>
    <col min="9471" max="9471" width="16.1640625" style="505" customWidth="1"/>
    <col min="9472" max="9472" width="10.83203125" style="505" customWidth="1"/>
    <col min="9473" max="9473" width="12" style="505" customWidth="1"/>
    <col min="9474" max="9474" width="18.83203125" style="505" customWidth="1"/>
    <col min="9475" max="9475" width="10.83203125" style="505" customWidth="1"/>
    <col min="9476" max="9476" width="16.1640625" style="505" bestFit="1" customWidth="1"/>
    <col min="9477" max="9477" width="12.33203125" style="505" bestFit="1" customWidth="1"/>
    <col min="9478" max="9478" width="10.83203125" style="505" customWidth="1"/>
    <col min="9479" max="9479" width="10" style="505" customWidth="1"/>
    <col min="9480" max="9480" width="17.5" style="505" customWidth="1"/>
    <col min="9481" max="9481" width="10.83203125" style="505" customWidth="1"/>
    <col min="9482" max="9482" width="16" style="505" customWidth="1"/>
    <col min="9483" max="9483" width="12.33203125" style="505" bestFit="1" customWidth="1"/>
    <col min="9484" max="9700" width="11" style="505"/>
    <col min="9701" max="9701" width="32.6640625" style="505" customWidth="1"/>
    <col min="9702" max="9702" width="14.5" style="505" customWidth="1"/>
    <col min="9703" max="9703" width="15.6640625" style="505" bestFit="1" customWidth="1"/>
    <col min="9704" max="9704" width="15.5" style="505" customWidth="1"/>
    <col min="9705" max="9705" width="15.6640625" style="505" customWidth="1"/>
    <col min="9706" max="9706" width="15.6640625" style="505" bestFit="1" customWidth="1"/>
    <col min="9707" max="9707" width="15.83203125" style="505" customWidth="1"/>
    <col min="9708" max="9708" width="14.83203125" style="505" customWidth="1"/>
    <col min="9709" max="9709" width="14.5" style="505" customWidth="1"/>
    <col min="9710" max="9710" width="15.83203125" style="505" customWidth="1"/>
    <col min="9711" max="9711" width="12" style="505" bestFit="1" customWidth="1"/>
    <col min="9712" max="9712" width="18.6640625" style="505" customWidth="1"/>
    <col min="9713" max="9713" width="15.1640625" style="505" customWidth="1"/>
    <col min="9714" max="9714" width="15.6640625" style="505" bestFit="1" customWidth="1"/>
    <col min="9715" max="9715" width="16.33203125" style="505" customWidth="1"/>
    <col min="9716" max="9716" width="13.83203125" style="505" customWidth="1"/>
    <col min="9717" max="9717" width="18.6640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3203125" style="505" customWidth="1"/>
    <col min="9722" max="9722" width="10.83203125" style="505" customWidth="1"/>
    <col min="9723" max="9723" width="10" style="505" customWidth="1"/>
    <col min="9724" max="9724" width="17.33203125" style="505" customWidth="1"/>
    <col min="9725" max="9725" width="10.83203125" style="505" customWidth="1"/>
    <col min="9726" max="9726" width="10" style="505" customWidth="1"/>
    <col min="9727" max="9727" width="16.1640625" style="505" customWidth="1"/>
    <col min="9728" max="9728" width="10.83203125" style="505" customWidth="1"/>
    <col min="9729" max="9729" width="12" style="505" customWidth="1"/>
    <col min="9730" max="9730" width="18.83203125" style="505" customWidth="1"/>
    <col min="9731" max="9731" width="10.83203125" style="505" customWidth="1"/>
    <col min="9732" max="9732" width="16.1640625" style="505" bestFit="1" customWidth="1"/>
    <col min="9733" max="9733" width="12.33203125" style="505" bestFit="1" customWidth="1"/>
    <col min="9734" max="9734" width="10.83203125" style="505" customWidth="1"/>
    <col min="9735" max="9735" width="10" style="505" customWidth="1"/>
    <col min="9736" max="9736" width="17.5" style="505" customWidth="1"/>
    <col min="9737" max="9737" width="10.83203125" style="505" customWidth="1"/>
    <col min="9738" max="9738" width="16" style="505" customWidth="1"/>
    <col min="9739" max="9739" width="12.33203125" style="505" bestFit="1" customWidth="1"/>
    <col min="9740" max="9956" width="11" style="505"/>
    <col min="9957" max="9957" width="32.6640625" style="505" customWidth="1"/>
    <col min="9958" max="9958" width="14.5" style="505" customWidth="1"/>
    <col min="9959" max="9959" width="15.6640625" style="505" bestFit="1" customWidth="1"/>
    <col min="9960" max="9960" width="15.5" style="505" customWidth="1"/>
    <col min="9961" max="9961" width="15.6640625" style="505" customWidth="1"/>
    <col min="9962" max="9962" width="15.6640625" style="505" bestFit="1" customWidth="1"/>
    <col min="9963" max="9963" width="15.83203125" style="505" customWidth="1"/>
    <col min="9964" max="9964" width="14.83203125" style="505" customWidth="1"/>
    <col min="9965" max="9965" width="14.5" style="505" customWidth="1"/>
    <col min="9966" max="9966" width="15.83203125" style="505" customWidth="1"/>
    <col min="9967" max="9967" width="12" style="505" bestFit="1" customWidth="1"/>
    <col min="9968" max="9968" width="18.6640625" style="505" customWidth="1"/>
    <col min="9969" max="9969" width="15.1640625" style="505" customWidth="1"/>
    <col min="9970" max="9970" width="15.6640625" style="505" bestFit="1" customWidth="1"/>
    <col min="9971" max="9971" width="16.33203125" style="505" customWidth="1"/>
    <col min="9972" max="9972" width="13.83203125" style="505" customWidth="1"/>
    <col min="9973" max="9973" width="18.6640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3203125" style="505" customWidth="1"/>
    <col min="9978" max="9978" width="10.83203125" style="505" customWidth="1"/>
    <col min="9979" max="9979" width="10" style="505" customWidth="1"/>
    <col min="9980" max="9980" width="17.33203125" style="505" customWidth="1"/>
    <col min="9981" max="9981" width="10.83203125" style="505" customWidth="1"/>
    <col min="9982" max="9982" width="10" style="505" customWidth="1"/>
    <col min="9983" max="9983" width="16.1640625" style="505" customWidth="1"/>
    <col min="9984" max="9984" width="10.83203125" style="505" customWidth="1"/>
    <col min="9985" max="9985" width="12" style="505" customWidth="1"/>
    <col min="9986" max="9986" width="18.83203125" style="505" customWidth="1"/>
    <col min="9987" max="9987" width="10.83203125" style="505" customWidth="1"/>
    <col min="9988" max="9988" width="16.1640625" style="505" bestFit="1" customWidth="1"/>
    <col min="9989" max="9989" width="12.33203125" style="505" bestFit="1" customWidth="1"/>
    <col min="9990" max="9990" width="10.83203125" style="505" customWidth="1"/>
    <col min="9991" max="9991" width="10" style="505" customWidth="1"/>
    <col min="9992" max="9992" width="17.5" style="505" customWidth="1"/>
    <col min="9993" max="9993" width="10.83203125" style="505" customWidth="1"/>
    <col min="9994" max="9994" width="16" style="505" customWidth="1"/>
    <col min="9995" max="9995" width="12.33203125" style="505" bestFit="1" customWidth="1"/>
    <col min="9996" max="10212" width="11" style="505"/>
    <col min="10213" max="10213" width="32.6640625" style="505" customWidth="1"/>
    <col min="10214" max="10214" width="14.5" style="505" customWidth="1"/>
    <col min="10215" max="10215" width="15.6640625" style="505" bestFit="1" customWidth="1"/>
    <col min="10216" max="10216" width="15.5" style="505" customWidth="1"/>
    <col min="10217" max="10217" width="15.6640625" style="505" customWidth="1"/>
    <col min="10218" max="10218" width="15.6640625" style="505" bestFit="1" customWidth="1"/>
    <col min="10219" max="10219" width="15.83203125" style="505" customWidth="1"/>
    <col min="10220" max="10220" width="14.83203125" style="505" customWidth="1"/>
    <col min="10221" max="10221" width="14.5" style="505" customWidth="1"/>
    <col min="10222" max="10222" width="15.83203125" style="505" customWidth="1"/>
    <col min="10223" max="10223" width="12" style="505" bestFit="1" customWidth="1"/>
    <col min="10224" max="10224" width="18.6640625" style="505" customWidth="1"/>
    <col min="10225" max="10225" width="15.1640625" style="505" customWidth="1"/>
    <col min="10226" max="10226" width="15.6640625" style="505" bestFit="1" customWidth="1"/>
    <col min="10227" max="10227" width="16.33203125" style="505" customWidth="1"/>
    <col min="10228" max="10228" width="13.83203125" style="505" customWidth="1"/>
    <col min="10229" max="10229" width="18.6640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3203125" style="505" customWidth="1"/>
    <col min="10234" max="10234" width="10.83203125" style="505" customWidth="1"/>
    <col min="10235" max="10235" width="10" style="505" customWidth="1"/>
    <col min="10236" max="10236" width="17.33203125" style="505" customWidth="1"/>
    <col min="10237" max="10237" width="10.83203125" style="505" customWidth="1"/>
    <col min="10238" max="10238" width="10" style="505" customWidth="1"/>
    <col min="10239" max="10239" width="16.1640625" style="505" customWidth="1"/>
    <col min="10240" max="10240" width="10.83203125" style="505" customWidth="1"/>
    <col min="10241" max="10241" width="12" style="505" customWidth="1"/>
    <col min="10242" max="10242" width="18.83203125" style="505" customWidth="1"/>
    <col min="10243" max="10243" width="10.83203125" style="505" customWidth="1"/>
    <col min="10244" max="10244" width="16.1640625" style="505" bestFit="1" customWidth="1"/>
    <col min="10245" max="10245" width="12.33203125" style="505" bestFit="1" customWidth="1"/>
    <col min="10246" max="10246" width="10.83203125" style="505" customWidth="1"/>
    <col min="10247" max="10247" width="10" style="505" customWidth="1"/>
    <col min="10248" max="10248" width="17.5" style="505" customWidth="1"/>
    <col min="10249" max="10249" width="10.83203125" style="505" customWidth="1"/>
    <col min="10250" max="10250" width="16" style="505" customWidth="1"/>
    <col min="10251" max="10251" width="12.33203125" style="505" bestFit="1" customWidth="1"/>
    <col min="10252" max="10468" width="11" style="505"/>
    <col min="10469" max="10469" width="32.6640625" style="505" customWidth="1"/>
    <col min="10470" max="10470" width="14.5" style="505" customWidth="1"/>
    <col min="10471" max="10471" width="15.6640625" style="505" bestFit="1" customWidth="1"/>
    <col min="10472" max="10472" width="15.5" style="505" customWidth="1"/>
    <col min="10473" max="10473" width="15.6640625" style="505" customWidth="1"/>
    <col min="10474" max="10474" width="15.6640625" style="505" bestFit="1" customWidth="1"/>
    <col min="10475" max="10475" width="15.83203125" style="505" customWidth="1"/>
    <col min="10476" max="10476" width="14.83203125" style="505" customWidth="1"/>
    <col min="10477" max="10477" width="14.5" style="505" customWidth="1"/>
    <col min="10478" max="10478" width="15.83203125" style="505" customWidth="1"/>
    <col min="10479" max="10479" width="12" style="505" bestFit="1" customWidth="1"/>
    <col min="10480" max="10480" width="18.6640625" style="505" customWidth="1"/>
    <col min="10481" max="10481" width="15.1640625" style="505" customWidth="1"/>
    <col min="10482" max="10482" width="15.6640625" style="505" bestFit="1" customWidth="1"/>
    <col min="10483" max="10483" width="16.33203125" style="505" customWidth="1"/>
    <col min="10484" max="10484" width="13.83203125" style="505" customWidth="1"/>
    <col min="10485" max="10485" width="18.6640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3203125" style="505" customWidth="1"/>
    <col min="10490" max="10490" width="10.83203125" style="505" customWidth="1"/>
    <col min="10491" max="10491" width="10" style="505" customWidth="1"/>
    <col min="10492" max="10492" width="17.33203125" style="505" customWidth="1"/>
    <col min="10493" max="10493" width="10.83203125" style="505" customWidth="1"/>
    <col min="10494" max="10494" width="10" style="505" customWidth="1"/>
    <col min="10495" max="10495" width="16.1640625" style="505" customWidth="1"/>
    <col min="10496" max="10496" width="10.83203125" style="505" customWidth="1"/>
    <col min="10497" max="10497" width="12" style="505" customWidth="1"/>
    <col min="10498" max="10498" width="18.83203125" style="505" customWidth="1"/>
    <col min="10499" max="10499" width="10.83203125" style="505" customWidth="1"/>
    <col min="10500" max="10500" width="16.1640625" style="505" bestFit="1" customWidth="1"/>
    <col min="10501" max="10501" width="12.33203125" style="505" bestFit="1" customWidth="1"/>
    <col min="10502" max="10502" width="10.83203125" style="505" customWidth="1"/>
    <col min="10503" max="10503" width="10" style="505" customWidth="1"/>
    <col min="10504" max="10504" width="17.5" style="505" customWidth="1"/>
    <col min="10505" max="10505" width="10.83203125" style="505" customWidth="1"/>
    <col min="10506" max="10506" width="16" style="505" customWidth="1"/>
    <col min="10507" max="10507" width="12.33203125" style="505" bestFit="1" customWidth="1"/>
    <col min="10508" max="10724" width="11" style="505"/>
    <col min="10725" max="10725" width="32.6640625" style="505" customWidth="1"/>
    <col min="10726" max="10726" width="14.5" style="505" customWidth="1"/>
    <col min="10727" max="10727" width="15.6640625" style="505" bestFit="1" customWidth="1"/>
    <col min="10728" max="10728" width="15.5" style="505" customWidth="1"/>
    <col min="10729" max="10729" width="15.6640625" style="505" customWidth="1"/>
    <col min="10730" max="10730" width="15.6640625" style="505" bestFit="1" customWidth="1"/>
    <col min="10731" max="10731" width="15.83203125" style="505" customWidth="1"/>
    <col min="10732" max="10732" width="14.83203125" style="505" customWidth="1"/>
    <col min="10733" max="10733" width="14.5" style="505" customWidth="1"/>
    <col min="10734" max="10734" width="15.83203125" style="505" customWidth="1"/>
    <col min="10735" max="10735" width="12" style="505" bestFit="1" customWidth="1"/>
    <col min="10736" max="10736" width="18.6640625" style="505" customWidth="1"/>
    <col min="10737" max="10737" width="15.1640625" style="505" customWidth="1"/>
    <col min="10738" max="10738" width="15.6640625" style="505" bestFit="1" customWidth="1"/>
    <col min="10739" max="10739" width="16.33203125" style="505" customWidth="1"/>
    <col min="10740" max="10740" width="13.83203125" style="505" customWidth="1"/>
    <col min="10741" max="10741" width="18.6640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3203125" style="505" customWidth="1"/>
    <col min="10746" max="10746" width="10.83203125" style="505" customWidth="1"/>
    <col min="10747" max="10747" width="10" style="505" customWidth="1"/>
    <col min="10748" max="10748" width="17.33203125" style="505" customWidth="1"/>
    <col min="10749" max="10749" width="10.83203125" style="505" customWidth="1"/>
    <col min="10750" max="10750" width="10" style="505" customWidth="1"/>
    <col min="10751" max="10751" width="16.1640625" style="505" customWidth="1"/>
    <col min="10752" max="10752" width="10.83203125" style="505" customWidth="1"/>
    <col min="10753" max="10753" width="12" style="505" customWidth="1"/>
    <col min="10754" max="10754" width="18.83203125" style="505" customWidth="1"/>
    <col min="10755" max="10755" width="10.83203125" style="505" customWidth="1"/>
    <col min="10756" max="10756" width="16.1640625" style="505" bestFit="1" customWidth="1"/>
    <col min="10757" max="10757" width="12.33203125" style="505" bestFit="1" customWidth="1"/>
    <col min="10758" max="10758" width="10.83203125" style="505" customWidth="1"/>
    <col min="10759" max="10759" width="10" style="505" customWidth="1"/>
    <col min="10760" max="10760" width="17.5" style="505" customWidth="1"/>
    <col min="10761" max="10761" width="10.83203125" style="505" customWidth="1"/>
    <col min="10762" max="10762" width="16" style="505" customWidth="1"/>
    <col min="10763" max="10763" width="12.33203125" style="505" bestFit="1" customWidth="1"/>
    <col min="10764" max="10980" width="11" style="505"/>
    <col min="10981" max="10981" width="32.6640625" style="505" customWidth="1"/>
    <col min="10982" max="10982" width="14.5" style="505" customWidth="1"/>
    <col min="10983" max="10983" width="15.6640625" style="505" bestFit="1" customWidth="1"/>
    <col min="10984" max="10984" width="15.5" style="505" customWidth="1"/>
    <col min="10985" max="10985" width="15.6640625" style="505" customWidth="1"/>
    <col min="10986" max="10986" width="15.6640625" style="505" bestFit="1" customWidth="1"/>
    <col min="10987" max="10987" width="15.83203125" style="505" customWidth="1"/>
    <col min="10988" max="10988" width="14.83203125" style="505" customWidth="1"/>
    <col min="10989" max="10989" width="14.5" style="505" customWidth="1"/>
    <col min="10990" max="10990" width="15.83203125" style="505" customWidth="1"/>
    <col min="10991" max="10991" width="12" style="505" bestFit="1" customWidth="1"/>
    <col min="10992" max="10992" width="18.6640625" style="505" customWidth="1"/>
    <col min="10993" max="10993" width="15.1640625" style="505" customWidth="1"/>
    <col min="10994" max="10994" width="15.6640625" style="505" bestFit="1" customWidth="1"/>
    <col min="10995" max="10995" width="16.33203125" style="505" customWidth="1"/>
    <col min="10996" max="10996" width="13.83203125" style="505" customWidth="1"/>
    <col min="10997" max="10997" width="18.6640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3203125" style="505" customWidth="1"/>
    <col min="11002" max="11002" width="10.83203125" style="505" customWidth="1"/>
    <col min="11003" max="11003" width="10" style="505" customWidth="1"/>
    <col min="11004" max="11004" width="17.33203125" style="505" customWidth="1"/>
    <col min="11005" max="11005" width="10.83203125" style="505" customWidth="1"/>
    <col min="11006" max="11006" width="10" style="505" customWidth="1"/>
    <col min="11007" max="11007" width="16.1640625" style="505" customWidth="1"/>
    <col min="11008" max="11008" width="10.83203125" style="505" customWidth="1"/>
    <col min="11009" max="11009" width="12" style="505" customWidth="1"/>
    <col min="11010" max="11010" width="18.83203125" style="505" customWidth="1"/>
    <col min="11011" max="11011" width="10.83203125" style="505" customWidth="1"/>
    <col min="11012" max="11012" width="16.1640625" style="505" bestFit="1" customWidth="1"/>
    <col min="11013" max="11013" width="12.33203125" style="505" bestFit="1" customWidth="1"/>
    <col min="11014" max="11014" width="10.83203125" style="505" customWidth="1"/>
    <col min="11015" max="11015" width="10" style="505" customWidth="1"/>
    <col min="11016" max="11016" width="17.5" style="505" customWidth="1"/>
    <col min="11017" max="11017" width="10.83203125" style="505" customWidth="1"/>
    <col min="11018" max="11018" width="16" style="505" customWidth="1"/>
    <col min="11019" max="11019" width="12.33203125" style="505" bestFit="1" customWidth="1"/>
    <col min="11020" max="11236" width="11" style="505"/>
    <col min="11237" max="11237" width="32.6640625" style="505" customWidth="1"/>
    <col min="11238" max="11238" width="14.5" style="505" customWidth="1"/>
    <col min="11239" max="11239" width="15.6640625" style="505" bestFit="1" customWidth="1"/>
    <col min="11240" max="11240" width="15.5" style="505" customWidth="1"/>
    <col min="11241" max="11241" width="15.6640625" style="505" customWidth="1"/>
    <col min="11242" max="11242" width="15.6640625" style="505" bestFit="1" customWidth="1"/>
    <col min="11243" max="11243" width="15.83203125" style="505" customWidth="1"/>
    <col min="11244" max="11244" width="14.83203125" style="505" customWidth="1"/>
    <col min="11245" max="11245" width="14.5" style="505" customWidth="1"/>
    <col min="11246" max="11246" width="15.83203125" style="505" customWidth="1"/>
    <col min="11247" max="11247" width="12" style="505" bestFit="1" customWidth="1"/>
    <col min="11248" max="11248" width="18.6640625" style="505" customWidth="1"/>
    <col min="11249" max="11249" width="15.1640625" style="505" customWidth="1"/>
    <col min="11250" max="11250" width="15.6640625" style="505" bestFit="1" customWidth="1"/>
    <col min="11251" max="11251" width="16.33203125" style="505" customWidth="1"/>
    <col min="11252" max="11252" width="13.83203125" style="505" customWidth="1"/>
    <col min="11253" max="11253" width="18.6640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3203125" style="505" customWidth="1"/>
    <col min="11258" max="11258" width="10.83203125" style="505" customWidth="1"/>
    <col min="11259" max="11259" width="10" style="505" customWidth="1"/>
    <col min="11260" max="11260" width="17.33203125" style="505" customWidth="1"/>
    <col min="11261" max="11261" width="10.83203125" style="505" customWidth="1"/>
    <col min="11262" max="11262" width="10" style="505" customWidth="1"/>
    <col min="11263" max="11263" width="16.1640625" style="505" customWidth="1"/>
    <col min="11264" max="11264" width="10.83203125" style="505" customWidth="1"/>
    <col min="11265" max="11265" width="12" style="505" customWidth="1"/>
    <col min="11266" max="11266" width="18.83203125" style="505" customWidth="1"/>
    <col min="11267" max="11267" width="10.83203125" style="505" customWidth="1"/>
    <col min="11268" max="11268" width="16.1640625" style="505" bestFit="1" customWidth="1"/>
    <col min="11269" max="11269" width="12.33203125" style="505" bestFit="1" customWidth="1"/>
    <col min="11270" max="11270" width="10.83203125" style="505" customWidth="1"/>
    <col min="11271" max="11271" width="10" style="505" customWidth="1"/>
    <col min="11272" max="11272" width="17.5" style="505" customWidth="1"/>
    <col min="11273" max="11273" width="10.83203125" style="505" customWidth="1"/>
    <col min="11274" max="11274" width="16" style="505" customWidth="1"/>
    <col min="11275" max="11275" width="12.33203125" style="505" bestFit="1" customWidth="1"/>
    <col min="11276" max="11492" width="11" style="505"/>
    <col min="11493" max="11493" width="32.6640625" style="505" customWidth="1"/>
    <col min="11494" max="11494" width="14.5" style="505" customWidth="1"/>
    <col min="11495" max="11495" width="15.6640625" style="505" bestFit="1" customWidth="1"/>
    <col min="11496" max="11496" width="15.5" style="505" customWidth="1"/>
    <col min="11497" max="11497" width="15.6640625" style="505" customWidth="1"/>
    <col min="11498" max="11498" width="15.6640625" style="505" bestFit="1" customWidth="1"/>
    <col min="11499" max="11499" width="15.83203125" style="505" customWidth="1"/>
    <col min="11500" max="11500" width="14.83203125" style="505" customWidth="1"/>
    <col min="11501" max="11501" width="14.5" style="505" customWidth="1"/>
    <col min="11502" max="11502" width="15.83203125" style="505" customWidth="1"/>
    <col min="11503" max="11503" width="12" style="505" bestFit="1" customWidth="1"/>
    <col min="11504" max="11504" width="18.6640625" style="505" customWidth="1"/>
    <col min="11505" max="11505" width="15.1640625" style="505" customWidth="1"/>
    <col min="11506" max="11506" width="15.6640625" style="505" bestFit="1" customWidth="1"/>
    <col min="11507" max="11507" width="16.33203125" style="505" customWidth="1"/>
    <col min="11508" max="11508" width="13.83203125" style="505" customWidth="1"/>
    <col min="11509" max="11509" width="18.6640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3203125" style="505" customWidth="1"/>
    <col min="11514" max="11514" width="10.83203125" style="505" customWidth="1"/>
    <col min="11515" max="11515" width="10" style="505" customWidth="1"/>
    <col min="11516" max="11516" width="17.33203125" style="505" customWidth="1"/>
    <col min="11517" max="11517" width="10.83203125" style="505" customWidth="1"/>
    <col min="11518" max="11518" width="10" style="505" customWidth="1"/>
    <col min="11519" max="11519" width="16.1640625" style="505" customWidth="1"/>
    <col min="11520" max="11520" width="10.83203125" style="505" customWidth="1"/>
    <col min="11521" max="11521" width="12" style="505" customWidth="1"/>
    <col min="11522" max="11522" width="18.83203125" style="505" customWidth="1"/>
    <col min="11523" max="11523" width="10.83203125" style="505" customWidth="1"/>
    <col min="11524" max="11524" width="16.1640625" style="505" bestFit="1" customWidth="1"/>
    <col min="11525" max="11525" width="12.33203125" style="505" bestFit="1" customWidth="1"/>
    <col min="11526" max="11526" width="10.83203125" style="505" customWidth="1"/>
    <col min="11527" max="11527" width="10" style="505" customWidth="1"/>
    <col min="11528" max="11528" width="17.5" style="505" customWidth="1"/>
    <col min="11529" max="11529" width="10.83203125" style="505" customWidth="1"/>
    <col min="11530" max="11530" width="16" style="505" customWidth="1"/>
    <col min="11531" max="11531" width="12.33203125" style="505" bestFit="1" customWidth="1"/>
    <col min="11532" max="11748" width="11" style="505"/>
    <col min="11749" max="11749" width="32.6640625" style="505" customWidth="1"/>
    <col min="11750" max="11750" width="14.5" style="505" customWidth="1"/>
    <col min="11751" max="11751" width="15.6640625" style="505" bestFit="1" customWidth="1"/>
    <col min="11752" max="11752" width="15.5" style="505" customWidth="1"/>
    <col min="11753" max="11753" width="15.6640625" style="505" customWidth="1"/>
    <col min="11754" max="11754" width="15.6640625" style="505" bestFit="1" customWidth="1"/>
    <col min="11755" max="11755" width="15.83203125" style="505" customWidth="1"/>
    <col min="11756" max="11756" width="14.83203125" style="505" customWidth="1"/>
    <col min="11757" max="11757" width="14.5" style="505" customWidth="1"/>
    <col min="11758" max="11758" width="15.83203125" style="505" customWidth="1"/>
    <col min="11759" max="11759" width="12" style="505" bestFit="1" customWidth="1"/>
    <col min="11760" max="11760" width="18.6640625" style="505" customWidth="1"/>
    <col min="11761" max="11761" width="15.1640625" style="505" customWidth="1"/>
    <col min="11762" max="11762" width="15.6640625" style="505" bestFit="1" customWidth="1"/>
    <col min="11763" max="11763" width="16.33203125" style="505" customWidth="1"/>
    <col min="11764" max="11764" width="13.83203125" style="505" customWidth="1"/>
    <col min="11765" max="11765" width="18.6640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3203125" style="505" customWidth="1"/>
    <col min="11770" max="11770" width="10.83203125" style="505" customWidth="1"/>
    <col min="11771" max="11771" width="10" style="505" customWidth="1"/>
    <col min="11772" max="11772" width="17.33203125" style="505" customWidth="1"/>
    <col min="11773" max="11773" width="10.83203125" style="505" customWidth="1"/>
    <col min="11774" max="11774" width="10" style="505" customWidth="1"/>
    <col min="11775" max="11775" width="16.1640625" style="505" customWidth="1"/>
    <col min="11776" max="11776" width="10.83203125" style="505" customWidth="1"/>
    <col min="11777" max="11777" width="12" style="505" customWidth="1"/>
    <col min="11778" max="11778" width="18.83203125" style="505" customWidth="1"/>
    <col min="11779" max="11779" width="10.83203125" style="505" customWidth="1"/>
    <col min="11780" max="11780" width="16.1640625" style="505" bestFit="1" customWidth="1"/>
    <col min="11781" max="11781" width="12.33203125" style="505" bestFit="1" customWidth="1"/>
    <col min="11782" max="11782" width="10.83203125" style="505" customWidth="1"/>
    <col min="11783" max="11783" width="10" style="505" customWidth="1"/>
    <col min="11784" max="11784" width="17.5" style="505" customWidth="1"/>
    <col min="11785" max="11785" width="10.83203125" style="505" customWidth="1"/>
    <col min="11786" max="11786" width="16" style="505" customWidth="1"/>
    <col min="11787" max="11787" width="12.33203125" style="505" bestFit="1" customWidth="1"/>
    <col min="11788" max="12004" width="11" style="505"/>
    <col min="12005" max="12005" width="32.6640625" style="505" customWidth="1"/>
    <col min="12006" max="12006" width="14.5" style="505" customWidth="1"/>
    <col min="12007" max="12007" width="15.6640625" style="505" bestFit="1" customWidth="1"/>
    <col min="12008" max="12008" width="15.5" style="505" customWidth="1"/>
    <col min="12009" max="12009" width="15.6640625" style="505" customWidth="1"/>
    <col min="12010" max="12010" width="15.6640625" style="505" bestFit="1" customWidth="1"/>
    <col min="12011" max="12011" width="15.83203125" style="505" customWidth="1"/>
    <col min="12012" max="12012" width="14.83203125" style="505" customWidth="1"/>
    <col min="12013" max="12013" width="14.5" style="505" customWidth="1"/>
    <col min="12014" max="12014" width="15.83203125" style="505" customWidth="1"/>
    <col min="12015" max="12015" width="12" style="505" bestFit="1" customWidth="1"/>
    <col min="12016" max="12016" width="18.6640625" style="505" customWidth="1"/>
    <col min="12017" max="12017" width="15.1640625" style="505" customWidth="1"/>
    <col min="12018" max="12018" width="15.6640625" style="505" bestFit="1" customWidth="1"/>
    <col min="12019" max="12019" width="16.33203125" style="505" customWidth="1"/>
    <col min="12020" max="12020" width="13.83203125" style="505" customWidth="1"/>
    <col min="12021" max="12021" width="18.6640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3203125" style="505" customWidth="1"/>
    <col min="12026" max="12026" width="10.83203125" style="505" customWidth="1"/>
    <col min="12027" max="12027" width="10" style="505" customWidth="1"/>
    <col min="12028" max="12028" width="17.33203125" style="505" customWidth="1"/>
    <col min="12029" max="12029" width="10.83203125" style="505" customWidth="1"/>
    <col min="12030" max="12030" width="10" style="505" customWidth="1"/>
    <col min="12031" max="12031" width="16.1640625" style="505" customWidth="1"/>
    <col min="12032" max="12032" width="10.83203125" style="505" customWidth="1"/>
    <col min="12033" max="12033" width="12" style="505" customWidth="1"/>
    <col min="12034" max="12034" width="18.83203125" style="505" customWidth="1"/>
    <col min="12035" max="12035" width="10.83203125" style="505" customWidth="1"/>
    <col min="12036" max="12036" width="16.1640625" style="505" bestFit="1" customWidth="1"/>
    <col min="12037" max="12037" width="12.33203125" style="505" bestFit="1" customWidth="1"/>
    <col min="12038" max="12038" width="10.83203125" style="505" customWidth="1"/>
    <col min="12039" max="12039" width="10" style="505" customWidth="1"/>
    <col min="12040" max="12040" width="17.5" style="505" customWidth="1"/>
    <col min="12041" max="12041" width="10.83203125" style="505" customWidth="1"/>
    <col min="12042" max="12042" width="16" style="505" customWidth="1"/>
    <col min="12043" max="12043" width="12.33203125" style="505" bestFit="1" customWidth="1"/>
    <col min="12044" max="12260" width="11" style="505"/>
    <col min="12261" max="12261" width="32.6640625" style="505" customWidth="1"/>
    <col min="12262" max="12262" width="14.5" style="505" customWidth="1"/>
    <col min="12263" max="12263" width="15.6640625" style="505" bestFit="1" customWidth="1"/>
    <col min="12264" max="12264" width="15.5" style="505" customWidth="1"/>
    <col min="12265" max="12265" width="15.6640625" style="505" customWidth="1"/>
    <col min="12266" max="12266" width="15.6640625" style="505" bestFit="1" customWidth="1"/>
    <col min="12267" max="12267" width="15.83203125" style="505" customWidth="1"/>
    <col min="12268" max="12268" width="14.83203125" style="505" customWidth="1"/>
    <col min="12269" max="12269" width="14.5" style="505" customWidth="1"/>
    <col min="12270" max="12270" width="15.83203125" style="505" customWidth="1"/>
    <col min="12271" max="12271" width="12" style="505" bestFit="1" customWidth="1"/>
    <col min="12272" max="12272" width="18.6640625" style="505" customWidth="1"/>
    <col min="12273" max="12273" width="15.1640625" style="505" customWidth="1"/>
    <col min="12274" max="12274" width="15.6640625" style="505" bestFit="1" customWidth="1"/>
    <col min="12275" max="12275" width="16.33203125" style="505" customWidth="1"/>
    <col min="12276" max="12276" width="13.83203125" style="505" customWidth="1"/>
    <col min="12277" max="12277" width="18.6640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3203125" style="505" customWidth="1"/>
    <col min="12282" max="12282" width="10.83203125" style="505" customWidth="1"/>
    <col min="12283" max="12283" width="10" style="505" customWidth="1"/>
    <col min="12284" max="12284" width="17.33203125" style="505" customWidth="1"/>
    <col min="12285" max="12285" width="10.83203125" style="505" customWidth="1"/>
    <col min="12286" max="12286" width="10" style="505" customWidth="1"/>
    <col min="12287" max="12287" width="16.1640625" style="505" customWidth="1"/>
    <col min="12288" max="12288" width="10.83203125" style="505" customWidth="1"/>
    <col min="12289" max="12289" width="12" style="505" customWidth="1"/>
    <col min="12290" max="12290" width="18.83203125" style="505" customWidth="1"/>
    <col min="12291" max="12291" width="10.83203125" style="505" customWidth="1"/>
    <col min="12292" max="12292" width="16.1640625" style="505" bestFit="1" customWidth="1"/>
    <col min="12293" max="12293" width="12.33203125" style="505" bestFit="1" customWidth="1"/>
    <col min="12294" max="12294" width="10.83203125" style="505" customWidth="1"/>
    <col min="12295" max="12295" width="10" style="505" customWidth="1"/>
    <col min="12296" max="12296" width="17.5" style="505" customWidth="1"/>
    <col min="12297" max="12297" width="10.83203125" style="505" customWidth="1"/>
    <col min="12298" max="12298" width="16" style="505" customWidth="1"/>
    <col min="12299" max="12299" width="12.33203125" style="505" bestFit="1" customWidth="1"/>
    <col min="12300" max="12516" width="11" style="505"/>
    <col min="12517" max="12517" width="32.6640625" style="505" customWidth="1"/>
    <col min="12518" max="12518" width="14.5" style="505" customWidth="1"/>
    <col min="12519" max="12519" width="15.6640625" style="505" bestFit="1" customWidth="1"/>
    <col min="12520" max="12520" width="15.5" style="505" customWidth="1"/>
    <col min="12521" max="12521" width="15.6640625" style="505" customWidth="1"/>
    <col min="12522" max="12522" width="15.6640625" style="505" bestFit="1" customWidth="1"/>
    <col min="12523" max="12523" width="15.83203125" style="505" customWidth="1"/>
    <col min="12524" max="12524" width="14.83203125" style="505" customWidth="1"/>
    <col min="12525" max="12525" width="14.5" style="505" customWidth="1"/>
    <col min="12526" max="12526" width="15.83203125" style="505" customWidth="1"/>
    <col min="12527" max="12527" width="12" style="505" bestFit="1" customWidth="1"/>
    <col min="12528" max="12528" width="18.6640625" style="505" customWidth="1"/>
    <col min="12529" max="12529" width="15.1640625" style="505" customWidth="1"/>
    <col min="12530" max="12530" width="15.6640625" style="505" bestFit="1" customWidth="1"/>
    <col min="12531" max="12531" width="16.33203125" style="505" customWidth="1"/>
    <col min="12532" max="12532" width="13.83203125" style="505" customWidth="1"/>
    <col min="12533" max="12533" width="18.6640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3203125" style="505" customWidth="1"/>
    <col min="12538" max="12538" width="10.83203125" style="505" customWidth="1"/>
    <col min="12539" max="12539" width="10" style="505" customWidth="1"/>
    <col min="12540" max="12540" width="17.33203125" style="505" customWidth="1"/>
    <col min="12541" max="12541" width="10.83203125" style="505" customWidth="1"/>
    <col min="12542" max="12542" width="10" style="505" customWidth="1"/>
    <col min="12543" max="12543" width="16.1640625" style="505" customWidth="1"/>
    <col min="12544" max="12544" width="10.83203125" style="505" customWidth="1"/>
    <col min="12545" max="12545" width="12" style="505" customWidth="1"/>
    <col min="12546" max="12546" width="18.83203125" style="505" customWidth="1"/>
    <col min="12547" max="12547" width="10.83203125" style="505" customWidth="1"/>
    <col min="12548" max="12548" width="16.1640625" style="505" bestFit="1" customWidth="1"/>
    <col min="12549" max="12549" width="12.33203125" style="505" bestFit="1" customWidth="1"/>
    <col min="12550" max="12550" width="10.83203125" style="505" customWidth="1"/>
    <col min="12551" max="12551" width="10" style="505" customWidth="1"/>
    <col min="12552" max="12552" width="17.5" style="505" customWidth="1"/>
    <col min="12553" max="12553" width="10.83203125" style="505" customWidth="1"/>
    <col min="12554" max="12554" width="16" style="505" customWidth="1"/>
    <col min="12555" max="12555" width="12.33203125" style="505" bestFit="1" customWidth="1"/>
    <col min="12556" max="12772" width="11" style="505"/>
    <col min="12773" max="12773" width="32.6640625" style="505" customWidth="1"/>
    <col min="12774" max="12774" width="14.5" style="505" customWidth="1"/>
    <col min="12775" max="12775" width="15.6640625" style="505" bestFit="1" customWidth="1"/>
    <col min="12776" max="12776" width="15.5" style="505" customWidth="1"/>
    <col min="12777" max="12777" width="15.6640625" style="505" customWidth="1"/>
    <col min="12778" max="12778" width="15.6640625" style="505" bestFit="1" customWidth="1"/>
    <col min="12779" max="12779" width="15.83203125" style="505" customWidth="1"/>
    <col min="12780" max="12780" width="14.83203125" style="505" customWidth="1"/>
    <col min="12781" max="12781" width="14.5" style="505" customWidth="1"/>
    <col min="12782" max="12782" width="15.83203125" style="505" customWidth="1"/>
    <col min="12783" max="12783" width="12" style="505" bestFit="1" customWidth="1"/>
    <col min="12784" max="12784" width="18.6640625" style="505" customWidth="1"/>
    <col min="12785" max="12785" width="15.1640625" style="505" customWidth="1"/>
    <col min="12786" max="12786" width="15.6640625" style="505" bestFit="1" customWidth="1"/>
    <col min="12787" max="12787" width="16.33203125" style="505" customWidth="1"/>
    <col min="12788" max="12788" width="13.83203125" style="505" customWidth="1"/>
    <col min="12789" max="12789" width="18.6640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3203125" style="505" customWidth="1"/>
    <col min="12794" max="12794" width="10.83203125" style="505" customWidth="1"/>
    <col min="12795" max="12795" width="10" style="505" customWidth="1"/>
    <col min="12796" max="12796" width="17.33203125" style="505" customWidth="1"/>
    <col min="12797" max="12797" width="10.83203125" style="505" customWidth="1"/>
    <col min="12798" max="12798" width="10" style="505" customWidth="1"/>
    <col min="12799" max="12799" width="16.1640625" style="505" customWidth="1"/>
    <col min="12800" max="12800" width="10.83203125" style="505" customWidth="1"/>
    <col min="12801" max="12801" width="12" style="505" customWidth="1"/>
    <col min="12802" max="12802" width="18.83203125" style="505" customWidth="1"/>
    <col min="12803" max="12803" width="10.83203125" style="505" customWidth="1"/>
    <col min="12804" max="12804" width="16.1640625" style="505" bestFit="1" customWidth="1"/>
    <col min="12805" max="12805" width="12.33203125" style="505" bestFit="1" customWidth="1"/>
    <col min="12806" max="12806" width="10.83203125" style="505" customWidth="1"/>
    <col min="12807" max="12807" width="10" style="505" customWidth="1"/>
    <col min="12808" max="12808" width="17.5" style="505" customWidth="1"/>
    <col min="12809" max="12809" width="10.83203125" style="505" customWidth="1"/>
    <col min="12810" max="12810" width="16" style="505" customWidth="1"/>
    <col min="12811" max="12811" width="12.33203125" style="505" bestFit="1" customWidth="1"/>
    <col min="12812" max="13028" width="11" style="505"/>
    <col min="13029" max="13029" width="32.6640625" style="505" customWidth="1"/>
    <col min="13030" max="13030" width="14.5" style="505" customWidth="1"/>
    <col min="13031" max="13031" width="15.6640625" style="505" bestFit="1" customWidth="1"/>
    <col min="13032" max="13032" width="15.5" style="505" customWidth="1"/>
    <col min="13033" max="13033" width="15.6640625" style="505" customWidth="1"/>
    <col min="13034" max="13034" width="15.6640625" style="505" bestFit="1" customWidth="1"/>
    <col min="13035" max="13035" width="15.83203125" style="505" customWidth="1"/>
    <col min="13036" max="13036" width="14.83203125" style="505" customWidth="1"/>
    <col min="13037" max="13037" width="14.5" style="505" customWidth="1"/>
    <col min="13038" max="13038" width="15.83203125" style="505" customWidth="1"/>
    <col min="13039" max="13039" width="12" style="505" bestFit="1" customWidth="1"/>
    <col min="13040" max="13040" width="18.6640625" style="505" customWidth="1"/>
    <col min="13041" max="13041" width="15.1640625" style="505" customWidth="1"/>
    <col min="13042" max="13042" width="15.6640625" style="505" bestFit="1" customWidth="1"/>
    <col min="13043" max="13043" width="16.33203125" style="505" customWidth="1"/>
    <col min="13044" max="13044" width="13.83203125" style="505" customWidth="1"/>
    <col min="13045" max="13045" width="18.6640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3203125" style="505" customWidth="1"/>
    <col min="13050" max="13050" width="10.83203125" style="505" customWidth="1"/>
    <col min="13051" max="13051" width="10" style="505" customWidth="1"/>
    <col min="13052" max="13052" width="17.33203125" style="505" customWidth="1"/>
    <col min="13053" max="13053" width="10.83203125" style="505" customWidth="1"/>
    <col min="13054" max="13054" width="10" style="505" customWidth="1"/>
    <col min="13055" max="13055" width="16.1640625" style="505" customWidth="1"/>
    <col min="13056" max="13056" width="10.83203125" style="505" customWidth="1"/>
    <col min="13057" max="13057" width="12" style="505" customWidth="1"/>
    <col min="13058" max="13058" width="18.83203125" style="505" customWidth="1"/>
    <col min="13059" max="13059" width="10.83203125" style="505" customWidth="1"/>
    <col min="13060" max="13060" width="16.1640625" style="505" bestFit="1" customWidth="1"/>
    <col min="13061" max="13061" width="12.33203125" style="505" bestFit="1" customWidth="1"/>
    <col min="13062" max="13062" width="10.83203125" style="505" customWidth="1"/>
    <col min="13063" max="13063" width="10" style="505" customWidth="1"/>
    <col min="13064" max="13064" width="17.5" style="505" customWidth="1"/>
    <col min="13065" max="13065" width="10.83203125" style="505" customWidth="1"/>
    <col min="13066" max="13066" width="16" style="505" customWidth="1"/>
    <col min="13067" max="13067" width="12.33203125" style="505" bestFit="1" customWidth="1"/>
    <col min="13068" max="13284" width="11" style="505"/>
    <col min="13285" max="13285" width="32.6640625" style="505" customWidth="1"/>
    <col min="13286" max="13286" width="14.5" style="505" customWidth="1"/>
    <col min="13287" max="13287" width="15.6640625" style="505" bestFit="1" customWidth="1"/>
    <col min="13288" max="13288" width="15.5" style="505" customWidth="1"/>
    <col min="13289" max="13289" width="15.6640625" style="505" customWidth="1"/>
    <col min="13290" max="13290" width="15.6640625" style="505" bestFit="1" customWidth="1"/>
    <col min="13291" max="13291" width="15.83203125" style="505" customWidth="1"/>
    <col min="13292" max="13292" width="14.83203125" style="505" customWidth="1"/>
    <col min="13293" max="13293" width="14.5" style="505" customWidth="1"/>
    <col min="13294" max="13294" width="15.83203125" style="505" customWidth="1"/>
    <col min="13295" max="13295" width="12" style="505" bestFit="1" customWidth="1"/>
    <col min="13296" max="13296" width="18.6640625" style="505" customWidth="1"/>
    <col min="13297" max="13297" width="15.1640625" style="505" customWidth="1"/>
    <col min="13298" max="13298" width="15.6640625" style="505" bestFit="1" customWidth="1"/>
    <col min="13299" max="13299" width="16.33203125" style="505" customWidth="1"/>
    <col min="13300" max="13300" width="13.83203125" style="505" customWidth="1"/>
    <col min="13301" max="13301" width="18.6640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3203125" style="505" customWidth="1"/>
    <col min="13306" max="13306" width="10.83203125" style="505" customWidth="1"/>
    <col min="13307" max="13307" width="10" style="505" customWidth="1"/>
    <col min="13308" max="13308" width="17.33203125" style="505" customWidth="1"/>
    <col min="13309" max="13309" width="10.83203125" style="505" customWidth="1"/>
    <col min="13310" max="13310" width="10" style="505" customWidth="1"/>
    <col min="13311" max="13311" width="16.1640625" style="505" customWidth="1"/>
    <col min="13312" max="13312" width="10.83203125" style="505" customWidth="1"/>
    <col min="13313" max="13313" width="12" style="505" customWidth="1"/>
    <col min="13314" max="13314" width="18.83203125" style="505" customWidth="1"/>
    <col min="13315" max="13315" width="10.83203125" style="505" customWidth="1"/>
    <col min="13316" max="13316" width="16.1640625" style="505" bestFit="1" customWidth="1"/>
    <col min="13317" max="13317" width="12.33203125" style="505" bestFit="1" customWidth="1"/>
    <col min="13318" max="13318" width="10.83203125" style="505" customWidth="1"/>
    <col min="13319" max="13319" width="10" style="505" customWidth="1"/>
    <col min="13320" max="13320" width="17.5" style="505" customWidth="1"/>
    <col min="13321" max="13321" width="10.83203125" style="505" customWidth="1"/>
    <col min="13322" max="13322" width="16" style="505" customWidth="1"/>
    <col min="13323" max="13323" width="12.33203125" style="505" bestFit="1" customWidth="1"/>
    <col min="13324" max="13540" width="11" style="505"/>
    <col min="13541" max="13541" width="32.6640625" style="505" customWidth="1"/>
    <col min="13542" max="13542" width="14.5" style="505" customWidth="1"/>
    <col min="13543" max="13543" width="15.6640625" style="505" bestFit="1" customWidth="1"/>
    <col min="13544" max="13544" width="15.5" style="505" customWidth="1"/>
    <col min="13545" max="13545" width="15.6640625" style="505" customWidth="1"/>
    <col min="13546" max="13546" width="15.6640625" style="505" bestFit="1" customWidth="1"/>
    <col min="13547" max="13547" width="15.83203125" style="505" customWidth="1"/>
    <col min="13548" max="13548" width="14.83203125" style="505" customWidth="1"/>
    <col min="13549" max="13549" width="14.5" style="505" customWidth="1"/>
    <col min="13550" max="13550" width="15.83203125" style="505" customWidth="1"/>
    <col min="13551" max="13551" width="12" style="505" bestFit="1" customWidth="1"/>
    <col min="13552" max="13552" width="18.6640625" style="505" customWidth="1"/>
    <col min="13553" max="13553" width="15.1640625" style="505" customWidth="1"/>
    <col min="13554" max="13554" width="15.6640625" style="505" bestFit="1" customWidth="1"/>
    <col min="13555" max="13555" width="16.33203125" style="505" customWidth="1"/>
    <col min="13556" max="13556" width="13.83203125" style="505" customWidth="1"/>
    <col min="13557" max="13557" width="18.6640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3203125" style="505" customWidth="1"/>
    <col min="13562" max="13562" width="10.83203125" style="505" customWidth="1"/>
    <col min="13563" max="13563" width="10" style="505" customWidth="1"/>
    <col min="13564" max="13564" width="17.33203125" style="505" customWidth="1"/>
    <col min="13565" max="13565" width="10.83203125" style="505" customWidth="1"/>
    <col min="13566" max="13566" width="10" style="505" customWidth="1"/>
    <col min="13567" max="13567" width="16.1640625" style="505" customWidth="1"/>
    <col min="13568" max="13568" width="10.83203125" style="505" customWidth="1"/>
    <col min="13569" max="13569" width="12" style="505" customWidth="1"/>
    <col min="13570" max="13570" width="18.83203125" style="505" customWidth="1"/>
    <col min="13571" max="13571" width="10.83203125" style="505" customWidth="1"/>
    <col min="13572" max="13572" width="16.1640625" style="505" bestFit="1" customWidth="1"/>
    <col min="13573" max="13573" width="12.33203125" style="505" bestFit="1" customWidth="1"/>
    <col min="13574" max="13574" width="10.83203125" style="505" customWidth="1"/>
    <col min="13575" max="13575" width="10" style="505" customWidth="1"/>
    <col min="13576" max="13576" width="17.5" style="505" customWidth="1"/>
    <col min="13577" max="13577" width="10.83203125" style="505" customWidth="1"/>
    <col min="13578" max="13578" width="16" style="505" customWidth="1"/>
    <col min="13579" max="13579" width="12.33203125" style="505" bestFit="1" customWidth="1"/>
    <col min="13580" max="13796" width="11" style="505"/>
    <col min="13797" max="13797" width="32.6640625" style="505" customWidth="1"/>
    <col min="13798" max="13798" width="14.5" style="505" customWidth="1"/>
    <col min="13799" max="13799" width="15.6640625" style="505" bestFit="1" customWidth="1"/>
    <col min="13800" max="13800" width="15.5" style="505" customWidth="1"/>
    <col min="13801" max="13801" width="15.6640625" style="505" customWidth="1"/>
    <col min="13802" max="13802" width="15.6640625" style="505" bestFit="1" customWidth="1"/>
    <col min="13803" max="13803" width="15.83203125" style="505" customWidth="1"/>
    <col min="13804" max="13804" width="14.83203125" style="505" customWidth="1"/>
    <col min="13805" max="13805" width="14.5" style="505" customWidth="1"/>
    <col min="13806" max="13806" width="15.83203125" style="505" customWidth="1"/>
    <col min="13807" max="13807" width="12" style="505" bestFit="1" customWidth="1"/>
    <col min="13808" max="13808" width="18.6640625" style="505" customWidth="1"/>
    <col min="13809" max="13809" width="15.1640625" style="505" customWidth="1"/>
    <col min="13810" max="13810" width="15.6640625" style="505" bestFit="1" customWidth="1"/>
    <col min="13811" max="13811" width="16.33203125" style="505" customWidth="1"/>
    <col min="13812" max="13812" width="13.83203125" style="505" customWidth="1"/>
    <col min="13813" max="13813" width="18.6640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3203125" style="505" customWidth="1"/>
    <col min="13818" max="13818" width="10.83203125" style="505" customWidth="1"/>
    <col min="13819" max="13819" width="10" style="505" customWidth="1"/>
    <col min="13820" max="13820" width="17.33203125" style="505" customWidth="1"/>
    <col min="13821" max="13821" width="10.83203125" style="505" customWidth="1"/>
    <col min="13822" max="13822" width="10" style="505" customWidth="1"/>
    <col min="13823" max="13823" width="16.1640625" style="505" customWidth="1"/>
    <col min="13824" max="13824" width="10.83203125" style="505" customWidth="1"/>
    <col min="13825" max="13825" width="12" style="505" customWidth="1"/>
    <col min="13826" max="13826" width="18.83203125" style="505" customWidth="1"/>
    <col min="13827" max="13827" width="10.83203125" style="505" customWidth="1"/>
    <col min="13828" max="13828" width="16.1640625" style="505" bestFit="1" customWidth="1"/>
    <col min="13829" max="13829" width="12.33203125" style="505" bestFit="1" customWidth="1"/>
    <col min="13830" max="13830" width="10.83203125" style="505" customWidth="1"/>
    <col min="13831" max="13831" width="10" style="505" customWidth="1"/>
    <col min="13832" max="13832" width="17.5" style="505" customWidth="1"/>
    <col min="13833" max="13833" width="10.83203125" style="505" customWidth="1"/>
    <col min="13834" max="13834" width="16" style="505" customWidth="1"/>
    <col min="13835" max="13835" width="12.33203125" style="505" bestFit="1" customWidth="1"/>
    <col min="13836" max="14052" width="11" style="505"/>
    <col min="14053" max="14053" width="32.6640625" style="505" customWidth="1"/>
    <col min="14054" max="14054" width="14.5" style="505" customWidth="1"/>
    <col min="14055" max="14055" width="15.6640625" style="505" bestFit="1" customWidth="1"/>
    <col min="14056" max="14056" width="15.5" style="505" customWidth="1"/>
    <col min="14057" max="14057" width="15.6640625" style="505" customWidth="1"/>
    <col min="14058" max="14058" width="15.6640625" style="505" bestFit="1" customWidth="1"/>
    <col min="14059" max="14059" width="15.83203125" style="505" customWidth="1"/>
    <col min="14060" max="14060" width="14.83203125" style="505" customWidth="1"/>
    <col min="14061" max="14061" width="14.5" style="505" customWidth="1"/>
    <col min="14062" max="14062" width="15.83203125" style="505" customWidth="1"/>
    <col min="14063" max="14063" width="12" style="505" bestFit="1" customWidth="1"/>
    <col min="14064" max="14064" width="18.6640625" style="505" customWidth="1"/>
    <col min="14065" max="14065" width="15.1640625" style="505" customWidth="1"/>
    <col min="14066" max="14066" width="15.6640625" style="505" bestFit="1" customWidth="1"/>
    <col min="14067" max="14067" width="16.33203125" style="505" customWidth="1"/>
    <col min="14068" max="14068" width="13.83203125" style="505" customWidth="1"/>
    <col min="14069" max="14069" width="18.6640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3203125" style="505" customWidth="1"/>
    <col min="14074" max="14074" width="10.83203125" style="505" customWidth="1"/>
    <col min="14075" max="14075" width="10" style="505" customWidth="1"/>
    <col min="14076" max="14076" width="17.33203125" style="505" customWidth="1"/>
    <col min="14077" max="14077" width="10.83203125" style="505" customWidth="1"/>
    <col min="14078" max="14078" width="10" style="505" customWidth="1"/>
    <col min="14079" max="14079" width="16.1640625" style="505" customWidth="1"/>
    <col min="14080" max="14080" width="10.83203125" style="505" customWidth="1"/>
    <col min="14081" max="14081" width="12" style="505" customWidth="1"/>
    <col min="14082" max="14082" width="18.83203125" style="505" customWidth="1"/>
    <col min="14083" max="14083" width="10.83203125" style="505" customWidth="1"/>
    <col min="14084" max="14084" width="16.1640625" style="505" bestFit="1" customWidth="1"/>
    <col min="14085" max="14085" width="12.33203125" style="505" bestFit="1" customWidth="1"/>
    <col min="14086" max="14086" width="10.83203125" style="505" customWidth="1"/>
    <col min="14087" max="14087" width="10" style="505" customWidth="1"/>
    <col min="14088" max="14088" width="17.5" style="505" customWidth="1"/>
    <col min="14089" max="14089" width="10.83203125" style="505" customWidth="1"/>
    <col min="14090" max="14090" width="16" style="505" customWidth="1"/>
    <col min="14091" max="14091" width="12.33203125" style="505" bestFit="1" customWidth="1"/>
    <col min="14092" max="14308" width="11" style="505"/>
    <col min="14309" max="14309" width="32.6640625" style="505" customWidth="1"/>
    <col min="14310" max="14310" width="14.5" style="505" customWidth="1"/>
    <col min="14311" max="14311" width="15.6640625" style="505" bestFit="1" customWidth="1"/>
    <col min="14312" max="14312" width="15.5" style="505" customWidth="1"/>
    <col min="14313" max="14313" width="15.6640625" style="505" customWidth="1"/>
    <col min="14314" max="14314" width="15.6640625" style="505" bestFit="1" customWidth="1"/>
    <col min="14315" max="14315" width="15.83203125" style="505" customWidth="1"/>
    <col min="14316" max="14316" width="14.83203125" style="505" customWidth="1"/>
    <col min="14317" max="14317" width="14.5" style="505" customWidth="1"/>
    <col min="14318" max="14318" width="15.83203125" style="505" customWidth="1"/>
    <col min="14319" max="14319" width="12" style="505" bestFit="1" customWidth="1"/>
    <col min="14320" max="14320" width="18.6640625" style="505" customWidth="1"/>
    <col min="14321" max="14321" width="15.1640625" style="505" customWidth="1"/>
    <col min="14322" max="14322" width="15.6640625" style="505" bestFit="1" customWidth="1"/>
    <col min="14323" max="14323" width="16.33203125" style="505" customWidth="1"/>
    <col min="14324" max="14324" width="13.83203125" style="505" customWidth="1"/>
    <col min="14325" max="14325" width="18.6640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3203125" style="505" customWidth="1"/>
    <col min="14330" max="14330" width="10.83203125" style="505" customWidth="1"/>
    <col min="14331" max="14331" width="10" style="505" customWidth="1"/>
    <col min="14332" max="14332" width="17.33203125" style="505" customWidth="1"/>
    <col min="14333" max="14333" width="10.83203125" style="505" customWidth="1"/>
    <col min="14334" max="14334" width="10" style="505" customWidth="1"/>
    <col min="14335" max="14335" width="16.1640625" style="505" customWidth="1"/>
    <col min="14336" max="14336" width="10.83203125" style="505" customWidth="1"/>
    <col min="14337" max="14337" width="12" style="505" customWidth="1"/>
    <col min="14338" max="14338" width="18.83203125" style="505" customWidth="1"/>
    <col min="14339" max="14339" width="10.83203125" style="505" customWidth="1"/>
    <col min="14340" max="14340" width="16.1640625" style="505" bestFit="1" customWidth="1"/>
    <col min="14341" max="14341" width="12.33203125" style="505" bestFit="1" customWidth="1"/>
    <col min="14342" max="14342" width="10.83203125" style="505" customWidth="1"/>
    <col min="14343" max="14343" width="10" style="505" customWidth="1"/>
    <col min="14344" max="14344" width="17.5" style="505" customWidth="1"/>
    <col min="14345" max="14345" width="10.83203125" style="505" customWidth="1"/>
    <col min="14346" max="14346" width="16" style="505" customWidth="1"/>
    <col min="14347" max="14347" width="12.33203125" style="505" bestFit="1" customWidth="1"/>
    <col min="14348" max="14564" width="11" style="505"/>
    <col min="14565" max="14565" width="32.6640625" style="505" customWidth="1"/>
    <col min="14566" max="14566" width="14.5" style="505" customWidth="1"/>
    <col min="14567" max="14567" width="15.6640625" style="505" bestFit="1" customWidth="1"/>
    <col min="14568" max="14568" width="15.5" style="505" customWidth="1"/>
    <col min="14569" max="14569" width="15.6640625" style="505" customWidth="1"/>
    <col min="14570" max="14570" width="15.6640625" style="505" bestFit="1" customWidth="1"/>
    <col min="14571" max="14571" width="15.83203125" style="505" customWidth="1"/>
    <col min="14572" max="14572" width="14.83203125" style="505" customWidth="1"/>
    <col min="14573" max="14573" width="14.5" style="505" customWidth="1"/>
    <col min="14574" max="14574" width="15.83203125" style="505" customWidth="1"/>
    <col min="14575" max="14575" width="12" style="505" bestFit="1" customWidth="1"/>
    <col min="14576" max="14576" width="18.6640625" style="505" customWidth="1"/>
    <col min="14577" max="14577" width="15.1640625" style="505" customWidth="1"/>
    <col min="14578" max="14578" width="15.6640625" style="505" bestFit="1" customWidth="1"/>
    <col min="14579" max="14579" width="16.33203125" style="505" customWidth="1"/>
    <col min="14580" max="14580" width="13.83203125" style="505" customWidth="1"/>
    <col min="14581" max="14581" width="18.6640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3203125" style="505" customWidth="1"/>
    <col min="14586" max="14586" width="10.83203125" style="505" customWidth="1"/>
    <col min="14587" max="14587" width="10" style="505" customWidth="1"/>
    <col min="14588" max="14588" width="17.33203125" style="505" customWidth="1"/>
    <col min="14589" max="14589" width="10.83203125" style="505" customWidth="1"/>
    <col min="14590" max="14590" width="10" style="505" customWidth="1"/>
    <col min="14591" max="14591" width="16.1640625" style="505" customWidth="1"/>
    <col min="14592" max="14592" width="10.83203125" style="505" customWidth="1"/>
    <col min="14593" max="14593" width="12" style="505" customWidth="1"/>
    <col min="14594" max="14594" width="18.83203125" style="505" customWidth="1"/>
    <col min="14595" max="14595" width="10.83203125" style="505" customWidth="1"/>
    <col min="14596" max="14596" width="16.1640625" style="505" bestFit="1" customWidth="1"/>
    <col min="14597" max="14597" width="12.33203125" style="505" bestFit="1" customWidth="1"/>
    <col min="14598" max="14598" width="10.83203125" style="505" customWidth="1"/>
    <col min="14599" max="14599" width="10" style="505" customWidth="1"/>
    <col min="14600" max="14600" width="17.5" style="505" customWidth="1"/>
    <col min="14601" max="14601" width="10.83203125" style="505" customWidth="1"/>
    <col min="14602" max="14602" width="16" style="505" customWidth="1"/>
    <col min="14603" max="14603" width="12.33203125" style="505" bestFit="1" customWidth="1"/>
    <col min="14604" max="14820" width="11" style="505"/>
    <col min="14821" max="14821" width="32.6640625" style="505" customWidth="1"/>
    <col min="14822" max="14822" width="14.5" style="505" customWidth="1"/>
    <col min="14823" max="14823" width="15.6640625" style="505" bestFit="1" customWidth="1"/>
    <col min="14824" max="14824" width="15.5" style="505" customWidth="1"/>
    <col min="14825" max="14825" width="15.6640625" style="505" customWidth="1"/>
    <col min="14826" max="14826" width="15.6640625" style="505" bestFit="1" customWidth="1"/>
    <col min="14827" max="14827" width="15.83203125" style="505" customWidth="1"/>
    <col min="14828" max="14828" width="14.83203125" style="505" customWidth="1"/>
    <col min="14829" max="14829" width="14.5" style="505" customWidth="1"/>
    <col min="14830" max="14830" width="15.83203125" style="505" customWidth="1"/>
    <col min="14831" max="14831" width="12" style="505" bestFit="1" customWidth="1"/>
    <col min="14832" max="14832" width="18.6640625" style="505" customWidth="1"/>
    <col min="14833" max="14833" width="15.1640625" style="505" customWidth="1"/>
    <col min="14834" max="14834" width="15.6640625" style="505" bestFit="1" customWidth="1"/>
    <col min="14835" max="14835" width="16.33203125" style="505" customWidth="1"/>
    <col min="14836" max="14836" width="13.83203125" style="505" customWidth="1"/>
    <col min="14837" max="14837" width="18.6640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3203125" style="505" customWidth="1"/>
    <col min="14842" max="14842" width="10.83203125" style="505" customWidth="1"/>
    <col min="14843" max="14843" width="10" style="505" customWidth="1"/>
    <col min="14844" max="14844" width="17.33203125" style="505" customWidth="1"/>
    <col min="14845" max="14845" width="10.83203125" style="505" customWidth="1"/>
    <col min="14846" max="14846" width="10" style="505" customWidth="1"/>
    <col min="14847" max="14847" width="16.1640625" style="505" customWidth="1"/>
    <col min="14848" max="14848" width="10.83203125" style="505" customWidth="1"/>
    <col min="14849" max="14849" width="12" style="505" customWidth="1"/>
    <col min="14850" max="14850" width="18.83203125" style="505" customWidth="1"/>
    <col min="14851" max="14851" width="10.83203125" style="505" customWidth="1"/>
    <col min="14852" max="14852" width="16.1640625" style="505" bestFit="1" customWidth="1"/>
    <col min="14853" max="14853" width="12.33203125" style="505" bestFit="1" customWidth="1"/>
    <col min="14854" max="14854" width="10.83203125" style="505" customWidth="1"/>
    <col min="14855" max="14855" width="10" style="505" customWidth="1"/>
    <col min="14856" max="14856" width="17.5" style="505" customWidth="1"/>
    <col min="14857" max="14857" width="10.83203125" style="505" customWidth="1"/>
    <col min="14858" max="14858" width="16" style="505" customWidth="1"/>
    <col min="14859" max="14859" width="12.33203125" style="505" bestFit="1" customWidth="1"/>
    <col min="14860" max="15076" width="11" style="505"/>
    <col min="15077" max="15077" width="32.6640625" style="505" customWidth="1"/>
    <col min="15078" max="15078" width="14.5" style="505" customWidth="1"/>
    <col min="15079" max="15079" width="15.6640625" style="505" bestFit="1" customWidth="1"/>
    <col min="15080" max="15080" width="15.5" style="505" customWidth="1"/>
    <col min="15081" max="15081" width="15.6640625" style="505" customWidth="1"/>
    <col min="15082" max="15082" width="15.6640625" style="505" bestFit="1" customWidth="1"/>
    <col min="15083" max="15083" width="15.83203125" style="505" customWidth="1"/>
    <col min="15084" max="15084" width="14.83203125" style="505" customWidth="1"/>
    <col min="15085" max="15085" width="14.5" style="505" customWidth="1"/>
    <col min="15086" max="15086" width="15.83203125" style="505" customWidth="1"/>
    <col min="15087" max="15087" width="12" style="505" bestFit="1" customWidth="1"/>
    <col min="15088" max="15088" width="18.6640625" style="505" customWidth="1"/>
    <col min="15089" max="15089" width="15.1640625" style="505" customWidth="1"/>
    <col min="15090" max="15090" width="15.6640625" style="505" bestFit="1" customWidth="1"/>
    <col min="15091" max="15091" width="16.33203125" style="505" customWidth="1"/>
    <col min="15092" max="15092" width="13.83203125" style="505" customWidth="1"/>
    <col min="15093" max="15093" width="18.6640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3203125" style="505" customWidth="1"/>
    <col min="15098" max="15098" width="10.83203125" style="505" customWidth="1"/>
    <col min="15099" max="15099" width="10" style="505" customWidth="1"/>
    <col min="15100" max="15100" width="17.33203125" style="505" customWidth="1"/>
    <col min="15101" max="15101" width="10.83203125" style="505" customWidth="1"/>
    <col min="15102" max="15102" width="10" style="505" customWidth="1"/>
    <col min="15103" max="15103" width="16.1640625" style="505" customWidth="1"/>
    <col min="15104" max="15104" width="10.83203125" style="505" customWidth="1"/>
    <col min="15105" max="15105" width="12" style="505" customWidth="1"/>
    <col min="15106" max="15106" width="18.83203125" style="505" customWidth="1"/>
    <col min="15107" max="15107" width="10.83203125" style="505" customWidth="1"/>
    <col min="15108" max="15108" width="16.1640625" style="505" bestFit="1" customWidth="1"/>
    <col min="15109" max="15109" width="12.33203125" style="505" bestFit="1" customWidth="1"/>
    <col min="15110" max="15110" width="10.83203125" style="505" customWidth="1"/>
    <col min="15111" max="15111" width="10" style="505" customWidth="1"/>
    <col min="15112" max="15112" width="17.5" style="505" customWidth="1"/>
    <col min="15113" max="15113" width="10.83203125" style="505" customWidth="1"/>
    <col min="15114" max="15114" width="16" style="505" customWidth="1"/>
    <col min="15115" max="15115" width="12.33203125" style="505" bestFit="1" customWidth="1"/>
    <col min="15116" max="15332" width="11" style="505"/>
    <col min="15333" max="15333" width="32.6640625" style="505" customWidth="1"/>
    <col min="15334" max="15334" width="14.5" style="505" customWidth="1"/>
    <col min="15335" max="15335" width="15.6640625" style="505" bestFit="1" customWidth="1"/>
    <col min="15336" max="15336" width="15.5" style="505" customWidth="1"/>
    <col min="15337" max="15337" width="15.6640625" style="505" customWidth="1"/>
    <col min="15338" max="15338" width="15.6640625" style="505" bestFit="1" customWidth="1"/>
    <col min="15339" max="15339" width="15.83203125" style="505" customWidth="1"/>
    <col min="15340" max="15340" width="14.83203125" style="505" customWidth="1"/>
    <col min="15341" max="15341" width="14.5" style="505" customWidth="1"/>
    <col min="15342" max="15342" width="15.83203125" style="505" customWidth="1"/>
    <col min="15343" max="15343" width="12" style="505" bestFit="1" customWidth="1"/>
    <col min="15344" max="15344" width="18.6640625" style="505" customWidth="1"/>
    <col min="15345" max="15345" width="15.1640625" style="505" customWidth="1"/>
    <col min="15346" max="15346" width="15.6640625" style="505" bestFit="1" customWidth="1"/>
    <col min="15347" max="15347" width="16.33203125" style="505" customWidth="1"/>
    <col min="15348" max="15348" width="13.83203125" style="505" customWidth="1"/>
    <col min="15349" max="15349" width="18.6640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3203125" style="505" customWidth="1"/>
    <col min="15354" max="15354" width="10.83203125" style="505" customWidth="1"/>
    <col min="15355" max="15355" width="10" style="505" customWidth="1"/>
    <col min="15356" max="15356" width="17.33203125" style="505" customWidth="1"/>
    <col min="15357" max="15357" width="10.83203125" style="505" customWidth="1"/>
    <col min="15358" max="15358" width="10" style="505" customWidth="1"/>
    <col min="15359" max="15359" width="16.1640625" style="505" customWidth="1"/>
    <col min="15360" max="15360" width="10.83203125" style="505" customWidth="1"/>
    <col min="15361" max="15361" width="12" style="505" customWidth="1"/>
    <col min="15362" max="15362" width="18.83203125" style="505" customWidth="1"/>
    <col min="15363" max="15363" width="10.83203125" style="505" customWidth="1"/>
    <col min="15364" max="15364" width="16.1640625" style="505" bestFit="1" customWidth="1"/>
    <col min="15365" max="15365" width="12.33203125" style="505" bestFit="1" customWidth="1"/>
    <col min="15366" max="15366" width="10.83203125" style="505" customWidth="1"/>
    <col min="15367" max="15367" width="10" style="505" customWidth="1"/>
    <col min="15368" max="15368" width="17.5" style="505" customWidth="1"/>
    <col min="15369" max="15369" width="10.83203125" style="505" customWidth="1"/>
    <col min="15370" max="15370" width="16" style="505" customWidth="1"/>
    <col min="15371" max="15371" width="12.33203125" style="505" bestFit="1" customWidth="1"/>
    <col min="15372" max="15588" width="11" style="505"/>
    <col min="15589" max="15589" width="32.6640625" style="505" customWidth="1"/>
    <col min="15590" max="15590" width="14.5" style="505" customWidth="1"/>
    <col min="15591" max="15591" width="15.6640625" style="505" bestFit="1" customWidth="1"/>
    <col min="15592" max="15592" width="15.5" style="505" customWidth="1"/>
    <col min="15593" max="15593" width="15.6640625" style="505" customWidth="1"/>
    <col min="15594" max="15594" width="15.6640625" style="505" bestFit="1" customWidth="1"/>
    <col min="15595" max="15595" width="15.83203125" style="505" customWidth="1"/>
    <col min="15596" max="15596" width="14.83203125" style="505" customWidth="1"/>
    <col min="15597" max="15597" width="14.5" style="505" customWidth="1"/>
    <col min="15598" max="15598" width="15.83203125" style="505" customWidth="1"/>
    <col min="15599" max="15599" width="12" style="505" bestFit="1" customWidth="1"/>
    <col min="15600" max="15600" width="18.6640625" style="505" customWidth="1"/>
    <col min="15601" max="15601" width="15.1640625" style="505" customWidth="1"/>
    <col min="15602" max="15602" width="15.6640625" style="505" bestFit="1" customWidth="1"/>
    <col min="15603" max="15603" width="16.33203125" style="505" customWidth="1"/>
    <col min="15604" max="15604" width="13.83203125" style="505" customWidth="1"/>
    <col min="15605" max="15605" width="18.6640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3203125" style="505" customWidth="1"/>
    <col min="15610" max="15610" width="10.83203125" style="505" customWidth="1"/>
    <col min="15611" max="15611" width="10" style="505" customWidth="1"/>
    <col min="15612" max="15612" width="17.33203125" style="505" customWidth="1"/>
    <col min="15613" max="15613" width="10.83203125" style="505" customWidth="1"/>
    <col min="15614" max="15614" width="10" style="505" customWidth="1"/>
    <col min="15615" max="15615" width="16.1640625" style="505" customWidth="1"/>
    <col min="15616" max="15616" width="10.83203125" style="505" customWidth="1"/>
    <col min="15617" max="15617" width="12" style="505" customWidth="1"/>
    <col min="15618" max="15618" width="18.83203125" style="505" customWidth="1"/>
    <col min="15619" max="15619" width="10.83203125" style="505" customWidth="1"/>
    <col min="15620" max="15620" width="16.1640625" style="505" bestFit="1" customWidth="1"/>
    <col min="15621" max="15621" width="12.33203125" style="505" bestFit="1" customWidth="1"/>
    <col min="15622" max="15622" width="10.83203125" style="505" customWidth="1"/>
    <col min="15623" max="15623" width="10" style="505" customWidth="1"/>
    <col min="15624" max="15624" width="17.5" style="505" customWidth="1"/>
    <col min="15625" max="15625" width="10.83203125" style="505" customWidth="1"/>
    <col min="15626" max="15626" width="16" style="505" customWidth="1"/>
    <col min="15627" max="15627" width="12.33203125" style="505" bestFit="1" customWidth="1"/>
    <col min="15628" max="15844" width="11" style="505"/>
    <col min="15845" max="15845" width="32.6640625" style="505" customWidth="1"/>
    <col min="15846" max="15846" width="14.5" style="505" customWidth="1"/>
    <col min="15847" max="15847" width="15.6640625" style="505" bestFit="1" customWidth="1"/>
    <col min="15848" max="15848" width="15.5" style="505" customWidth="1"/>
    <col min="15849" max="15849" width="15.6640625" style="505" customWidth="1"/>
    <col min="15850" max="15850" width="15.6640625" style="505" bestFit="1" customWidth="1"/>
    <col min="15851" max="15851" width="15.83203125" style="505" customWidth="1"/>
    <col min="15852" max="15852" width="14.83203125" style="505" customWidth="1"/>
    <col min="15853" max="15853" width="14.5" style="505" customWidth="1"/>
    <col min="15854" max="15854" width="15.83203125" style="505" customWidth="1"/>
    <col min="15855" max="15855" width="12" style="505" bestFit="1" customWidth="1"/>
    <col min="15856" max="15856" width="18.6640625" style="505" customWidth="1"/>
    <col min="15857" max="15857" width="15.1640625" style="505" customWidth="1"/>
    <col min="15858" max="15858" width="15.6640625" style="505" bestFit="1" customWidth="1"/>
    <col min="15859" max="15859" width="16.33203125" style="505" customWidth="1"/>
    <col min="15860" max="15860" width="13.83203125" style="505" customWidth="1"/>
    <col min="15861" max="15861" width="18.6640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3203125" style="505" customWidth="1"/>
    <col min="15866" max="15866" width="10.83203125" style="505" customWidth="1"/>
    <col min="15867" max="15867" width="10" style="505" customWidth="1"/>
    <col min="15868" max="15868" width="17.33203125" style="505" customWidth="1"/>
    <col min="15869" max="15869" width="10.83203125" style="505" customWidth="1"/>
    <col min="15870" max="15870" width="10" style="505" customWidth="1"/>
    <col min="15871" max="15871" width="16.1640625" style="505" customWidth="1"/>
    <col min="15872" max="15872" width="10.83203125" style="505" customWidth="1"/>
    <col min="15873" max="15873" width="12" style="505" customWidth="1"/>
    <col min="15874" max="15874" width="18.83203125" style="505" customWidth="1"/>
    <col min="15875" max="15875" width="10.83203125" style="505" customWidth="1"/>
    <col min="15876" max="15876" width="16.1640625" style="505" bestFit="1" customWidth="1"/>
    <col min="15877" max="15877" width="12.33203125" style="505" bestFit="1" customWidth="1"/>
    <col min="15878" max="15878" width="10.83203125" style="505" customWidth="1"/>
    <col min="15879" max="15879" width="10" style="505" customWidth="1"/>
    <col min="15880" max="15880" width="17.5" style="505" customWidth="1"/>
    <col min="15881" max="15881" width="10.83203125" style="505" customWidth="1"/>
    <col min="15882" max="15882" width="16" style="505" customWidth="1"/>
    <col min="15883" max="15883" width="12.33203125" style="505" bestFit="1" customWidth="1"/>
    <col min="15884" max="16100" width="11" style="505"/>
    <col min="16101" max="16101" width="32.6640625" style="505" customWidth="1"/>
    <col min="16102" max="16102" width="14.5" style="505" customWidth="1"/>
    <col min="16103" max="16103" width="15.6640625" style="505" bestFit="1" customWidth="1"/>
    <col min="16104" max="16104" width="15.5" style="505" customWidth="1"/>
    <col min="16105" max="16105" width="15.6640625" style="505" customWidth="1"/>
    <col min="16106" max="16106" width="15.6640625" style="505" bestFit="1" customWidth="1"/>
    <col min="16107" max="16107" width="15.83203125" style="505" customWidth="1"/>
    <col min="16108" max="16108" width="14.83203125" style="505" customWidth="1"/>
    <col min="16109" max="16109" width="14.5" style="505" customWidth="1"/>
    <col min="16110" max="16110" width="15.83203125" style="505" customWidth="1"/>
    <col min="16111" max="16111" width="12" style="505" bestFit="1" customWidth="1"/>
    <col min="16112" max="16112" width="18.6640625" style="505" customWidth="1"/>
    <col min="16113" max="16113" width="15.1640625" style="505" customWidth="1"/>
    <col min="16114" max="16114" width="15.6640625" style="505" bestFit="1" customWidth="1"/>
    <col min="16115" max="16115" width="16.33203125" style="505" customWidth="1"/>
    <col min="16116" max="16116" width="13.83203125" style="505" customWidth="1"/>
    <col min="16117" max="16117" width="18.6640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3203125" style="505" customWidth="1"/>
    <col min="16122" max="16122" width="10.83203125" style="505" customWidth="1"/>
    <col min="16123" max="16123" width="10" style="505" customWidth="1"/>
    <col min="16124" max="16124" width="17.33203125" style="505" customWidth="1"/>
    <col min="16125" max="16125" width="10.83203125" style="505" customWidth="1"/>
    <col min="16126" max="16126" width="10" style="505" customWidth="1"/>
    <col min="16127" max="16127" width="16.1640625" style="505" customWidth="1"/>
    <col min="16128" max="16128" width="10.83203125" style="505" customWidth="1"/>
    <col min="16129" max="16129" width="12" style="505" customWidth="1"/>
    <col min="16130" max="16130" width="18.83203125" style="505" customWidth="1"/>
    <col min="16131" max="16131" width="10.83203125" style="505" customWidth="1"/>
    <col min="16132" max="16132" width="16.1640625" style="505" bestFit="1" customWidth="1"/>
    <col min="16133" max="16133" width="12.33203125" style="505" bestFit="1" customWidth="1"/>
    <col min="16134" max="16134" width="10.83203125" style="505" customWidth="1"/>
    <col min="16135" max="16135" width="10" style="505" customWidth="1"/>
    <col min="16136" max="16136" width="17.5" style="505" customWidth="1"/>
    <col min="16137" max="16137" width="10.83203125" style="505" customWidth="1"/>
    <col min="16138" max="16138" width="16" style="505" customWidth="1"/>
    <col min="16139" max="16139" width="12.33203125" style="505" bestFit="1" customWidth="1"/>
    <col min="16140" max="16384" width="11" style="505"/>
  </cols>
  <sheetData>
    <row r="1" spans="1:219" ht="35">
      <c r="B1" s="1442" t="str">
        <f>"Budget 2023 Mensuel"&amp;" "&amp;Parametres!$B$1</f>
        <v>Budget 2023 Mensuel BMW Sherbrooke</v>
      </c>
      <c r="C1" s="1442"/>
      <c r="D1" s="1442"/>
      <c r="E1" s="1442"/>
      <c r="F1" s="1442"/>
      <c r="G1" s="1442"/>
      <c r="H1" s="1442"/>
      <c r="I1" s="1442"/>
      <c r="J1" s="1442"/>
      <c r="K1" s="1442"/>
      <c r="L1" s="1442"/>
      <c r="M1" s="1442"/>
      <c r="N1" s="1442"/>
      <c r="O1" s="1442"/>
      <c r="P1" s="1442"/>
      <c r="Q1" s="1442"/>
      <c r="R1" s="1442"/>
      <c r="S1" s="1442"/>
      <c r="T1" s="1442"/>
      <c r="U1" s="1442"/>
      <c r="V1" s="1442"/>
      <c r="W1" s="1442"/>
      <c r="X1" s="1442"/>
      <c r="Y1" s="1442"/>
      <c r="Z1" s="1442"/>
      <c r="AA1" s="1442"/>
      <c r="AB1" s="1442"/>
      <c r="AC1" s="1442"/>
      <c r="AD1" s="1442"/>
      <c r="AE1" s="1442"/>
      <c r="AF1" s="1442"/>
      <c r="AG1" s="1442"/>
      <c r="AH1" s="1442"/>
      <c r="AI1" s="1442"/>
      <c r="AJ1" s="1442"/>
      <c r="AK1" s="1442"/>
      <c r="AL1" s="1442"/>
      <c r="AM1" s="1442"/>
      <c r="AN1" s="1442"/>
      <c r="AO1" s="1442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>X</v>
      </c>
      <c r="Y2" s="531" t="str">
        <f>+IF(Parametres!$B$3=X$6,"O","")</f>
        <v>O</v>
      </c>
      <c r="Z2" s="531" t="str">
        <f>+IF(Parametres!$B$3=X$6,"U","")</f>
        <v>U</v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">
      <c r="A4" s="506"/>
      <c r="B4" s="506" t="s">
        <v>2931</v>
      </c>
      <c r="C4" s="1443" t="s">
        <v>75</v>
      </c>
      <c r="D4" s="1443"/>
      <c r="E4" s="1443"/>
      <c r="F4" s="1443"/>
      <c r="G4" s="1443"/>
      <c r="H4" s="1443"/>
      <c r="I4" s="1443"/>
      <c r="J4" s="1443"/>
      <c r="K4" s="1443"/>
      <c r="L4" s="1443"/>
      <c r="M4" s="1443"/>
      <c r="N4" s="1443"/>
      <c r="O4" s="1443"/>
      <c r="P4" s="1443"/>
      <c r="Q4" s="1443"/>
      <c r="R4" s="1443"/>
      <c r="S4" s="1443"/>
      <c r="T4" s="1443"/>
      <c r="U4" s="1443"/>
      <c r="V4" s="1443"/>
      <c r="W4" s="1443"/>
      <c r="X4" s="1443"/>
      <c r="Y4" s="1443"/>
      <c r="Z4" s="1443"/>
      <c r="AA4" s="1443"/>
      <c r="AB4" s="1443"/>
      <c r="AC4" s="1443"/>
      <c r="AD4" s="1443"/>
      <c r="AE4" s="1443"/>
      <c r="AF4" s="1443"/>
      <c r="AG4" s="1443"/>
      <c r="AH4" s="1443"/>
      <c r="AI4" s="1443"/>
      <c r="AJ4" s="1443"/>
      <c r="AK4" s="1443"/>
      <c r="AL4" s="1443"/>
      <c r="AM4" s="1443"/>
      <c r="AN4" s="1443"/>
      <c r="AO4" s="1443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">
      <c r="A7" s="532"/>
      <c r="B7" s="1115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">
      <c r="A8" s="533" t="str">
        <f>+$C$4&amp;B8</f>
        <v>Véhicules neufsVentes nettes</v>
      </c>
      <c r="B8" s="601" t="s">
        <v>85</v>
      </c>
      <c r="C8" s="1056"/>
      <c r="D8" s="1057"/>
      <c r="E8" s="1058">
        <f>+SUM(H8,K8,N8,Q8,T8,W8,Z8,AC8,AF8,AI8,AL8,AO8)</f>
        <v>30343500</v>
      </c>
      <c r="F8" s="1056"/>
      <c r="G8" s="1057"/>
      <c r="H8" s="1059">
        <v>1792009.0196078431</v>
      </c>
      <c r="I8" s="1056"/>
      <c r="J8" s="1057"/>
      <c r="K8" s="1059">
        <v>1596756.7647058824</v>
      </c>
      <c r="L8" s="1056"/>
      <c r="M8" s="1057"/>
      <c r="N8" s="1059">
        <v>2881758.6274509807</v>
      </c>
      <c r="O8" s="1056"/>
      <c r="P8" s="1057"/>
      <c r="Q8" s="1059">
        <v>3149139.2156862747</v>
      </c>
      <c r="R8" s="1056"/>
      <c r="S8" s="1057"/>
      <c r="T8" s="1059">
        <v>3877423.6274509807</v>
      </c>
      <c r="U8" s="1056"/>
      <c r="V8" s="1057"/>
      <c r="W8" s="1059">
        <v>2474271.9607843137</v>
      </c>
      <c r="X8" s="1056"/>
      <c r="Y8" s="1057"/>
      <c r="Z8" s="1059">
        <v>1899517.9411764706</v>
      </c>
      <c r="AA8" s="1056"/>
      <c r="AB8" s="1057"/>
      <c r="AC8" s="1059">
        <v>2084360.1960784316</v>
      </c>
      <c r="AD8" s="1056"/>
      <c r="AE8" s="1057"/>
      <c r="AF8" s="1059">
        <v>3149600.8823529412</v>
      </c>
      <c r="AG8" s="1056"/>
      <c r="AH8" s="1057"/>
      <c r="AI8" s="1059">
        <v>2944531.3725490193</v>
      </c>
      <c r="AJ8" s="1056"/>
      <c r="AK8" s="1057"/>
      <c r="AL8" s="1059">
        <v>2594612.4509803923</v>
      </c>
      <c r="AM8" s="1056"/>
      <c r="AN8" s="1057"/>
      <c r="AO8" s="1059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">
      <c r="A9" s="533" t="str">
        <f t="shared" ref="A9:A72" si="0">+$C$4&amp;B9</f>
        <v>Véhicules neufsAutos détail</v>
      </c>
      <c r="B9" s="543" t="s">
        <v>86</v>
      </c>
      <c r="C9" s="1060">
        <f>+SUM(F9,I9,L9,O9,R9,U9,X9,AA9,AD9,AG9,AJ9,AM9)</f>
        <v>85</v>
      </c>
      <c r="D9" s="1061">
        <f t="shared" ref="D9:D15" si="1">IF(C9=0,0,E9/C9)</f>
        <v>4701.1764705882351</v>
      </c>
      <c r="E9" s="1062">
        <f>+SUM(H9,K9,N9,Q9,T9,W9,Z9,AC9,AF9,AI9,AL9,AO9)</f>
        <v>399600</v>
      </c>
      <c r="F9" s="1353">
        <v>4</v>
      </c>
      <c r="G9" s="1061">
        <f>IF(F9=0,0,H9/F9)</f>
        <v>4701.1764705882351</v>
      </c>
      <c r="H9" s="1064">
        <v>18804.705882352941</v>
      </c>
      <c r="I9" s="1353">
        <v>3</v>
      </c>
      <c r="J9" s="1061">
        <f t="shared" ref="J9:J15" si="2">IF(I9=0,0,K9/I9)</f>
        <v>4701.1764705882351</v>
      </c>
      <c r="K9" s="1064">
        <v>14103.529411764706</v>
      </c>
      <c r="L9" s="1353">
        <v>9</v>
      </c>
      <c r="M9" s="1061">
        <f t="shared" ref="M9:M15" si="3">IF(L9=0,0,N9/L9)</f>
        <v>4701.1764705882351</v>
      </c>
      <c r="N9" s="1064">
        <v>42310.588235294119</v>
      </c>
      <c r="O9" s="1353">
        <v>10</v>
      </c>
      <c r="P9" s="1061">
        <f t="shared" ref="P9:P15" si="4">IF(O9=0,0,Q9/O9)</f>
        <v>4701.1764705882351</v>
      </c>
      <c r="Q9" s="1064">
        <v>47011.76470588235</v>
      </c>
      <c r="R9" s="1353">
        <v>9</v>
      </c>
      <c r="S9" s="1061">
        <f t="shared" ref="S9:S15" si="5">IF(R9=0,0,T9/R9)</f>
        <v>4701.1764705882351</v>
      </c>
      <c r="T9" s="1064">
        <v>42310.588235294119</v>
      </c>
      <c r="U9" s="1353">
        <v>9</v>
      </c>
      <c r="V9" s="1061">
        <f t="shared" ref="V9:V15" si="6">IF(U9=0,0,W9/U9)</f>
        <v>4701.1764705882351</v>
      </c>
      <c r="W9" s="1064">
        <v>42310.588235294119</v>
      </c>
      <c r="X9" s="1353">
        <v>5</v>
      </c>
      <c r="Y9" s="1061">
        <f t="shared" ref="Y9:Y15" si="7">IF(X9=0,0,Z9/X9)</f>
        <v>4701.1764705882351</v>
      </c>
      <c r="Z9" s="1064">
        <v>23505.882352941175</v>
      </c>
      <c r="AA9" s="1353">
        <v>6</v>
      </c>
      <c r="AB9" s="1061">
        <f t="shared" ref="AB9:AB15" si="8">IF(AA9=0,0,AC9/AA9)</f>
        <v>4701.1764705882351</v>
      </c>
      <c r="AC9" s="1064">
        <v>28207.058823529413</v>
      </c>
      <c r="AD9" s="1353">
        <v>10</v>
      </c>
      <c r="AE9" s="1061">
        <f t="shared" ref="AE9:AE15" si="9">IF(AD9=0,0,AF9/AD9)</f>
        <v>4701.1764705882351</v>
      </c>
      <c r="AF9" s="1064">
        <v>47011.76470588235</v>
      </c>
      <c r="AG9" s="1353">
        <v>8</v>
      </c>
      <c r="AH9" s="1061">
        <f t="shared" ref="AH9:AH15" si="10">IF(AG9=0,0,AI9/AG9)</f>
        <v>4701.1764705882351</v>
      </c>
      <c r="AI9" s="1064">
        <v>37609.411764705881</v>
      </c>
      <c r="AJ9" s="1353">
        <v>7</v>
      </c>
      <c r="AK9" s="1061">
        <f t="shared" ref="AK9:AK15" si="11">IF(AJ9=0,0,AL9/AJ9)</f>
        <v>4701.1764705882351</v>
      </c>
      <c r="AL9" s="1064">
        <v>32908.235294117643</v>
      </c>
      <c r="AM9" s="1353">
        <v>5</v>
      </c>
      <c r="AN9" s="1061">
        <f t="shared" ref="AN9:AN15" si="12">IF(AM9=0,0,AO9/AM9)</f>
        <v>4701.1764705882351</v>
      </c>
      <c r="AO9" s="1064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">
      <c r="A10" s="533" t="str">
        <f t="shared" si="0"/>
        <v>Véhicules neufsCamions détail</v>
      </c>
      <c r="B10" s="543" t="s">
        <v>87</v>
      </c>
      <c r="C10" s="1060">
        <f t="shared" ref="C10:E15" si="13">+SUM(F10,I10,L10,O10,R10,U10,X10,AA10,AD10,AG10,AJ10,AM10)</f>
        <v>200</v>
      </c>
      <c r="D10" s="1061">
        <f t="shared" si="1"/>
        <v>3928.5</v>
      </c>
      <c r="E10" s="1062">
        <f t="shared" si="13"/>
        <v>785700</v>
      </c>
      <c r="F10" s="1353">
        <v>12</v>
      </c>
      <c r="G10" s="1061">
        <f t="shared" ref="G10:G15" si="14">IF(F10=0,0,H10/F10)</f>
        <v>3928.5</v>
      </c>
      <c r="H10" s="1064">
        <v>47142</v>
      </c>
      <c r="I10" s="1353">
        <v>9</v>
      </c>
      <c r="J10" s="1061">
        <f t="shared" si="2"/>
        <v>3928.5</v>
      </c>
      <c r="K10" s="1064">
        <v>35356.5</v>
      </c>
      <c r="L10" s="1353">
        <v>18</v>
      </c>
      <c r="M10" s="1061">
        <f t="shared" si="3"/>
        <v>3928.5</v>
      </c>
      <c r="N10" s="1064">
        <v>70713</v>
      </c>
      <c r="O10" s="1353">
        <v>20</v>
      </c>
      <c r="P10" s="1061">
        <f t="shared" si="4"/>
        <v>3928.5</v>
      </c>
      <c r="Q10" s="1064">
        <v>78570</v>
      </c>
      <c r="R10" s="1353">
        <v>31</v>
      </c>
      <c r="S10" s="1061">
        <f t="shared" si="5"/>
        <v>3928.5</v>
      </c>
      <c r="T10" s="1064">
        <v>121783.5</v>
      </c>
      <c r="U10" s="1353">
        <v>14</v>
      </c>
      <c r="V10" s="1061">
        <f t="shared" si="6"/>
        <v>3928.5</v>
      </c>
      <c r="W10" s="1064">
        <v>54999</v>
      </c>
      <c r="X10" s="1353">
        <v>13</v>
      </c>
      <c r="Y10" s="1061">
        <f t="shared" si="7"/>
        <v>3928.5</v>
      </c>
      <c r="Z10" s="1064">
        <v>51070.5</v>
      </c>
      <c r="AA10" s="1353">
        <v>14</v>
      </c>
      <c r="AB10" s="1061">
        <f t="shared" si="8"/>
        <v>3928.5</v>
      </c>
      <c r="AC10" s="1064">
        <v>54999</v>
      </c>
      <c r="AD10" s="1353">
        <v>19</v>
      </c>
      <c r="AE10" s="1061">
        <f t="shared" si="9"/>
        <v>3928.5</v>
      </c>
      <c r="AF10" s="1064">
        <v>74641.5</v>
      </c>
      <c r="AG10" s="1353">
        <v>20</v>
      </c>
      <c r="AH10" s="1061">
        <f t="shared" si="10"/>
        <v>3928.5</v>
      </c>
      <c r="AI10" s="1064">
        <v>78570</v>
      </c>
      <c r="AJ10" s="1353">
        <v>17</v>
      </c>
      <c r="AK10" s="1061">
        <f t="shared" si="11"/>
        <v>3928.5</v>
      </c>
      <c r="AL10" s="1064">
        <v>66784.5</v>
      </c>
      <c r="AM10" s="1353">
        <v>13</v>
      </c>
      <c r="AN10" s="1061">
        <f t="shared" si="12"/>
        <v>3928.5</v>
      </c>
      <c r="AO10" s="1064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">
      <c r="A11" s="533" t="str">
        <f t="shared" si="0"/>
        <v>Véhicules neufsSprinter</v>
      </c>
      <c r="B11" s="543" t="s">
        <v>88</v>
      </c>
      <c r="C11" s="1060">
        <f t="shared" si="13"/>
        <v>0</v>
      </c>
      <c r="D11" s="1061">
        <f t="shared" si="1"/>
        <v>0</v>
      </c>
      <c r="E11" s="1062">
        <f t="shared" si="13"/>
        <v>0</v>
      </c>
      <c r="F11" s="1353"/>
      <c r="G11" s="1061">
        <f t="shared" si="14"/>
        <v>0</v>
      </c>
      <c r="H11" s="1064"/>
      <c r="I11" s="1353"/>
      <c r="J11" s="1061">
        <f t="shared" si="2"/>
        <v>0</v>
      </c>
      <c r="K11" s="1064"/>
      <c r="L11" s="1353"/>
      <c r="M11" s="1061">
        <f t="shared" si="3"/>
        <v>0</v>
      </c>
      <c r="N11" s="1064"/>
      <c r="O11" s="1353"/>
      <c r="P11" s="1061">
        <f t="shared" si="4"/>
        <v>0</v>
      </c>
      <c r="Q11" s="1064"/>
      <c r="R11" s="1353"/>
      <c r="S11" s="1061">
        <f t="shared" si="5"/>
        <v>0</v>
      </c>
      <c r="T11" s="1064"/>
      <c r="U11" s="1353"/>
      <c r="V11" s="1061">
        <f t="shared" si="6"/>
        <v>0</v>
      </c>
      <c r="W11" s="1064"/>
      <c r="X11" s="1353"/>
      <c r="Y11" s="1061">
        <f t="shared" si="7"/>
        <v>0</v>
      </c>
      <c r="Z11" s="1064"/>
      <c r="AA11" s="1353"/>
      <c r="AB11" s="1061">
        <f t="shared" si="8"/>
        <v>0</v>
      </c>
      <c r="AC11" s="1064"/>
      <c r="AD11" s="1353"/>
      <c r="AE11" s="1061">
        <f t="shared" si="9"/>
        <v>0</v>
      </c>
      <c r="AF11" s="1064"/>
      <c r="AG11" s="1353"/>
      <c r="AH11" s="1061">
        <f t="shared" si="10"/>
        <v>0</v>
      </c>
      <c r="AI11" s="1064"/>
      <c r="AJ11" s="1353"/>
      <c r="AK11" s="1061">
        <f t="shared" si="11"/>
        <v>0</v>
      </c>
      <c r="AL11" s="1064"/>
      <c r="AM11" s="1353"/>
      <c r="AN11" s="1061">
        <f t="shared" si="12"/>
        <v>0</v>
      </c>
      <c r="AO11" s="1064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">
      <c r="A12" s="533" t="str">
        <f t="shared" si="0"/>
        <v>Véhicules neufsMoto détail</v>
      </c>
      <c r="B12" s="543" t="s">
        <v>89</v>
      </c>
      <c r="C12" s="1060">
        <f t="shared" si="13"/>
        <v>0</v>
      </c>
      <c r="D12" s="1061">
        <f t="shared" si="1"/>
        <v>0</v>
      </c>
      <c r="E12" s="1062">
        <f t="shared" si="13"/>
        <v>0</v>
      </c>
      <c r="F12" s="1353"/>
      <c r="G12" s="1061">
        <f t="shared" si="14"/>
        <v>0</v>
      </c>
      <c r="H12" s="1064"/>
      <c r="I12" s="1353"/>
      <c r="J12" s="1061">
        <f t="shared" si="2"/>
        <v>0</v>
      </c>
      <c r="K12" s="1064"/>
      <c r="L12" s="1353"/>
      <c r="M12" s="1061">
        <f t="shared" si="3"/>
        <v>0</v>
      </c>
      <c r="N12" s="1064"/>
      <c r="O12" s="1353"/>
      <c r="P12" s="1061">
        <f t="shared" si="4"/>
        <v>0</v>
      </c>
      <c r="Q12" s="1064"/>
      <c r="R12" s="1353"/>
      <c r="S12" s="1061">
        <f t="shared" si="5"/>
        <v>0</v>
      </c>
      <c r="T12" s="1064"/>
      <c r="U12" s="1353"/>
      <c r="V12" s="1061">
        <f t="shared" si="6"/>
        <v>0</v>
      </c>
      <c r="W12" s="1064"/>
      <c r="X12" s="1353"/>
      <c r="Y12" s="1061">
        <f t="shared" si="7"/>
        <v>0</v>
      </c>
      <c r="Z12" s="1064"/>
      <c r="AA12" s="1353"/>
      <c r="AB12" s="1061">
        <f t="shared" si="8"/>
        <v>0</v>
      </c>
      <c r="AC12" s="1064"/>
      <c r="AD12" s="1353"/>
      <c r="AE12" s="1061">
        <f t="shared" si="9"/>
        <v>0</v>
      </c>
      <c r="AF12" s="1064"/>
      <c r="AG12" s="1353"/>
      <c r="AH12" s="1061">
        <f t="shared" si="10"/>
        <v>0</v>
      </c>
      <c r="AI12" s="1064"/>
      <c r="AJ12" s="1353"/>
      <c r="AK12" s="1061">
        <f t="shared" si="11"/>
        <v>0</v>
      </c>
      <c r="AL12" s="1064"/>
      <c r="AM12" s="1353"/>
      <c r="AN12" s="1061">
        <f t="shared" si="12"/>
        <v>0</v>
      </c>
      <c r="AO12" s="1064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0">
        <f t="shared" si="13"/>
        <v>0</v>
      </c>
      <c r="D13" s="1061">
        <f t="shared" si="1"/>
        <v>0</v>
      </c>
      <c r="E13" s="1062">
        <f t="shared" si="13"/>
        <v>0</v>
      </c>
      <c r="F13" s="1060"/>
      <c r="G13" s="1061">
        <f t="shared" si="14"/>
        <v>0</v>
      </c>
      <c r="H13" s="1062"/>
      <c r="I13" s="1060"/>
      <c r="J13" s="1061">
        <f t="shared" si="2"/>
        <v>0</v>
      </c>
      <c r="K13" s="1062"/>
      <c r="L13" s="1060"/>
      <c r="M13" s="1061">
        <f t="shared" si="3"/>
        <v>0</v>
      </c>
      <c r="N13" s="1062"/>
      <c r="O13" s="1060"/>
      <c r="P13" s="1061">
        <f t="shared" si="4"/>
        <v>0</v>
      </c>
      <c r="Q13" s="1062"/>
      <c r="R13" s="1060"/>
      <c r="S13" s="1061">
        <f t="shared" si="5"/>
        <v>0</v>
      </c>
      <c r="T13" s="1062"/>
      <c r="U13" s="1060"/>
      <c r="V13" s="1061">
        <f t="shared" si="6"/>
        <v>0</v>
      </c>
      <c r="W13" s="1062"/>
      <c r="X13" s="1060"/>
      <c r="Y13" s="1061">
        <f t="shared" si="7"/>
        <v>0</v>
      </c>
      <c r="Z13" s="1062"/>
      <c r="AA13" s="1060"/>
      <c r="AB13" s="1061">
        <f t="shared" si="8"/>
        <v>0</v>
      </c>
      <c r="AC13" s="1062"/>
      <c r="AD13" s="1060"/>
      <c r="AE13" s="1061">
        <f t="shared" si="9"/>
        <v>0</v>
      </c>
      <c r="AF13" s="1062"/>
      <c r="AG13" s="1060"/>
      <c r="AH13" s="1061">
        <f t="shared" si="10"/>
        <v>0</v>
      </c>
      <c r="AI13" s="1062"/>
      <c r="AJ13" s="1060"/>
      <c r="AK13" s="1061">
        <f t="shared" si="11"/>
        <v>0</v>
      </c>
      <c r="AL13" s="1062"/>
      <c r="AM13" s="1060"/>
      <c r="AN13" s="1061">
        <f t="shared" si="12"/>
        <v>0</v>
      </c>
      <c r="AO13" s="106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0">
        <f t="shared" si="13"/>
        <v>0</v>
      </c>
      <c r="D14" s="1061">
        <f t="shared" si="1"/>
        <v>0</v>
      </c>
      <c r="E14" s="1062">
        <f t="shared" si="13"/>
        <v>0</v>
      </c>
      <c r="F14" s="1060"/>
      <c r="G14" s="1061">
        <f t="shared" si="14"/>
        <v>0</v>
      </c>
      <c r="H14" s="1062"/>
      <c r="I14" s="1060"/>
      <c r="J14" s="1061">
        <f t="shared" si="2"/>
        <v>0</v>
      </c>
      <c r="K14" s="1062"/>
      <c r="L14" s="1060"/>
      <c r="M14" s="1061">
        <f t="shared" si="3"/>
        <v>0</v>
      </c>
      <c r="N14" s="1062"/>
      <c r="O14" s="1060"/>
      <c r="P14" s="1061">
        <f t="shared" si="4"/>
        <v>0</v>
      </c>
      <c r="Q14" s="1062"/>
      <c r="R14" s="1060"/>
      <c r="S14" s="1061">
        <f t="shared" si="5"/>
        <v>0</v>
      </c>
      <c r="T14" s="1062"/>
      <c r="U14" s="1060"/>
      <c r="V14" s="1061">
        <f t="shared" si="6"/>
        <v>0</v>
      </c>
      <c r="W14" s="1062"/>
      <c r="X14" s="1060"/>
      <c r="Y14" s="1061">
        <f t="shared" si="7"/>
        <v>0</v>
      </c>
      <c r="Z14" s="1062"/>
      <c r="AA14" s="1060"/>
      <c r="AB14" s="1061">
        <f t="shared" si="8"/>
        <v>0</v>
      </c>
      <c r="AC14" s="1062"/>
      <c r="AD14" s="1060"/>
      <c r="AE14" s="1061">
        <f t="shared" si="9"/>
        <v>0</v>
      </c>
      <c r="AF14" s="1062"/>
      <c r="AG14" s="1060"/>
      <c r="AH14" s="1061">
        <f t="shared" si="10"/>
        <v>0</v>
      </c>
      <c r="AI14" s="1062"/>
      <c r="AJ14" s="1060"/>
      <c r="AK14" s="1061">
        <f t="shared" si="11"/>
        <v>0</v>
      </c>
      <c r="AL14" s="1062"/>
      <c r="AM14" s="1060"/>
      <c r="AN14" s="1061">
        <f t="shared" si="12"/>
        <v>0</v>
      </c>
      <c r="AO14" s="1062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0">
        <f t="shared" si="13"/>
        <v>0</v>
      </c>
      <c r="D15" s="1061">
        <f t="shared" si="1"/>
        <v>0</v>
      </c>
      <c r="E15" s="1062">
        <f t="shared" si="13"/>
        <v>0</v>
      </c>
      <c r="F15" s="1060"/>
      <c r="G15" s="1061">
        <f t="shared" si="14"/>
        <v>0</v>
      </c>
      <c r="H15" s="1062"/>
      <c r="I15" s="1060"/>
      <c r="J15" s="1061">
        <f t="shared" si="2"/>
        <v>0</v>
      </c>
      <c r="K15" s="1062"/>
      <c r="L15" s="1060"/>
      <c r="M15" s="1061">
        <f t="shared" si="3"/>
        <v>0</v>
      </c>
      <c r="N15" s="1062"/>
      <c r="O15" s="1060"/>
      <c r="P15" s="1061">
        <f t="shared" si="4"/>
        <v>0</v>
      </c>
      <c r="Q15" s="1062"/>
      <c r="R15" s="1060"/>
      <c r="S15" s="1061">
        <f t="shared" si="5"/>
        <v>0</v>
      </c>
      <c r="T15" s="1062"/>
      <c r="U15" s="1060"/>
      <c r="V15" s="1061">
        <f t="shared" si="6"/>
        <v>0</v>
      </c>
      <c r="W15" s="1062"/>
      <c r="X15" s="1060"/>
      <c r="Y15" s="1061">
        <f t="shared" si="7"/>
        <v>0</v>
      </c>
      <c r="Z15" s="1062"/>
      <c r="AA15" s="1060"/>
      <c r="AB15" s="1061">
        <f t="shared" si="8"/>
        <v>0</v>
      </c>
      <c r="AC15" s="1062"/>
      <c r="AD15" s="1060"/>
      <c r="AE15" s="1061">
        <f t="shared" si="9"/>
        <v>0</v>
      </c>
      <c r="AF15" s="1062"/>
      <c r="AG15" s="1060"/>
      <c r="AH15" s="1061">
        <f t="shared" si="10"/>
        <v>0</v>
      </c>
      <c r="AI15" s="1062"/>
      <c r="AJ15" s="1060"/>
      <c r="AK15" s="1061">
        <f t="shared" si="11"/>
        <v>0</v>
      </c>
      <c r="AL15" s="1062"/>
      <c r="AM15" s="1060"/>
      <c r="AN15" s="1061">
        <f t="shared" si="12"/>
        <v>0</v>
      </c>
      <c r="AO15" s="1062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">
      <c r="A16" s="533" t="str">
        <f t="shared" si="0"/>
        <v>Véhicules neufsTotal Neufs</v>
      </c>
      <c r="B16" s="1354" t="s">
        <v>90</v>
      </c>
      <c r="C16" s="1067">
        <f>+SUM(C9:C15)</f>
        <v>285</v>
      </c>
      <c r="D16" s="1068">
        <f>IF(C16&lt;=0,0,E16/C16)</f>
        <v>4158.9473684210525</v>
      </c>
      <c r="E16" s="1069">
        <f>+SUM(E9:E15)</f>
        <v>1185300</v>
      </c>
      <c r="F16" s="1067">
        <f>+SUM(F9:F15)</f>
        <v>16</v>
      </c>
      <c r="G16" s="1068">
        <f>IF(F16&lt;=0,0,H16/F16)</f>
        <v>4121.6691176470586</v>
      </c>
      <c r="H16" s="1069">
        <f>+SUM(H9:H15)</f>
        <v>65946.705882352937</v>
      </c>
      <c r="I16" s="1067">
        <f>+SUM(I9:I15)</f>
        <v>12</v>
      </c>
      <c r="J16" s="1068">
        <f>IF(I16&lt;=0,0,K16/I16)</f>
        <v>4121.6691176470586</v>
      </c>
      <c r="K16" s="1069">
        <f>+SUM(K9:K15)</f>
        <v>49460.029411764706</v>
      </c>
      <c r="L16" s="1067">
        <f>+SUM(L9:L15)</f>
        <v>27</v>
      </c>
      <c r="M16" s="1068">
        <f>IF(L16&lt;=0,0,N16/L16)</f>
        <v>4186.0588235294117</v>
      </c>
      <c r="N16" s="1069">
        <f>+SUM(N9:N15)</f>
        <v>113023.58823529413</v>
      </c>
      <c r="O16" s="1067">
        <f>+SUM(O9:O15)</f>
        <v>30</v>
      </c>
      <c r="P16" s="1068">
        <f>IF(O16&lt;=0,0,Q16/O16)</f>
        <v>4186.0588235294117</v>
      </c>
      <c r="Q16" s="1069">
        <f>+SUM(Q9:Q15)</f>
        <v>125581.76470588235</v>
      </c>
      <c r="R16" s="1067">
        <f>+SUM(R9:R15)</f>
        <v>40</v>
      </c>
      <c r="S16" s="1068">
        <f>IF(R16&lt;=0,0,T16/R16)</f>
        <v>4102.3522058823528</v>
      </c>
      <c r="T16" s="1069">
        <f>+SUM(T9:T15)</f>
        <v>164094.08823529413</v>
      </c>
      <c r="U16" s="1067">
        <f>+SUM(U9:U15)</f>
        <v>23</v>
      </c>
      <c r="V16" s="1068">
        <f>IF(U16&lt;=0,0,W16/U16)</f>
        <v>4230.8516624040922</v>
      </c>
      <c r="W16" s="1069">
        <f>+SUM(W9:W15)</f>
        <v>97309.588235294126</v>
      </c>
      <c r="X16" s="1067">
        <f>+SUM(X9:X15)</f>
        <v>18</v>
      </c>
      <c r="Y16" s="1068">
        <f>IF(X16&lt;=0,0,Z16/X16)</f>
        <v>4143.1323529411766</v>
      </c>
      <c r="Z16" s="1069">
        <f>+SUM(Z9:Z15)</f>
        <v>74576.382352941175</v>
      </c>
      <c r="AA16" s="1067">
        <f>+SUM(AA9:AA15)</f>
        <v>20</v>
      </c>
      <c r="AB16" s="1068">
        <f>IF(AA16&lt;=0,0,AC16/AA16)</f>
        <v>4160.302941176471</v>
      </c>
      <c r="AC16" s="1069">
        <f>+SUM(AC9:AC15)</f>
        <v>83206.058823529413</v>
      </c>
      <c r="AD16" s="1067">
        <f>+SUM(AD9:AD15)</f>
        <v>29</v>
      </c>
      <c r="AE16" s="1068">
        <f>IF(AD16&lt;=0,0,AF16/AD16)</f>
        <v>4194.9401622718051</v>
      </c>
      <c r="AF16" s="1069">
        <f>+SUM(AF9:AF15)</f>
        <v>121653.26470588235</v>
      </c>
      <c r="AG16" s="1067">
        <f>+SUM(AG9:AG15)</f>
        <v>28</v>
      </c>
      <c r="AH16" s="1068">
        <f>IF(AG16&lt;=0,0,AI16/AG16)</f>
        <v>4149.2647058823522</v>
      </c>
      <c r="AI16" s="1069">
        <f>+SUM(AI9:AI15)</f>
        <v>116179.41176470587</v>
      </c>
      <c r="AJ16" s="1067">
        <f>+SUM(AJ9:AJ15)</f>
        <v>24</v>
      </c>
      <c r="AK16" s="1068">
        <f>IF(AJ16&lt;=0,0,AL16/AJ16)</f>
        <v>4153.8639705882351</v>
      </c>
      <c r="AL16" s="1069">
        <f>+SUM(AL9:AL15)</f>
        <v>99692.73529411765</v>
      </c>
      <c r="AM16" s="1067">
        <f>+SUM(AM9:AM15)</f>
        <v>18</v>
      </c>
      <c r="AN16" s="1068">
        <f>IF(AM16&lt;=0,0,AO16/AM16)</f>
        <v>4143.1323529411766</v>
      </c>
      <c r="AO16" s="1069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">
      <c r="A17" s="533" t="str">
        <f t="shared" si="0"/>
        <v>Véhicules neufs</v>
      </c>
      <c r="B17" s="5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">
      <c r="A18" s="533" t="str">
        <f t="shared" si="0"/>
        <v>Véhicules neufsEx-Démos et courtoisies</v>
      </c>
      <c r="B18" s="631" t="s">
        <v>91</v>
      </c>
      <c r="C18" s="1072">
        <f>+SUM(F18,I18,L18,O18,R18,U18,X18,AA18,AD18,AG18,AJ18,AM18)</f>
        <v>45</v>
      </c>
      <c r="D18" s="1073">
        <f>IF(C18=0,0,E18/C18)</f>
        <v>1200</v>
      </c>
      <c r="E18" s="1074">
        <f>+SUM(H18,K18,N18,Q18,T18,W18,Z18,AC18,AF18,AI18,AL18,AO18)</f>
        <v>54000</v>
      </c>
      <c r="F18" s="1355">
        <v>4</v>
      </c>
      <c r="G18" s="1073">
        <f>IF(F18=0,0,H18/F18)</f>
        <v>1200</v>
      </c>
      <c r="H18" s="1076">
        <v>4800</v>
      </c>
      <c r="I18" s="1355">
        <v>6</v>
      </c>
      <c r="J18" s="1073">
        <f>IF(I18=0,0,K18/I18)</f>
        <v>1200</v>
      </c>
      <c r="K18" s="1076">
        <v>7200</v>
      </c>
      <c r="L18" s="1355">
        <v>4</v>
      </c>
      <c r="M18" s="1073">
        <f>IF(L18=0,0,N18/L18)</f>
        <v>1200</v>
      </c>
      <c r="N18" s="1076">
        <v>4800</v>
      </c>
      <c r="O18" s="1355">
        <v>4</v>
      </c>
      <c r="P18" s="1073">
        <f>IF(O18=0,0,Q18/O18)</f>
        <v>1200</v>
      </c>
      <c r="Q18" s="1076">
        <v>4800</v>
      </c>
      <c r="R18" s="1355">
        <v>3</v>
      </c>
      <c r="S18" s="1073">
        <f>IF(R18=0,0,T18/R18)</f>
        <v>1200</v>
      </c>
      <c r="T18" s="1076">
        <v>3600</v>
      </c>
      <c r="U18" s="1355">
        <v>3</v>
      </c>
      <c r="V18" s="1073">
        <f>IF(U18=0,0,W18/U18)</f>
        <v>1200</v>
      </c>
      <c r="W18" s="1076">
        <v>3600</v>
      </c>
      <c r="X18" s="1355">
        <v>3</v>
      </c>
      <c r="Y18" s="1073">
        <f>IF(X18=0,0,Z18/X18)</f>
        <v>1200</v>
      </c>
      <c r="Z18" s="1076">
        <v>3600</v>
      </c>
      <c r="AA18" s="1355">
        <v>3</v>
      </c>
      <c r="AB18" s="1073">
        <f>IF(AA18=0,0,AC18/AA18)</f>
        <v>1200</v>
      </c>
      <c r="AC18" s="1076">
        <v>3600</v>
      </c>
      <c r="AD18" s="1355">
        <v>4</v>
      </c>
      <c r="AE18" s="1073">
        <f>IF(AD18=0,0,AF18/AD18)</f>
        <v>1200</v>
      </c>
      <c r="AF18" s="1076">
        <v>4800</v>
      </c>
      <c r="AG18" s="1355">
        <v>4</v>
      </c>
      <c r="AH18" s="1073">
        <f>IF(AG18=0,0,AI18/AG18)</f>
        <v>1200</v>
      </c>
      <c r="AI18" s="1076">
        <v>4800</v>
      </c>
      <c r="AJ18" s="1355">
        <v>4</v>
      </c>
      <c r="AK18" s="1073">
        <f>IF(AJ18=0,0,AL18/AJ18)</f>
        <v>1200</v>
      </c>
      <c r="AL18" s="1076">
        <v>4800</v>
      </c>
      <c r="AM18" s="1355">
        <v>3</v>
      </c>
      <c r="AN18" s="1073">
        <f>IF(AM18=0,0,AO18/AM18)</f>
        <v>1200</v>
      </c>
      <c r="AO18" s="1076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">
      <c r="A19" s="533" t="str">
        <f t="shared" si="0"/>
        <v>Véhicules neufs</v>
      </c>
      <c r="B19" s="5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">
      <c r="A20" s="533" t="str">
        <f t="shared" si="0"/>
        <v>Véhicules neufsFlottes</v>
      </c>
      <c r="B20" s="607" t="s">
        <v>92</v>
      </c>
      <c r="C20" s="1060">
        <f>+SUM(F20,I20,L20,O20,R20,U20,X20,AA20,AD20,AG20,AJ20,AM20)</f>
        <v>20</v>
      </c>
      <c r="D20" s="1061">
        <f>IF(C20=0,0,E20/C20)</f>
        <v>750</v>
      </c>
      <c r="E20" s="1062">
        <f>+SUM(H20,K20,N20,Q20,T20,W20,Z20,AC20,AF20,AI20,AL20,AO20)</f>
        <v>15000</v>
      </c>
      <c r="F20" s="1353">
        <v>1</v>
      </c>
      <c r="G20" s="1061">
        <f>IF(F20=0,0,H20/F20)</f>
        <v>750</v>
      </c>
      <c r="H20" s="1064">
        <v>750</v>
      </c>
      <c r="I20" s="1353">
        <v>1</v>
      </c>
      <c r="J20" s="1061">
        <f>IF(I20=0,0,K20/I20)</f>
        <v>750</v>
      </c>
      <c r="K20" s="1064">
        <v>750</v>
      </c>
      <c r="L20" s="1353">
        <v>2</v>
      </c>
      <c r="M20" s="1061">
        <f>IF(L20=0,0,N20/L20)</f>
        <v>750</v>
      </c>
      <c r="N20" s="1064">
        <v>1500</v>
      </c>
      <c r="O20" s="1353">
        <v>2</v>
      </c>
      <c r="P20" s="1061">
        <f>IF(O20=0,0,Q20/O20)</f>
        <v>750</v>
      </c>
      <c r="Q20" s="1064">
        <v>1500</v>
      </c>
      <c r="R20" s="1353">
        <v>2</v>
      </c>
      <c r="S20" s="1061">
        <f>IF(R20=0,0,T20/R20)</f>
        <v>750</v>
      </c>
      <c r="T20" s="1064">
        <v>1500</v>
      </c>
      <c r="U20" s="1353">
        <v>2</v>
      </c>
      <c r="V20" s="1061">
        <f>IF(U20=0,0,W20/U20)</f>
        <v>750</v>
      </c>
      <c r="W20" s="1064">
        <v>1500</v>
      </c>
      <c r="X20" s="1353">
        <v>1</v>
      </c>
      <c r="Y20" s="1061">
        <f>IF(X20=0,0,Z20/X20)</f>
        <v>750</v>
      </c>
      <c r="Z20" s="1064">
        <v>750</v>
      </c>
      <c r="AA20" s="1353">
        <v>1</v>
      </c>
      <c r="AB20" s="1061">
        <f>IF(AA20=0,0,AC20/AA20)</f>
        <v>750</v>
      </c>
      <c r="AC20" s="1064">
        <v>750</v>
      </c>
      <c r="AD20" s="1353">
        <v>3</v>
      </c>
      <c r="AE20" s="1061">
        <f>IF(AD20=0,0,AF20/AD20)</f>
        <v>750</v>
      </c>
      <c r="AF20" s="1064">
        <v>2250</v>
      </c>
      <c r="AG20" s="1353">
        <v>2</v>
      </c>
      <c r="AH20" s="1061">
        <f>IF(AG20=0,0,AI20/AG20)</f>
        <v>750</v>
      </c>
      <c r="AI20" s="1064">
        <v>1500</v>
      </c>
      <c r="AJ20" s="1353">
        <v>2</v>
      </c>
      <c r="AK20" s="1061">
        <f>IF(AJ20=0,0,AL20/AJ20)</f>
        <v>750</v>
      </c>
      <c r="AL20" s="1064">
        <v>1500</v>
      </c>
      <c r="AM20" s="1353">
        <v>1</v>
      </c>
      <c r="AN20" s="1061">
        <f>IF(AM20=0,0,AO20/AM20)</f>
        <v>750</v>
      </c>
      <c r="AO20" s="1064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">
      <c r="A21" s="533" t="str">
        <f t="shared" si="0"/>
        <v>Véhicules neufs</v>
      </c>
      <c r="B21" s="1354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">
      <c r="A22" s="533" t="str">
        <f t="shared" si="0"/>
        <v>Véhicules neufs</v>
      </c>
      <c r="B22" s="1354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">
      <c r="A23" s="533" t="str">
        <f t="shared" si="0"/>
        <v>Véhicules neufsRev. Finances</v>
      </c>
      <c r="B23" s="543" t="s">
        <v>94</v>
      </c>
      <c r="C23" s="1065"/>
      <c r="D23" s="1061">
        <f>IF(C16=0,0,E23/(C16+C18))</f>
        <v>7</v>
      </c>
      <c r="E23" s="1062">
        <f>+SUM(H23,K23,N23,Q23,T23,W23,Z23,AC23,AF23,AI23,AL23,AO23)</f>
        <v>2310</v>
      </c>
      <c r="F23" s="1063"/>
      <c r="G23" s="1061">
        <f>IF(F16=0,0,H23/(F16+F18))</f>
        <v>7</v>
      </c>
      <c r="H23" s="1064">
        <v>140</v>
      </c>
      <c r="I23" s="1063"/>
      <c r="J23" s="1061">
        <f>IF(I16=0,0,K23/(I16+I18))</f>
        <v>7</v>
      </c>
      <c r="K23" s="1064">
        <v>126</v>
      </c>
      <c r="L23" s="1063"/>
      <c r="M23" s="1061">
        <f>IF(L16=0,0,N23/(L16+L18))</f>
        <v>7</v>
      </c>
      <c r="N23" s="1064">
        <v>217</v>
      </c>
      <c r="O23" s="1063"/>
      <c r="P23" s="1061">
        <f>IF(O16=0,0,Q23/(O16+O18))</f>
        <v>7</v>
      </c>
      <c r="Q23" s="1064">
        <v>238</v>
      </c>
      <c r="R23" s="1063"/>
      <c r="S23" s="1061">
        <f>IF(R16=0,0,T23/(R16+R18))</f>
        <v>7</v>
      </c>
      <c r="T23" s="1064">
        <v>301</v>
      </c>
      <c r="U23" s="1063"/>
      <c r="V23" s="1061">
        <f>IF(U16=0,0,W23/(U16+U18))</f>
        <v>7</v>
      </c>
      <c r="W23" s="1064">
        <v>182</v>
      </c>
      <c r="X23" s="1063"/>
      <c r="Y23" s="1061">
        <f>IF(X16=0,0,Z23/(X16+X18))</f>
        <v>7</v>
      </c>
      <c r="Z23" s="1064">
        <v>147</v>
      </c>
      <c r="AA23" s="1063"/>
      <c r="AB23" s="1061">
        <f>IF(AA16=0,0,AC23/(AA16+AA18))</f>
        <v>7</v>
      </c>
      <c r="AC23" s="1064">
        <v>161</v>
      </c>
      <c r="AD23" s="1063"/>
      <c r="AE23" s="1061">
        <f>IF(AD16=0,0,AF23/(AD16+AD18))</f>
        <v>7</v>
      </c>
      <c r="AF23" s="1064">
        <v>231</v>
      </c>
      <c r="AG23" s="1063"/>
      <c r="AH23" s="1061">
        <f>IF(AG16=0,0,AI23/(AG16+AG18))</f>
        <v>7</v>
      </c>
      <c r="AI23" s="1064">
        <v>224</v>
      </c>
      <c r="AJ23" s="1063"/>
      <c r="AK23" s="1061">
        <f>IF(AJ16=0,0,AL23/(AJ16+AJ18))</f>
        <v>7</v>
      </c>
      <c r="AL23" s="1064">
        <v>196</v>
      </c>
      <c r="AM23" s="1063"/>
      <c r="AN23" s="1061">
        <f>IF(AM16=0,0,AO23/(AM16+AM18))</f>
        <v>7</v>
      </c>
      <c r="AO23" s="1064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">
      <c r="A24" s="533" t="str">
        <f t="shared" si="0"/>
        <v>Véhicules neufsRev. Protections</v>
      </c>
      <c r="B24" s="543" t="s">
        <v>95</v>
      </c>
      <c r="C24" s="1065"/>
      <c r="D24" s="1061">
        <f>IF(C16=0,0,E24/(C16+C18))</f>
        <v>1150</v>
      </c>
      <c r="E24" s="1062">
        <f>+SUM(H24,K24,N24,Q24,T24,W24,Z24,AC24,AF24,AI24,AL24,AO24)</f>
        <v>379500</v>
      </c>
      <c r="F24" s="1063"/>
      <c r="G24" s="1061">
        <f>IF(F16=0,0,H24/(F16+F18))</f>
        <v>1150</v>
      </c>
      <c r="H24" s="1064">
        <v>23000</v>
      </c>
      <c r="I24" s="1063"/>
      <c r="J24" s="1061">
        <f>IF(I16=0,0,K24/(I16+I18))</f>
        <v>1150</v>
      </c>
      <c r="K24" s="1064">
        <v>20700</v>
      </c>
      <c r="L24" s="1063"/>
      <c r="M24" s="1061">
        <f>IF(L16=0,0,N24/(L16+L18))</f>
        <v>1150</v>
      </c>
      <c r="N24" s="1064">
        <v>35650</v>
      </c>
      <c r="O24" s="1063"/>
      <c r="P24" s="1061">
        <f>IF(O16=0,0,Q24/(O16+O18))</f>
        <v>1150</v>
      </c>
      <c r="Q24" s="1064">
        <v>39100</v>
      </c>
      <c r="R24" s="1063"/>
      <c r="S24" s="1061">
        <f>IF(R16=0,0,T24/(R16+R18))</f>
        <v>1150</v>
      </c>
      <c r="T24" s="1064">
        <v>49450</v>
      </c>
      <c r="U24" s="1063"/>
      <c r="V24" s="1061">
        <f>IF(U16=0,0,W24/(U16+U18))</f>
        <v>1150</v>
      </c>
      <c r="W24" s="1064">
        <v>29900</v>
      </c>
      <c r="X24" s="1063"/>
      <c r="Y24" s="1061">
        <f>IF(X16=0,0,Z24/(X16+X18))</f>
        <v>1150</v>
      </c>
      <c r="Z24" s="1064">
        <v>24150</v>
      </c>
      <c r="AA24" s="1063"/>
      <c r="AB24" s="1061">
        <f>IF(AA16=0,0,AC24/(AA16+AA18))</f>
        <v>1150</v>
      </c>
      <c r="AC24" s="1064">
        <v>26450</v>
      </c>
      <c r="AD24" s="1063"/>
      <c r="AE24" s="1061">
        <f>IF(AD16=0,0,AF24/(AD16+AD18))</f>
        <v>1150</v>
      </c>
      <c r="AF24" s="1064">
        <v>37950</v>
      </c>
      <c r="AG24" s="1063"/>
      <c r="AH24" s="1061">
        <f>IF(AG16=0,0,AI24/(AG16+AG18))</f>
        <v>1150</v>
      </c>
      <c r="AI24" s="1064">
        <v>36800</v>
      </c>
      <c r="AJ24" s="1063"/>
      <c r="AK24" s="1061">
        <f>IF(AJ16=0,0,AL24/(AJ16+AJ18))</f>
        <v>1150</v>
      </c>
      <c r="AL24" s="1064">
        <v>32200</v>
      </c>
      <c r="AM24" s="1063"/>
      <c r="AN24" s="1061">
        <f>IF(AM16=0,0,AO24/(AM16+AM18))</f>
        <v>1150</v>
      </c>
      <c r="AO24" s="1064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">
      <c r="A25" s="533" t="str">
        <f t="shared" si="0"/>
        <v>Véhicules neufsRev. Autres</v>
      </c>
      <c r="B25" s="543" t="s">
        <v>96</v>
      </c>
      <c r="C25" s="1065"/>
      <c r="D25" s="1061">
        <f>IF(C16=0,0,E25/(C16+C18))</f>
        <v>443</v>
      </c>
      <c r="E25" s="1062">
        <f>+SUM(H25,K25,N25,Q25,T25,W25,Z25,AC25,AF25,AI25,AL25,AO25)</f>
        <v>146190</v>
      </c>
      <c r="F25" s="1063"/>
      <c r="G25" s="1061">
        <f>IF(F16=0,0,H25/(F16+F18))</f>
        <v>443</v>
      </c>
      <c r="H25" s="1064">
        <v>8860</v>
      </c>
      <c r="I25" s="1063"/>
      <c r="J25" s="1061">
        <f>IF(I16=0,0,K25/(I16+I18))</f>
        <v>443</v>
      </c>
      <c r="K25" s="1064">
        <v>7974</v>
      </c>
      <c r="L25" s="1063"/>
      <c r="M25" s="1061">
        <f>IF(L16=0,0,N25/(L16+L18))</f>
        <v>443</v>
      </c>
      <c r="N25" s="1064">
        <v>13733</v>
      </c>
      <c r="O25" s="1063"/>
      <c r="P25" s="1061">
        <f>IF(O16=0,0,Q25/(O16+O18))</f>
        <v>443</v>
      </c>
      <c r="Q25" s="1064">
        <v>15062</v>
      </c>
      <c r="R25" s="1063"/>
      <c r="S25" s="1061">
        <f>IF(R16=0,0,T25/(R16+R18))</f>
        <v>443</v>
      </c>
      <c r="T25" s="1064">
        <v>19049</v>
      </c>
      <c r="U25" s="1063"/>
      <c r="V25" s="1061">
        <f>IF(U16=0,0,W25/(U16+U18))</f>
        <v>443</v>
      </c>
      <c r="W25" s="1064">
        <v>11518</v>
      </c>
      <c r="X25" s="1063"/>
      <c r="Y25" s="1061">
        <f>IF(X16=0,0,Z25/(X16+X18))</f>
        <v>443</v>
      </c>
      <c r="Z25" s="1064">
        <v>9303</v>
      </c>
      <c r="AA25" s="1063"/>
      <c r="AB25" s="1061">
        <f>IF(AA16=0,0,AC25/(AA16+AA18))</f>
        <v>443</v>
      </c>
      <c r="AC25" s="1064">
        <v>10189</v>
      </c>
      <c r="AD25" s="1063"/>
      <c r="AE25" s="1061">
        <f>IF(AD16=0,0,AF25/(AD16+AD18))</f>
        <v>443</v>
      </c>
      <c r="AF25" s="1064">
        <v>14619</v>
      </c>
      <c r="AG25" s="1063"/>
      <c r="AH25" s="1061">
        <f>IF(AG16=0,0,AI25/(AG16+AG18))</f>
        <v>443</v>
      </c>
      <c r="AI25" s="1064">
        <v>14176</v>
      </c>
      <c r="AJ25" s="1063"/>
      <c r="AK25" s="1061">
        <f>IF(AJ16=0,0,AL25/(AJ16+AJ18))</f>
        <v>443</v>
      </c>
      <c r="AL25" s="1064">
        <v>12404</v>
      </c>
      <c r="AM25" s="1063"/>
      <c r="AN25" s="1061">
        <f>IF(AM16=0,0,AO25/(AM16+AM18))</f>
        <v>443</v>
      </c>
      <c r="AO25" s="1064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">
      <c r="A26" s="533" t="str">
        <f t="shared" si="0"/>
        <v>Véhicules neufsTotal F&amp;I</v>
      </c>
      <c r="B26" s="1354" t="s">
        <v>97</v>
      </c>
      <c r="C26" s="1067">
        <f>+C18+C16</f>
        <v>330</v>
      </c>
      <c r="D26" s="1068">
        <f>IF(C26&lt;=0,0,E26/C26)</f>
        <v>1600</v>
      </c>
      <c r="E26" s="1069">
        <f>E23+E24+E25</f>
        <v>528000</v>
      </c>
      <c r="F26" s="1067">
        <f>+F18+F16</f>
        <v>20</v>
      </c>
      <c r="G26" s="1068">
        <f>IF(F26&lt;=0,0,H26/F26)</f>
        <v>1600</v>
      </c>
      <c r="H26" s="1069">
        <f>H23+H24+H25</f>
        <v>32000</v>
      </c>
      <c r="I26" s="1067">
        <f>+I18+I16</f>
        <v>18</v>
      </c>
      <c r="J26" s="1068">
        <f>IF(I26&lt;=0,0,K26/I26)</f>
        <v>1600</v>
      </c>
      <c r="K26" s="1069">
        <f>K23+K24+K25</f>
        <v>28800</v>
      </c>
      <c r="L26" s="1067">
        <f>+L18+L16</f>
        <v>31</v>
      </c>
      <c r="M26" s="1068">
        <f>IF(L26&lt;=0,0,N26/L26)</f>
        <v>1600</v>
      </c>
      <c r="N26" s="1069">
        <f>N23+N24+N25</f>
        <v>49600</v>
      </c>
      <c r="O26" s="1067">
        <f>+O18+O16</f>
        <v>34</v>
      </c>
      <c r="P26" s="1068">
        <f>IF(O26&lt;=0,0,Q26/O26)</f>
        <v>1600</v>
      </c>
      <c r="Q26" s="1069">
        <f>Q23+Q24+Q25</f>
        <v>54400</v>
      </c>
      <c r="R26" s="1067">
        <f>+R18+R16</f>
        <v>43</v>
      </c>
      <c r="S26" s="1068">
        <f>IF(R26&lt;=0,0,T26/R26)</f>
        <v>1600</v>
      </c>
      <c r="T26" s="1069">
        <f>T23+T24+T25</f>
        <v>68800</v>
      </c>
      <c r="U26" s="1067">
        <f>+U18+U16</f>
        <v>26</v>
      </c>
      <c r="V26" s="1068">
        <f>IF(U26&lt;=0,0,W26/U26)</f>
        <v>1600</v>
      </c>
      <c r="W26" s="1069">
        <f>W23+W24+W25</f>
        <v>41600</v>
      </c>
      <c r="X26" s="1067">
        <f>+X18+X16</f>
        <v>21</v>
      </c>
      <c r="Y26" s="1068">
        <f>IF(X26&lt;=0,0,Z26/X26)</f>
        <v>1600</v>
      </c>
      <c r="Z26" s="1069">
        <f>Z23+Z24+Z25</f>
        <v>33600</v>
      </c>
      <c r="AA26" s="1067">
        <f>+AA18+AA16</f>
        <v>23</v>
      </c>
      <c r="AB26" s="1068">
        <f>IF(AA26&lt;=0,0,AC26/AA26)</f>
        <v>1600</v>
      </c>
      <c r="AC26" s="1069">
        <f>AC23+AC24+AC25</f>
        <v>36800</v>
      </c>
      <c r="AD26" s="1067">
        <f>+AD18+AD16</f>
        <v>33</v>
      </c>
      <c r="AE26" s="1068">
        <f>IF(AD26&lt;=0,0,AF26/AD26)</f>
        <v>1600</v>
      </c>
      <c r="AF26" s="1069">
        <f>AF23+AF24+AF25</f>
        <v>52800</v>
      </c>
      <c r="AG26" s="1067">
        <f>+AG18+AG16</f>
        <v>32</v>
      </c>
      <c r="AH26" s="1068">
        <f>IF(AG26&lt;=0,0,AI26/AG26)</f>
        <v>1600</v>
      </c>
      <c r="AI26" s="1069">
        <f>AI23+AI24+AI25</f>
        <v>51200</v>
      </c>
      <c r="AJ26" s="1067">
        <f>+AJ18+AJ16</f>
        <v>28</v>
      </c>
      <c r="AK26" s="1068">
        <f>IF(AJ26&lt;=0,0,AL26/AJ26)</f>
        <v>1600</v>
      </c>
      <c r="AL26" s="1069">
        <f>AL23+AL24+AL25</f>
        <v>44800</v>
      </c>
      <c r="AM26" s="1067">
        <f>+AM18+AM16</f>
        <v>21</v>
      </c>
      <c r="AN26" s="1068">
        <f>IF(AM26&lt;=0,0,AO26/AM26)</f>
        <v>1600</v>
      </c>
      <c r="AO26" s="1069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">
      <c r="A27" s="533" t="str">
        <f t="shared" si="0"/>
        <v>Véhicules neufs</v>
      </c>
      <c r="B27" s="5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2">
        <f>+C16+C18+C20</f>
        <v>350</v>
      </c>
      <c r="D29" s="1083">
        <f>IF(C29&lt;=0,0,E29/C29)</f>
        <v>5092.2857142857147</v>
      </c>
      <c r="E29" s="1084">
        <f>E16+E20+E26+E18</f>
        <v>1782300</v>
      </c>
      <c r="F29" s="1082">
        <f>+F16+F18+F20</f>
        <v>21</v>
      </c>
      <c r="G29" s="1083">
        <f>IF(F29&lt;=0,0,H29/F29)</f>
        <v>4928.4145658263305</v>
      </c>
      <c r="H29" s="1084">
        <f>H16+H20+H26+H18</f>
        <v>103496.70588235294</v>
      </c>
      <c r="I29" s="1082">
        <f>+I16+I18+I20</f>
        <v>19</v>
      </c>
      <c r="J29" s="1083">
        <f>IF(I29&lt;=0,0,K29/I29)</f>
        <v>4537.3699690402473</v>
      </c>
      <c r="K29" s="1084">
        <f>K16+K20+K26+K18</f>
        <v>86210.029411764699</v>
      </c>
      <c r="L29" s="1082">
        <f>+L16+L18+L20</f>
        <v>33</v>
      </c>
      <c r="M29" s="1083">
        <f>IF(L29&lt;=0,0,N29/L29)</f>
        <v>5118.8966131907309</v>
      </c>
      <c r="N29" s="1084">
        <f>N16+N20+N26+N18</f>
        <v>168923.58823529413</v>
      </c>
      <c r="O29" s="1082">
        <f>+O16+O18+O20</f>
        <v>36</v>
      </c>
      <c r="P29" s="1083">
        <f>IF(O29&lt;=0,0,Q29/O29)</f>
        <v>5174.4934640522879</v>
      </c>
      <c r="Q29" s="1084">
        <f>Q16+Q20+Q26+Q18</f>
        <v>186281.76470588235</v>
      </c>
      <c r="R29" s="1082">
        <f>+R16+R18+R20</f>
        <v>45</v>
      </c>
      <c r="S29" s="1083">
        <f>IF(R29&lt;=0,0,T29/R29)</f>
        <v>5288.7575163398697</v>
      </c>
      <c r="T29" s="1084">
        <f>T16+T20+T26+T18</f>
        <v>237994.08823529413</v>
      </c>
      <c r="U29" s="1082">
        <f>+U16+U18+U20</f>
        <v>28</v>
      </c>
      <c r="V29" s="1083">
        <f>IF(U29&lt;=0,0,W29/U29)</f>
        <v>5143.1995798319331</v>
      </c>
      <c r="W29" s="1084">
        <f>W16+W20+W26+W18</f>
        <v>144009.58823529413</v>
      </c>
      <c r="X29" s="1082">
        <f>+X16+X18+X20</f>
        <v>22</v>
      </c>
      <c r="Y29" s="1083">
        <f>IF(X29&lt;=0,0,Z29/X29)</f>
        <v>5114.8355614973261</v>
      </c>
      <c r="Z29" s="1084">
        <f>Z16+Z20+Z26+Z18</f>
        <v>112526.38235294117</v>
      </c>
      <c r="AA29" s="1082">
        <f>+AA16+AA18+AA20</f>
        <v>24</v>
      </c>
      <c r="AB29" s="1083">
        <f>IF(AA29&lt;=0,0,AC29/AA29)</f>
        <v>5181.5024509803925</v>
      </c>
      <c r="AC29" s="1084">
        <f>AC16+AC20+AC26+AC18</f>
        <v>124356.05882352941</v>
      </c>
      <c r="AD29" s="1082">
        <f>+AD16+AD18+AD20</f>
        <v>36</v>
      </c>
      <c r="AE29" s="1083">
        <f>IF(AD29&lt;=0,0,AF29/AD29)</f>
        <v>5041.7573529411766</v>
      </c>
      <c r="AF29" s="1084">
        <f>AF16+AF20+AF26+AF18</f>
        <v>181503.26470588235</v>
      </c>
      <c r="AG29" s="1082">
        <f>+AG16+AG18+AG20</f>
        <v>34</v>
      </c>
      <c r="AH29" s="1083">
        <f>IF(AG29&lt;=0,0,AI29/AG29)</f>
        <v>5108.2179930795846</v>
      </c>
      <c r="AI29" s="1084">
        <f>AI16+AI20+AI26+AI18</f>
        <v>173679.41176470587</v>
      </c>
      <c r="AJ29" s="1082">
        <f>+AJ16+AJ18+AJ20</f>
        <v>30</v>
      </c>
      <c r="AK29" s="1083">
        <f>IF(AJ29&lt;=0,0,AL29/AJ29)</f>
        <v>5026.4245098039219</v>
      </c>
      <c r="AL29" s="1084">
        <f>AL16+AL20+AL26+AL18</f>
        <v>150792.73529411765</v>
      </c>
      <c r="AM29" s="1082">
        <f>+AM16+AM18+AM20</f>
        <v>22</v>
      </c>
      <c r="AN29" s="1083">
        <f>IF(AM29&lt;=0,0,AO29/AM29)</f>
        <v>5114.8355614973261</v>
      </c>
      <c r="AO29" s="1084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88"/>
      <c r="E30" s="1089"/>
      <c r="F30" s="598"/>
      <c r="G30" s="1088"/>
      <c r="H30" s="1089"/>
      <c r="I30" s="598"/>
      <c r="J30" s="1088"/>
      <c r="K30" s="1089"/>
      <c r="L30" s="598"/>
      <c r="M30" s="1088"/>
      <c r="N30" s="1089"/>
      <c r="O30" s="598"/>
      <c r="P30" s="1088"/>
      <c r="Q30" s="1089"/>
      <c r="R30" s="598"/>
      <c r="S30" s="1088"/>
      <c r="T30" s="1089"/>
      <c r="U30" s="598"/>
      <c r="V30" s="1088"/>
      <c r="W30" s="1089"/>
      <c r="X30" s="598"/>
      <c r="Y30" s="1088"/>
      <c r="Z30" s="1089"/>
      <c r="AA30" s="598"/>
      <c r="AB30" s="1088"/>
      <c r="AC30" s="1089"/>
      <c r="AD30" s="598"/>
      <c r="AE30" s="1088"/>
      <c r="AF30" s="1089"/>
      <c r="AG30" s="598"/>
      <c r="AH30" s="1088"/>
      <c r="AI30" s="1089"/>
      <c r="AJ30" s="598"/>
      <c r="AK30" s="1088"/>
      <c r="AL30" s="1089"/>
      <c r="AM30" s="598"/>
      <c r="AN30" s="1088"/>
      <c r="AO30" s="1089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3"/>
      <c r="E31" s="1094"/>
      <c r="F31" s="599"/>
      <c r="G31" s="1093"/>
      <c r="H31" s="1094"/>
      <c r="I31" s="599"/>
      <c r="J31" s="1093"/>
      <c r="K31" s="1094"/>
      <c r="L31" s="599"/>
      <c r="M31" s="1093"/>
      <c r="N31" s="1094"/>
      <c r="O31" s="599"/>
      <c r="P31" s="1093"/>
      <c r="Q31" s="1094"/>
      <c r="R31" s="599"/>
      <c r="S31" s="1093"/>
      <c r="T31" s="1094"/>
      <c r="U31" s="599"/>
      <c r="V31" s="1093"/>
      <c r="W31" s="1094"/>
      <c r="X31" s="599"/>
      <c r="Y31" s="1093"/>
      <c r="Z31" s="1094"/>
      <c r="AA31" s="599"/>
      <c r="AB31" s="1093"/>
      <c r="AC31" s="1094"/>
      <c r="AD31" s="599"/>
      <c r="AE31" s="1093"/>
      <c r="AF31" s="1094"/>
      <c r="AG31" s="599"/>
      <c r="AH31" s="1093"/>
      <c r="AI31" s="1094"/>
      <c r="AJ31" s="599"/>
      <c r="AK31" s="1093"/>
      <c r="AL31" s="1094"/>
      <c r="AM31" s="599"/>
      <c r="AN31" s="1093"/>
      <c r="AO31" s="1094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">
      <c r="A32" s="533" t="str">
        <f t="shared" si="0"/>
        <v>Véhicules neufsDEPENSES</v>
      </c>
      <c r="B32" s="600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">
      <c r="A33" s="533" t="str">
        <f t="shared" si="0"/>
        <v>Véhicules neufsComm. vendeurs</v>
      </c>
      <c r="B33" s="543" t="s">
        <v>100</v>
      </c>
      <c r="C33" s="1098">
        <f>E33/(E16+E18)</f>
        <v>0.28205720971516179</v>
      </c>
      <c r="D33" s="1099">
        <f>IF(E33=0,0,E33/C$26)</f>
        <v>1059.2530303030303</v>
      </c>
      <c r="E33" s="1080">
        <f t="shared" ref="E33:E73" si="15">+SUM(H33,K33,N33,Q33,T33,W33,Z33,AC33,AF33,AI33,AL33,AO33)</f>
        <v>349553.5</v>
      </c>
      <c r="F33" s="543"/>
      <c r="G33" s="1099">
        <f t="shared" ref="G33:G42" si="16">IF(H33=0,0,H33/F$26)</f>
        <v>1053.8997811584402</v>
      </c>
      <c r="H33" s="1101">
        <v>21077.995623168805</v>
      </c>
      <c r="I33" s="543"/>
      <c r="J33" s="1099">
        <f t="shared" ref="J33:J42" si="17">IF(K33=0,0,K33/I$26)</f>
        <v>961.27806103348121</v>
      </c>
      <c r="K33" s="1101">
        <v>17303.005098602662</v>
      </c>
      <c r="L33" s="543"/>
      <c r="M33" s="1099">
        <f t="shared" ref="M33:M42" si="18">IF(N33=0,0,N33/L$26)</f>
        <v>1057.9219935367548</v>
      </c>
      <c r="N33" s="1101">
        <v>32795.581799639396</v>
      </c>
      <c r="O33" s="543"/>
      <c r="P33" s="1099">
        <f t="shared" ref="P33:P42" si="19">IF(Q33=0,0,Q33/O$26)</f>
        <v>1055.0686774980443</v>
      </c>
      <c r="Q33" s="1101">
        <v>35872.335034933509</v>
      </c>
      <c r="R33" s="543"/>
      <c r="S33" s="1099">
        <f t="shared" ref="S33:S42" si="20">IF(T33=0,0,T33/R$26)</f>
        <v>1043.0692303489159</v>
      </c>
      <c r="T33" s="1101">
        <v>44851.976905003386</v>
      </c>
      <c r="U33" s="543"/>
      <c r="V33" s="1099">
        <f t="shared" ref="V33:V42" si="21">IF(W33=0,0,W33/U$26)</f>
        <v>1101.9866076784383</v>
      </c>
      <c r="W33" s="1101">
        <v>28651.651799639396</v>
      </c>
      <c r="X33" s="543"/>
      <c r="Y33" s="1099">
        <f t="shared" ref="Y33:Y42" si="22">IF(Z33=0,0,Z33/X$26)</f>
        <v>1098.1020834809019</v>
      </c>
      <c r="Z33" s="1101">
        <v>23060.143753098942</v>
      </c>
      <c r="AA33" s="543"/>
      <c r="AB33" s="1099">
        <f t="shared" ref="AB33:AB42" si="23">IF(AC33=0,0,AC33/AA$26)</f>
        <v>1080.4634651791753</v>
      </c>
      <c r="AC33" s="1101">
        <v>24850.659699121032</v>
      </c>
      <c r="AD33" s="543"/>
      <c r="AE33" s="1099">
        <f t="shared" ref="AE33:AE42" si="24">IF(AF33=0,0,AF33/AD$26)</f>
        <v>1063.4425010585912</v>
      </c>
      <c r="AF33" s="1101">
        <v>35093.60253493351</v>
      </c>
      <c r="AG33" s="543"/>
      <c r="AH33" s="1099">
        <f t="shared" ref="AH33:AH42" si="25">IF(AI33=0,0,AI33/AG$26)</f>
        <v>1049.0237051357899</v>
      </c>
      <c r="AI33" s="1101">
        <v>33568.758564345277</v>
      </c>
      <c r="AJ33" s="543"/>
      <c r="AK33" s="1099">
        <f t="shared" ref="AK33:AK42" si="26">IF(AL33=0,0,AL33/AJ$26)</f>
        <v>1048.844479800541</v>
      </c>
      <c r="AL33" s="1101">
        <v>29367.645434415146</v>
      </c>
      <c r="AM33" s="543"/>
      <c r="AN33" s="1099">
        <f t="shared" ref="AN33:AN42" si="27">IF(AO33=0,0,AO33/AM$26)</f>
        <v>1098.1020834809019</v>
      </c>
      <c r="AO33" s="1101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">
      <c r="A34" s="533" t="str">
        <f t="shared" si="0"/>
        <v>Véhicules neufsComm. F&amp;I</v>
      </c>
      <c r="B34" s="601" t="s">
        <v>101</v>
      </c>
      <c r="C34" s="1102">
        <f>E34/E26</f>
        <v>0.30499999999999999</v>
      </c>
      <c r="D34" s="1030">
        <f t="shared" ref="D34:D42" si="28">IF(E34=0,0,E34/C$26)</f>
        <v>488</v>
      </c>
      <c r="E34" s="1103">
        <f t="shared" si="15"/>
        <v>161040</v>
      </c>
      <c r="F34" s="601"/>
      <c r="G34" s="1030">
        <f t="shared" si="16"/>
        <v>488</v>
      </c>
      <c r="H34" s="1105">
        <v>9760</v>
      </c>
      <c r="I34" s="601"/>
      <c r="J34" s="1030">
        <f t="shared" si="17"/>
        <v>488</v>
      </c>
      <c r="K34" s="1105">
        <v>8784</v>
      </c>
      <c r="L34" s="601"/>
      <c r="M34" s="1030">
        <f t="shared" si="18"/>
        <v>488</v>
      </c>
      <c r="N34" s="1105">
        <v>15128</v>
      </c>
      <c r="O34" s="601"/>
      <c r="P34" s="1030">
        <f t="shared" si="19"/>
        <v>488</v>
      </c>
      <c r="Q34" s="1105">
        <v>16592</v>
      </c>
      <c r="R34" s="601"/>
      <c r="S34" s="1030">
        <f t="shared" si="20"/>
        <v>488</v>
      </c>
      <c r="T34" s="1105">
        <v>20984</v>
      </c>
      <c r="U34" s="601"/>
      <c r="V34" s="1030">
        <f t="shared" si="21"/>
        <v>488</v>
      </c>
      <c r="W34" s="1105">
        <v>12688</v>
      </c>
      <c r="X34" s="601"/>
      <c r="Y34" s="1030">
        <f t="shared" si="22"/>
        <v>488</v>
      </c>
      <c r="Z34" s="1105">
        <v>10248</v>
      </c>
      <c r="AA34" s="601"/>
      <c r="AB34" s="1030">
        <f t="shared" si="23"/>
        <v>488</v>
      </c>
      <c r="AC34" s="1105">
        <v>11224</v>
      </c>
      <c r="AD34" s="601"/>
      <c r="AE34" s="1030">
        <f t="shared" si="24"/>
        <v>488</v>
      </c>
      <c r="AF34" s="1105">
        <v>16104</v>
      </c>
      <c r="AG34" s="601"/>
      <c r="AH34" s="1030">
        <f t="shared" si="25"/>
        <v>488</v>
      </c>
      <c r="AI34" s="1105">
        <v>15616</v>
      </c>
      <c r="AJ34" s="601"/>
      <c r="AK34" s="1030">
        <f t="shared" si="26"/>
        <v>488</v>
      </c>
      <c r="AL34" s="1105">
        <v>13664</v>
      </c>
      <c r="AM34" s="601"/>
      <c r="AN34" s="1030">
        <f t="shared" si="27"/>
        <v>488</v>
      </c>
      <c r="AO34" s="1105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">
      <c r="A35" s="533" t="str">
        <f t="shared" si="0"/>
        <v>Véhicules neufsFrais de livraison</v>
      </c>
      <c r="B35" s="543" t="s">
        <v>102</v>
      </c>
      <c r="C35" s="543"/>
      <c r="D35" s="1099">
        <f t="shared" si="28"/>
        <v>120</v>
      </c>
      <c r="E35" s="1080">
        <f t="shared" si="15"/>
        <v>39600</v>
      </c>
      <c r="F35" s="543"/>
      <c r="G35" s="1099">
        <f t="shared" si="16"/>
        <v>120</v>
      </c>
      <c r="H35" s="1101">
        <v>2400</v>
      </c>
      <c r="I35" s="543"/>
      <c r="J35" s="1099">
        <f t="shared" si="17"/>
        <v>120</v>
      </c>
      <c r="K35" s="1101">
        <v>2160</v>
      </c>
      <c r="L35" s="543"/>
      <c r="M35" s="1099">
        <f t="shared" si="18"/>
        <v>120</v>
      </c>
      <c r="N35" s="1101">
        <v>3720</v>
      </c>
      <c r="O35" s="543"/>
      <c r="P35" s="1099">
        <f t="shared" si="19"/>
        <v>120</v>
      </c>
      <c r="Q35" s="1101">
        <v>4080</v>
      </c>
      <c r="R35" s="543"/>
      <c r="S35" s="1099">
        <f t="shared" si="20"/>
        <v>120</v>
      </c>
      <c r="T35" s="1101">
        <v>5160</v>
      </c>
      <c r="U35" s="543"/>
      <c r="V35" s="1099">
        <f t="shared" si="21"/>
        <v>120</v>
      </c>
      <c r="W35" s="1101">
        <v>3120</v>
      </c>
      <c r="X35" s="543"/>
      <c r="Y35" s="1099">
        <f t="shared" si="22"/>
        <v>120</v>
      </c>
      <c r="Z35" s="1101">
        <v>2520</v>
      </c>
      <c r="AA35" s="543"/>
      <c r="AB35" s="1099">
        <f t="shared" si="23"/>
        <v>120</v>
      </c>
      <c r="AC35" s="1101">
        <v>2760</v>
      </c>
      <c r="AD35" s="543"/>
      <c r="AE35" s="1099">
        <f t="shared" si="24"/>
        <v>120</v>
      </c>
      <c r="AF35" s="1101">
        <v>3960</v>
      </c>
      <c r="AG35" s="543"/>
      <c r="AH35" s="1099">
        <f t="shared" si="25"/>
        <v>120</v>
      </c>
      <c r="AI35" s="1101">
        <v>3840</v>
      </c>
      <c r="AJ35" s="543"/>
      <c r="AK35" s="1099">
        <f t="shared" si="26"/>
        <v>120</v>
      </c>
      <c r="AL35" s="1101">
        <v>3360</v>
      </c>
      <c r="AM35" s="543"/>
      <c r="AN35" s="1099">
        <f t="shared" si="27"/>
        <v>120</v>
      </c>
      <c r="AO35" s="1101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">
      <c r="A36" s="533" t="str">
        <f t="shared" si="0"/>
        <v>Véhicules neufsService gratuit 1</v>
      </c>
      <c r="B36" s="543" t="s">
        <v>103</v>
      </c>
      <c r="C36" s="543"/>
      <c r="D36" s="1099">
        <f>IF(E36=0,0,E36/C$26)</f>
        <v>35</v>
      </c>
      <c r="E36" s="1080">
        <f t="shared" si="15"/>
        <v>11550</v>
      </c>
      <c r="F36" s="543"/>
      <c r="G36" s="1099">
        <f t="shared" si="16"/>
        <v>35</v>
      </c>
      <c r="H36" s="1101">
        <v>700</v>
      </c>
      <c r="I36" s="543"/>
      <c r="J36" s="1099">
        <f t="shared" si="17"/>
        <v>35</v>
      </c>
      <c r="K36" s="1101">
        <v>630</v>
      </c>
      <c r="L36" s="543"/>
      <c r="M36" s="1099">
        <f t="shared" si="18"/>
        <v>35</v>
      </c>
      <c r="N36" s="1101">
        <v>1085</v>
      </c>
      <c r="O36" s="543"/>
      <c r="P36" s="1099">
        <f t="shared" si="19"/>
        <v>35</v>
      </c>
      <c r="Q36" s="1101">
        <v>1190</v>
      </c>
      <c r="R36" s="543"/>
      <c r="S36" s="1099">
        <f t="shared" si="20"/>
        <v>35</v>
      </c>
      <c r="T36" s="1101">
        <v>1505</v>
      </c>
      <c r="U36" s="543"/>
      <c r="V36" s="1099">
        <f t="shared" si="21"/>
        <v>35</v>
      </c>
      <c r="W36" s="1101">
        <v>910</v>
      </c>
      <c r="X36" s="543"/>
      <c r="Y36" s="1099">
        <f t="shared" si="22"/>
        <v>35</v>
      </c>
      <c r="Z36" s="1101">
        <v>735</v>
      </c>
      <c r="AA36" s="543"/>
      <c r="AB36" s="1099">
        <f t="shared" si="23"/>
        <v>35</v>
      </c>
      <c r="AC36" s="1101">
        <v>805</v>
      </c>
      <c r="AD36" s="543"/>
      <c r="AE36" s="1099">
        <f t="shared" si="24"/>
        <v>35</v>
      </c>
      <c r="AF36" s="1101">
        <v>1155</v>
      </c>
      <c r="AG36" s="543"/>
      <c r="AH36" s="1099">
        <f t="shared" si="25"/>
        <v>35</v>
      </c>
      <c r="AI36" s="1101">
        <v>1120</v>
      </c>
      <c r="AJ36" s="543"/>
      <c r="AK36" s="1099">
        <f t="shared" si="26"/>
        <v>35</v>
      </c>
      <c r="AL36" s="1101">
        <v>980</v>
      </c>
      <c r="AM36" s="543"/>
      <c r="AN36" s="1099">
        <f t="shared" si="27"/>
        <v>35</v>
      </c>
      <c r="AO36" s="1101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">
      <c r="A37" s="533" t="str">
        <f t="shared" si="0"/>
        <v>Véhicules neufsEntretien stock</v>
      </c>
      <c r="B37" s="601" t="s">
        <v>104</v>
      </c>
      <c r="C37" s="601"/>
      <c r="D37" s="1030">
        <f t="shared" si="28"/>
        <v>97.63636363636364</v>
      </c>
      <c r="E37" s="1103">
        <f t="shared" si="15"/>
        <v>32220</v>
      </c>
      <c r="F37" s="601"/>
      <c r="G37" s="1030">
        <f t="shared" si="16"/>
        <v>101.25</v>
      </c>
      <c r="H37" s="1105">
        <v>2025</v>
      </c>
      <c r="I37" s="601"/>
      <c r="J37" s="1030">
        <f t="shared" si="17"/>
        <v>102.72222222222223</v>
      </c>
      <c r="K37" s="1105">
        <v>1849</v>
      </c>
      <c r="L37" s="601"/>
      <c r="M37" s="1030">
        <f t="shared" si="18"/>
        <v>96.548387096774192</v>
      </c>
      <c r="N37" s="1105">
        <v>2993</v>
      </c>
      <c r="O37" s="601"/>
      <c r="P37" s="1030">
        <f t="shared" si="19"/>
        <v>95.794117647058826</v>
      </c>
      <c r="Q37" s="1105">
        <v>3257</v>
      </c>
      <c r="R37" s="601"/>
      <c r="S37" s="1030">
        <f t="shared" si="20"/>
        <v>94.162790697674424</v>
      </c>
      <c r="T37" s="1105">
        <v>4049</v>
      </c>
      <c r="U37" s="601"/>
      <c r="V37" s="1030">
        <f t="shared" si="21"/>
        <v>98.192307692307693</v>
      </c>
      <c r="W37" s="1105">
        <v>2553</v>
      </c>
      <c r="X37" s="601"/>
      <c r="Y37" s="1030">
        <f t="shared" si="22"/>
        <v>100.61904761904762</v>
      </c>
      <c r="Z37" s="1105">
        <v>2113</v>
      </c>
      <c r="AA37" s="601"/>
      <c r="AB37" s="1030">
        <f t="shared" si="23"/>
        <v>99.521739130434781</v>
      </c>
      <c r="AC37" s="1105">
        <v>2289</v>
      </c>
      <c r="AD37" s="601"/>
      <c r="AE37" s="1030">
        <f t="shared" si="24"/>
        <v>96.030303030303031</v>
      </c>
      <c r="AF37" s="1105">
        <v>3169</v>
      </c>
      <c r="AG37" s="601"/>
      <c r="AH37" s="1030">
        <f t="shared" si="25"/>
        <v>96.28125</v>
      </c>
      <c r="AI37" s="1105">
        <v>3081</v>
      </c>
      <c r="AJ37" s="601"/>
      <c r="AK37" s="1030">
        <f t="shared" si="26"/>
        <v>97.464285714285708</v>
      </c>
      <c r="AL37" s="1105">
        <v>2729</v>
      </c>
      <c r="AM37" s="601"/>
      <c r="AN37" s="1030">
        <f t="shared" si="27"/>
        <v>100.61904761904762</v>
      </c>
      <c r="AO37" s="1105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">
      <c r="A38" s="533" t="str">
        <f t="shared" si="0"/>
        <v>Véhicules neufsPublicité 1</v>
      </c>
      <c r="B38" s="543" t="s">
        <v>105</v>
      </c>
      <c r="C38" s="543"/>
      <c r="D38" s="1099">
        <f t="shared" si="28"/>
        <v>234.88787878787875</v>
      </c>
      <c r="E38" s="1080">
        <f t="shared" si="15"/>
        <v>77512.999999999985</v>
      </c>
      <c r="F38" s="543"/>
      <c r="G38" s="1099">
        <f t="shared" si="16"/>
        <v>234.8878787878788</v>
      </c>
      <c r="H38" s="1101">
        <v>4697.757575757576</v>
      </c>
      <c r="I38" s="543"/>
      <c r="J38" s="1099">
        <f t="shared" si="17"/>
        <v>234.88787878787875</v>
      </c>
      <c r="K38" s="1101">
        <v>4227.9818181818173</v>
      </c>
      <c r="L38" s="543"/>
      <c r="M38" s="1099">
        <f t="shared" si="18"/>
        <v>234.88787878787872</v>
      </c>
      <c r="N38" s="1101">
        <v>7281.5242424242406</v>
      </c>
      <c r="O38" s="543"/>
      <c r="P38" s="1099">
        <f t="shared" si="19"/>
        <v>234.88787878787869</v>
      </c>
      <c r="Q38" s="1101">
        <v>7986.1878787878759</v>
      </c>
      <c r="R38" s="543"/>
      <c r="S38" s="1099">
        <f t="shared" si="20"/>
        <v>234.88787878787878</v>
      </c>
      <c r="T38" s="1101">
        <v>10100.178787878787</v>
      </c>
      <c r="U38" s="543"/>
      <c r="V38" s="1099">
        <f t="shared" si="21"/>
        <v>234.88787878787872</v>
      </c>
      <c r="W38" s="1101">
        <v>6107.0848484848466</v>
      </c>
      <c r="X38" s="543"/>
      <c r="Y38" s="1099">
        <f t="shared" si="22"/>
        <v>234.88787878787875</v>
      </c>
      <c r="Z38" s="1101">
        <v>4932.6454545454535</v>
      </c>
      <c r="AA38" s="543"/>
      <c r="AB38" s="1099">
        <f t="shared" si="23"/>
        <v>234.88787878787875</v>
      </c>
      <c r="AC38" s="1101">
        <v>5402.4212121212113</v>
      </c>
      <c r="AD38" s="543"/>
      <c r="AE38" s="1099">
        <f t="shared" si="24"/>
        <v>234.88787878787878</v>
      </c>
      <c r="AF38" s="1101">
        <v>7751.2999999999993</v>
      </c>
      <c r="AG38" s="543"/>
      <c r="AH38" s="1099">
        <f t="shared" si="25"/>
        <v>234.88787878787875</v>
      </c>
      <c r="AI38" s="1101">
        <v>7516.4121212121199</v>
      </c>
      <c r="AJ38" s="543"/>
      <c r="AK38" s="1099">
        <f t="shared" si="26"/>
        <v>234.88787878787872</v>
      </c>
      <c r="AL38" s="1101">
        <v>6576.8606060606044</v>
      </c>
      <c r="AM38" s="543"/>
      <c r="AN38" s="1099">
        <f t="shared" si="27"/>
        <v>234.88787878787875</v>
      </c>
      <c r="AO38" s="1101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">
      <c r="A39" s="533" t="str">
        <f t="shared" si="0"/>
        <v>Véhicules neufsIntérêt de gros</v>
      </c>
      <c r="B39" s="543" t="s">
        <v>106</v>
      </c>
      <c r="C39" s="543"/>
      <c r="D39" s="1099">
        <f>IF(E39=0,0,E39/C$26)</f>
        <v>816.63085190192317</v>
      </c>
      <c r="E39" s="1080">
        <f t="shared" si="15"/>
        <v>269488.18112763466</v>
      </c>
      <c r="F39" s="543"/>
      <c r="G39" s="1099">
        <f t="shared" si="16"/>
        <v>1022.7279223653395</v>
      </c>
      <c r="H39" s="1101">
        <v>20454.55844730679</v>
      </c>
      <c r="I39" s="543"/>
      <c r="J39" s="1099">
        <f t="shared" si="17"/>
        <v>1143.7885434556333</v>
      </c>
      <c r="K39" s="1101">
        <v>20588.193782201401</v>
      </c>
      <c r="L39" s="543"/>
      <c r="M39" s="1099">
        <f t="shared" si="18"/>
        <v>780.93148829039785</v>
      </c>
      <c r="N39" s="1101">
        <v>24208.876137002335</v>
      </c>
      <c r="O39" s="543"/>
      <c r="P39" s="1099">
        <f t="shared" si="19"/>
        <v>733.27476959636317</v>
      </c>
      <c r="Q39" s="1101">
        <v>24931.342166276347</v>
      </c>
      <c r="R39" s="543"/>
      <c r="S39" s="1099">
        <f t="shared" si="20"/>
        <v>575.03983859811547</v>
      </c>
      <c r="T39" s="1101">
        <v>24726.713059718964</v>
      </c>
      <c r="U39" s="543"/>
      <c r="V39" s="1099">
        <f t="shared" si="21"/>
        <v>809.52174022698614</v>
      </c>
      <c r="W39" s="1101">
        <v>21047.565245901638</v>
      </c>
      <c r="X39" s="543"/>
      <c r="Y39" s="1099">
        <f t="shared" si="22"/>
        <v>1011.0149443515111</v>
      </c>
      <c r="Z39" s="1101">
        <v>21231.313831381733</v>
      </c>
      <c r="AA39" s="543"/>
      <c r="AB39" s="1099">
        <f t="shared" si="23"/>
        <v>1001.9018722126057</v>
      </c>
      <c r="AC39" s="1101">
        <v>23043.74306088993</v>
      </c>
      <c r="AD39" s="543"/>
      <c r="AE39" s="1099">
        <f t="shared" si="24"/>
        <v>713.73417500532253</v>
      </c>
      <c r="AF39" s="1101">
        <v>23553.227775175645</v>
      </c>
      <c r="AG39" s="543"/>
      <c r="AH39" s="1099">
        <f t="shared" si="25"/>
        <v>736.29937448770488</v>
      </c>
      <c r="AI39" s="1101">
        <v>23561.579983606556</v>
      </c>
      <c r="AJ39" s="543"/>
      <c r="AK39" s="1099">
        <f t="shared" si="26"/>
        <v>760.64755352960867</v>
      </c>
      <c r="AL39" s="1101">
        <v>21298.131498829043</v>
      </c>
      <c r="AM39" s="543"/>
      <c r="AN39" s="1099">
        <f t="shared" si="27"/>
        <v>992.52076854020299</v>
      </c>
      <c r="AO39" s="1101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099">
        <f t="shared" si="28"/>
        <v>0</v>
      </c>
      <c r="E40" s="1080">
        <f t="shared" si="15"/>
        <v>0</v>
      </c>
      <c r="F40" s="543"/>
      <c r="G40" s="1099">
        <f t="shared" si="16"/>
        <v>0</v>
      </c>
      <c r="H40" s="1080"/>
      <c r="I40" s="543"/>
      <c r="J40" s="1099">
        <f t="shared" si="17"/>
        <v>0</v>
      </c>
      <c r="K40" s="1080"/>
      <c r="L40" s="543"/>
      <c r="M40" s="1099">
        <f t="shared" si="18"/>
        <v>0</v>
      </c>
      <c r="N40" s="1080"/>
      <c r="O40" s="543"/>
      <c r="P40" s="1099">
        <f t="shared" si="19"/>
        <v>0</v>
      </c>
      <c r="Q40" s="1080"/>
      <c r="R40" s="543"/>
      <c r="S40" s="1099">
        <f t="shared" si="20"/>
        <v>0</v>
      </c>
      <c r="T40" s="1080"/>
      <c r="U40" s="543"/>
      <c r="V40" s="1099">
        <f t="shared" si="21"/>
        <v>0</v>
      </c>
      <c r="W40" s="1080"/>
      <c r="X40" s="543"/>
      <c r="Y40" s="1099">
        <f t="shared" si="22"/>
        <v>0</v>
      </c>
      <c r="Z40" s="1080"/>
      <c r="AA40" s="543"/>
      <c r="AB40" s="1099">
        <f t="shared" si="23"/>
        <v>0</v>
      </c>
      <c r="AC40" s="1080"/>
      <c r="AD40" s="543"/>
      <c r="AE40" s="1099">
        <f t="shared" si="24"/>
        <v>0</v>
      </c>
      <c r="AF40" s="1080"/>
      <c r="AG40" s="543"/>
      <c r="AH40" s="1099">
        <f t="shared" si="25"/>
        <v>0</v>
      </c>
      <c r="AI40" s="1080"/>
      <c r="AJ40" s="543"/>
      <c r="AK40" s="1099">
        <f t="shared" si="26"/>
        <v>0</v>
      </c>
      <c r="AL40" s="1080"/>
      <c r="AM40" s="543"/>
      <c r="AN40" s="1099">
        <f t="shared" si="27"/>
        <v>0</v>
      </c>
      <c r="AO40" s="1080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099">
        <f t="shared" si="28"/>
        <v>0</v>
      </c>
      <c r="E41" s="1080">
        <f t="shared" si="15"/>
        <v>0</v>
      </c>
      <c r="F41" s="543"/>
      <c r="G41" s="1099">
        <f t="shared" si="16"/>
        <v>0</v>
      </c>
      <c r="H41" s="1080"/>
      <c r="I41" s="543"/>
      <c r="J41" s="1099">
        <f t="shared" si="17"/>
        <v>0</v>
      </c>
      <c r="K41" s="1080"/>
      <c r="L41" s="543"/>
      <c r="M41" s="1099">
        <f t="shared" si="18"/>
        <v>0</v>
      </c>
      <c r="N41" s="1080"/>
      <c r="O41" s="543"/>
      <c r="P41" s="1099">
        <f t="shared" si="19"/>
        <v>0</v>
      </c>
      <c r="Q41" s="1080"/>
      <c r="R41" s="543"/>
      <c r="S41" s="1099">
        <f t="shared" si="20"/>
        <v>0</v>
      </c>
      <c r="T41" s="1080"/>
      <c r="U41" s="543"/>
      <c r="V41" s="1099">
        <f t="shared" si="21"/>
        <v>0</v>
      </c>
      <c r="W41" s="1080"/>
      <c r="X41" s="543"/>
      <c r="Y41" s="1099">
        <f t="shared" si="22"/>
        <v>0</v>
      </c>
      <c r="Z41" s="1080"/>
      <c r="AA41" s="543"/>
      <c r="AB41" s="1099">
        <f t="shared" si="23"/>
        <v>0</v>
      </c>
      <c r="AC41" s="1080"/>
      <c r="AD41" s="543"/>
      <c r="AE41" s="1099">
        <f t="shared" si="24"/>
        <v>0</v>
      </c>
      <c r="AF41" s="1080"/>
      <c r="AG41" s="543"/>
      <c r="AH41" s="1099">
        <f t="shared" si="25"/>
        <v>0</v>
      </c>
      <c r="AI41" s="1080"/>
      <c r="AJ41" s="543"/>
      <c r="AK41" s="1099">
        <f t="shared" si="26"/>
        <v>0</v>
      </c>
      <c r="AL41" s="1080"/>
      <c r="AM41" s="543"/>
      <c r="AN41" s="1099">
        <f t="shared" si="27"/>
        <v>0</v>
      </c>
      <c r="AO41" s="1080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099">
        <f t="shared" si="28"/>
        <v>0</v>
      </c>
      <c r="E42" s="1080">
        <f t="shared" si="15"/>
        <v>0</v>
      </c>
      <c r="F42" s="601"/>
      <c r="G42" s="1099">
        <f t="shared" si="16"/>
        <v>0</v>
      </c>
      <c r="H42" s="1080"/>
      <c r="I42" s="601"/>
      <c r="J42" s="1099">
        <f t="shared" si="17"/>
        <v>0</v>
      </c>
      <c r="K42" s="1080"/>
      <c r="L42" s="601"/>
      <c r="M42" s="1099">
        <f t="shared" si="18"/>
        <v>0</v>
      </c>
      <c r="N42" s="1080"/>
      <c r="O42" s="601"/>
      <c r="P42" s="1099">
        <f t="shared" si="19"/>
        <v>0</v>
      </c>
      <c r="Q42" s="1080"/>
      <c r="R42" s="601"/>
      <c r="S42" s="1099">
        <f t="shared" si="20"/>
        <v>0</v>
      </c>
      <c r="T42" s="1080"/>
      <c r="U42" s="601"/>
      <c r="V42" s="1099">
        <f t="shared" si="21"/>
        <v>0</v>
      </c>
      <c r="W42" s="1080"/>
      <c r="X42" s="601"/>
      <c r="Y42" s="1099">
        <f t="shared" si="22"/>
        <v>0</v>
      </c>
      <c r="Z42" s="1080"/>
      <c r="AA42" s="601"/>
      <c r="AB42" s="1099">
        <f t="shared" si="23"/>
        <v>0</v>
      </c>
      <c r="AC42" s="1080"/>
      <c r="AD42" s="601"/>
      <c r="AE42" s="1099">
        <f t="shared" si="24"/>
        <v>0</v>
      </c>
      <c r="AF42" s="1080"/>
      <c r="AG42" s="601"/>
      <c r="AH42" s="1099">
        <f t="shared" si="25"/>
        <v>0</v>
      </c>
      <c r="AI42" s="1080"/>
      <c r="AJ42" s="601"/>
      <c r="AK42" s="1099">
        <f t="shared" si="26"/>
        <v>0</v>
      </c>
      <c r="AL42" s="1080"/>
      <c r="AM42" s="601"/>
      <c r="AN42" s="1099">
        <f t="shared" si="27"/>
        <v>0</v>
      </c>
      <c r="AO42" s="1080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">
      <c r="A43" s="533" t="str">
        <f t="shared" si="0"/>
        <v>Véhicules neufsTOTAL VARIABLES</v>
      </c>
      <c r="B43" s="1356" t="s">
        <v>107</v>
      </c>
      <c r="C43" s="1107" t="s">
        <v>108</v>
      </c>
      <c r="D43" s="1108">
        <f>IFERROR(E43/E$29,0)</f>
        <v>0.52794966118365849</v>
      </c>
      <c r="E43" s="1109">
        <f>SUM(E33:E42)</f>
        <v>940964.6811276346</v>
      </c>
      <c r="F43" s="1107" t="s">
        <v>108</v>
      </c>
      <c r="G43" s="1108">
        <f>IFERROR(H43/H$29,0)</f>
        <v>0.59050489699357522</v>
      </c>
      <c r="H43" s="1109">
        <f>SUM(H33:H42)</f>
        <v>61115.311646233167</v>
      </c>
      <c r="I43" s="1107" t="s">
        <v>108</v>
      </c>
      <c r="J43" s="1108">
        <f>IFERROR(K43/K$29,0)</f>
        <v>0.64426588272809804</v>
      </c>
      <c r="K43" s="1109">
        <f>SUM(K33:K42)</f>
        <v>55542.180698985881</v>
      </c>
      <c r="L43" s="1107" t="s">
        <v>108</v>
      </c>
      <c r="M43" s="1108">
        <f>IFERROR(N43/N$29,0)</f>
        <v>0.51628066328775912</v>
      </c>
      <c r="N43" s="1109">
        <f>SUM(N33:N42)</f>
        <v>87211.982179065963</v>
      </c>
      <c r="O43" s="1107" t="s">
        <v>108</v>
      </c>
      <c r="P43" s="1108">
        <f>IFERROR(Q43/Q$29,0)</f>
        <v>0.50412269407190291</v>
      </c>
      <c r="Q43" s="1109">
        <f>SUM(Q33:Q42)</f>
        <v>93908.865079997733</v>
      </c>
      <c r="R43" s="1107" t="s">
        <v>108</v>
      </c>
      <c r="S43" s="1108">
        <f>IFERROR(T43/T$29,0)</f>
        <v>0.46798166113474138</v>
      </c>
      <c r="T43" s="1109">
        <f>SUM(T33:T42)</f>
        <v>111376.86875260115</v>
      </c>
      <c r="U43" s="1107" t="s">
        <v>108</v>
      </c>
      <c r="V43" s="1108">
        <f>IFERROR(W43/W$29,0)</f>
        <v>0.52133543893868173</v>
      </c>
      <c r="W43" s="1109">
        <f>SUM(W33:W42)</f>
        <v>75077.301894025877</v>
      </c>
      <c r="X43" s="1107" t="s">
        <v>108</v>
      </c>
      <c r="Y43" s="1108">
        <f>IFERROR(Z43/Z$29,0)</f>
        <v>0.57622134190410468</v>
      </c>
      <c r="Z43" s="1109">
        <f>SUM(Z33:Z42)</f>
        <v>64840.103039026129</v>
      </c>
      <c r="AA43" s="1107" t="s">
        <v>108</v>
      </c>
      <c r="AB43" s="1108">
        <f>IFERROR(AC43/AC$29,0)</f>
        <v>0.56591391394929402</v>
      </c>
      <c r="AC43" s="1109">
        <f>SUM(AC33:AC42)</f>
        <v>70374.823972132173</v>
      </c>
      <c r="AD43" s="1107" t="s">
        <v>108</v>
      </c>
      <c r="AE43" s="1108">
        <f>IFERROR(AF43/AF$29,0)</f>
        <v>0.50019006797053422</v>
      </c>
      <c r="AF43" s="1109">
        <f>SUM(AF33:AF42)</f>
        <v>90786.130310109162</v>
      </c>
      <c r="AG43" s="1107" t="s">
        <v>108</v>
      </c>
      <c r="AH43" s="1108">
        <f>IFERROR(AI43/AI$29,0)</f>
        <v>0.50842958167542873</v>
      </c>
      <c r="AI43" s="1109">
        <f>SUM(AI33:AI42)</f>
        <v>88303.750669163943</v>
      </c>
      <c r="AJ43" s="1107" t="s">
        <v>108</v>
      </c>
      <c r="AK43" s="1108">
        <f>IFERROR(AL43/AL$29,0)</f>
        <v>0.51710473576339844</v>
      </c>
      <c r="AL43" s="1109">
        <f>SUM(AL33:AL42)</f>
        <v>77975.637539304793</v>
      </c>
      <c r="AM43" s="1107" t="s">
        <v>108</v>
      </c>
      <c r="AN43" s="1108">
        <f>IFERROR(AO43/AO$29,0)</f>
        <v>0.57276990514841741</v>
      </c>
      <c r="AO43" s="1109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">
      <c r="A44" s="533" t="str">
        <f t="shared" si="0"/>
        <v>Véhicules neufsSalaires cadres</v>
      </c>
      <c r="B44" s="612" t="s">
        <v>109</v>
      </c>
      <c r="C44" s="543"/>
      <c r="D44" s="596"/>
      <c r="E44" s="1080">
        <f t="shared" si="15"/>
        <v>149721.60000000001</v>
      </c>
      <c r="F44" s="543"/>
      <c r="G44" s="596"/>
      <c r="H44" s="1101">
        <v>11770.68214559387</v>
      </c>
      <c r="I44" s="543"/>
      <c r="J44" s="596"/>
      <c r="K44" s="1101">
        <v>10733.617361795292</v>
      </c>
      <c r="L44" s="543"/>
      <c r="M44" s="596"/>
      <c r="N44" s="1101">
        <v>12962.247859879586</v>
      </c>
      <c r="O44" s="543"/>
      <c r="P44" s="596"/>
      <c r="Q44" s="1101">
        <v>13260.139288451013</v>
      </c>
      <c r="R44" s="543"/>
      <c r="S44" s="596"/>
      <c r="T44" s="1101">
        <v>13734.578325123151</v>
      </c>
      <c r="U44" s="543"/>
      <c r="V44" s="596"/>
      <c r="W44" s="1101">
        <v>12465.762145593872</v>
      </c>
      <c r="X44" s="543"/>
      <c r="Y44" s="596"/>
      <c r="Z44" s="1101">
        <v>12289.214537493159</v>
      </c>
      <c r="AA44" s="543"/>
      <c r="AB44" s="596"/>
      <c r="AC44" s="1101">
        <v>11649.338325123153</v>
      </c>
      <c r="AD44" s="543"/>
      <c r="AE44" s="596"/>
      <c r="AF44" s="1101">
        <v>13260.139288451013</v>
      </c>
      <c r="AG44" s="543"/>
      <c r="AH44" s="596"/>
      <c r="AI44" s="1101">
        <v>13061.545002736726</v>
      </c>
      <c r="AJ44" s="543"/>
      <c r="AK44" s="596"/>
      <c r="AL44" s="1101">
        <v>12245.12118226601</v>
      </c>
      <c r="AM44" s="543"/>
      <c r="AN44" s="596"/>
      <c r="AO44" s="1101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">
      <c r="A45" s="533" t="str">
        <f t="shared" si="0"/>
        <v>Véhicules neufsSalaires commis</v>
      </c>
      <c r="B45" s="614" t="s">
        <v>110</v>
      </c>
      <c r="C45" s="543"/>
      <c r="D45" s="596"/>
      <c r="E45" s="1080">
        <f t="shared" si="15"/>
        <v>60873.331999999988</v>
      </c>
      <c r="F45" s="543"/>
      <c r="G45" s="596"/>
      <c r="H45" s="1101">
        <v>5131.0854559386971</v>
      </c>
      <c r="I45" s="543"/>
      <c r="J45" s="596"/>
      <c r="K45" s="1101">
        <v>4664.6231417624522</v>
      </c>
      <c r="L45" s="543"/>
      <c r="M45" s="596"/>
      <c r="N45" s="1101">
        <v>5131.0854559386971</v>
      </c>
      <c r="O45" s="543"/>
      <c r="P45" s="596"/>
      <c r="Q45" s="1101">
        <v>5131.0854559386971</v>
      </c>
      <c r="R45" s="543"/>
      <c r="S45" s="596"/>
      <c r="T45" s="1101">
        <v>4897.8542988505751</v>
      </c>
      <c r="U45" s="543"/>
      <c r="V45" s="596"/>
      <c r="W45" s="1101">
        <v>5131.0854559386971</v>
      </c>
      <c r="X45" s="543"/>
      <c r="Y45" s="596"/>
      <c r="Z45" s="1101">
        <v>5364.3166130268201</v>
      </c>
      <c r="AA45" s="543"/>
      <c r="AB45" s="596"/>
      <c r="AC45" s="1101">
        <v>4897.8542988505751</v>
      </c>
      <c r="AD45" s="543"/>
      <c r="AE45" s="596"/>
      <c r="AF45" s="1101">
        <v>5131.0854559386971</v>
      </c>
      <c r="AG45" s="543"/>
      <c r="AH45" s="596"/>
      <c r="AI45" s="1101">
        <v>5131.0854559386971</v>
      </c>
      <c r="AJ45" s="543"/>
      <c r="AK45" s="596"/>
      <c r="AL45" s="1101">
        <v>4897.8542988505751</v>
      </c>
      <c r="AM45" s="543"/>
      <c r="AN45" s="596"/>
      <c r="AO45" s="1101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">
      <c r="A46" s="533" t="str">
        <f t="shared" si="0"/>
        <v>Véhicules neufsSalaires autres</v>
      </c>
      <c r="B46" s="612" t="s">
        <v>111</v>
      </c>
      <c r="C46" s="1115"/>
      <c r="D46" s="1116"/>
      <c r="E46" s="1117">
        <f t="shared" si="15"/>
        <v>0</v>
      </c>
      <c r="F46" s="1115"/>
      <c r="G46" s="1116"/>
      <c r="H46" s="1118">
        <v>0</v>
      </c>
      <c r="I46" s="1115"/>
      <c r="J46" s="1116"/>
      <c r="K46" s="1118">
        <v>0</v>
      </c>
      <c r="L46" s="1115"/>
      <c r="M46" s="1116"/>
      <c r="N46" s="1118">
        <v>0</v>
      </c>
      <c r="O46" s="1115"/>
      <c r="P46" s="1116"/>
      <c r="Q46" s="1118">
        <v>0</v>
      </c>
      <c r="R46" s="1115"/>
      <c r="S46" s="1116"/>
      <c r="T46" s="1118">
        <v>0</v>
      </c>
      <c r="U46" s="1115"/>
      <c r="V46" s="1116"/>
      <c r="W46" s="1118">
        <v>0</v>
      </c>
      <c r="X46" s="1115"/>
      <c r="Y46" s="1116"/>
      <c r="Z46" s="1118">
        <v>0</v>
      </c>
      <c r="AA46" s="1115"/>
      <c r="AB46" s="1116"/>
      <c r="AC46" s="1118">
        <v>0</v>
      </c>
      <c r="AD46" s="1115"/>
      <c r="AE46" s="1116"/>
      <c r="AF46" s="1118">
        <v>0</v>
      </c>
      <c r="AG46" s="1115"/>
      <c r="AH46" s="1116"/>
      <c r="AI46" s="1118">
        <v>0</v>
      </c>
      <c r="AJ46" s="1115"/>
      <c r="AK46" s="1116"/>
      <c r="AL46" s="1118">
        <v>0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">
      <c r="A47" s="533" t="str">
        <f t="shared" si="0"/>
        <v>Véhicules neufsSalaires spécialistes</v>
      </c>
      <c r="B47" s="612" t="s">
        <v>112</v>
      </c>
      <c r="C47" s="543"/>
      <c r="D47" s="596"/>
      <c r="E47" s="1080">
        <f t="shared" si="15"/>
        <v>0</v>
      </c>
      <c r="F47" s="543"/>
      <c r="G47" s="596"/>
      <c r="H47" s="1101"/>
      <c r="I47" s="543"/>
      <c r="J47" s="596"/>
      <c r="K47" s="1101"/>
      <c r="L47" s="543"/>
      <c r="M47" s="596"/>
      <c r="N47" s="1101"/>
      <c r="O47" s="543"/>
      <c r="P47" s="596"/>
      <c r="Q47" s="1101"/>
      <c r="R47" s="543"/>
      <c r="S47" s="596"/>
      <c r="T47" s="1101"/>
      <c r="U47" s="543"/>
      <c r="V47" s="596"/>
      <c r="W47" s="1101"/>
      <c r="X47" s="543"/>
      <c r="Y47" s="596"/>
      <c r="Z47" s="1101"/>
      <c r="AA47" s="543"/>
      <c r="AB47" s="596"/>
      <c r="AC47" s="1101"/>
      <c r="AD47" s="543"/>
      <c r="AE47" s="596"/>
      <c r="AF47" s="1101"/>
      <c r="AG47" s="543"/>
      <c r="AH47" s="596"/>
      <c r="AI47" s="1101"/>
      <c r="AJ47" s="543"/>
      <c r="AK47" s="596"/>
      <c r="AL47" s="1101"/>
      <c r="AM47" s="543"/>
      <c r="AN47" s="596"/>
      <c r="AO47" s="1101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0">
        <f t="shared" si="15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/>
      <c r="AG48" s="543"/>
      <c r="AH48" s="596"/>
      <c r="AI48" s="1101"/>
      <c r="AJ48" s="543"/>
      <c r="AK48" s="596"/>
      <c r="AL48" s="1101"/>
      <c r="AM48" s="543"/>
      <c r="AN48" s="596"/>
      <c r="AO48" s="1101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0">
        <f t="shared" si="15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/>
      <c r="AG49" s="543"/>
      <c r="AH49" s="596"/>
      <c r="AI49" s="1101"/>
      <c r="AJ49" s="543"/>
      <c r="AK49" s="596"/>
      <c r="AL49" s="1101"/>
      <c r="AM49" s="543"/>
      <c r="AN49" s="596"/>
      <c r="AO49" s="1101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0">
        <f t="shared" si="15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/>
      <c r="AG50" s="543"/>
      <c r="AH50" s="596"/>
      <c r="AI50" s="1101"/>
      <c r="AJ50" s="543"/>
      <c r="AK50" s="596"/>
      <c r="AL50" s="1101"/>
      <c r="AM50" s="543"/>
      <c r="AN50" s="596"/>
      <c r="AO50" s="1101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">
      <c r="A51" s="533" t="str">
        <f t="shared" si="0"/>
        <v>Véhicules neufsSalaires en absences</v>
      </c>
      <c r="B51" s="614" t="s">
        <v>113</v>
      </c>
      <c r="C51" s="543"/>
      <c r="D51" s="596"/>
      <c r="E51" s="1080">
        <f t="shared" si="15"/>
        <v>105809.673024</v>
      </c>
      <c r="F51" s="543"/>
      <c r="G51" s="596"/>
      <c r="H51" s="1101">
        <v>9963.0933842136565</v>
      </c>
      <c r="I51" s="543"/>
      <c r="J51" s="596"/>
      <c r="K51" s="1101">
        <v>4628.4420034861878</v>
      </c>
      <c r="L51" s="543"/>
      <c r="M51" s="596"/>
      <c r="N51" s="1101">
        <v>7060.0445976170195</v>
      </c>
      <c r="O51" s="543"/>
      <c r="P51" s="596"/>
      <c r="Q51" s="1101">
        <v>9867.3593900119758</v>
      </c>
      <c r="R51" s="543"/>
      <c r="S51" s="596"/>
      <c r="T51" s="1101">
        <v>11161.790490057907</v>
      </c>
      <c r="U51" s="543"/>
      <c r="V51" s="596"/>
      <c r="W51" s="1101">
        <v>8711.2105333313048</v>
      </c>
      <c r="X51" s="543"/>
      <c r="Y51" s="596"/>
      <c r="Z51" s="1101">
        <v>7963.6678827391588</v>
      </c>
      <c r="AA51" s="543"/>
      <c r="AB51" s="596"/>
      <c r="AC51" s="1101">
        <v>5734.7081810873187</v>
      </c>
      <c r="AD51" s="543"/>
      <c r="AE51" s="596"/>
      <c r="AF51" s="1101">
        <v>9744.4863375119767</v>
      </c>
      <c r="AG51" s="543"/>
      <c r="AH51" s="596"/>
      <c r="AI51" s="1101">
        <v>9529.9768266506326</v>
      </c>
      <c r="AJ51" s="543"/>
      <c r="AK51" s="596"/>
      <c r="AL51" s="1101">
        <v>6467.3267345537033</v>
      </c>
      <c r="AM51" s="543"/>
      <c r="AN51" s="596"/>
      <c r="AO51" s="1101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">
      <c r="A52" s="533" t="str">
        <f t="shared" si="0"/>
        <v>Véhicules neufsDéduction à la source</v>
      </c>
      <c r="B52" s="612" t="s">
        <v>114</v>
      </c>
      <c r="C52" s="1115"/>
      <c r="D52" s="1116"/>
      <c r="E52" s="1117">
        <f t="shared" si="15"/>
        <v>101921.62720989884</v>
      </c>
      <c r="F52" s="1115"/>
      <c r="G52" s="1116"/>
      <c r="H52" s="1118">
        <v>7358.4197594726156</v>
      </c>
      <c r="I52" s="1115"/>
      <c r="J52" s="1116"/>
      <c r="K52" s="1118">
        <v>6441.6460873261376</v>
      </c>
      <c r="L52" s="1115"/>
      <c r="M52" s="1116"/>
      <c r="N52" s="1118">
        <v>9825.8352647247193</v>
      </c>
      <c r="O52" s="1115"/>
      <c r="P52" s="1116"/>
      <c r="Q52" s="1118">
        <v>10479.052294346566</v>
      </c>
      <c r="R52" s="1115"/>
      <c r="S52" s="1116"/>
      <c r="T52" s="1118">
        <v>12280.580113998119</v>
      </c>
      <c r="U52" s="1115"/>
      <c r="V52" s="1116"/>
      <c r="W52" s="1118">
        <v>8869.9791432961465</v>
      </c>
      <c r="X52" s="1115"/>
      <c r="Y52" s="1116"/>
      <c r="Z52" s="1118">
        <v>7249.6154932205645</v>
      </c>
      <c r="AA52" s="1115"/>
      <c r="AB52" s="1116"/>
      <c r="AC52" s="1118">
        <v>7390.0878622259261</v>
      </c>
      <c r="AD52" s="1115"/>
      <c r="AE52" s="1116"/>
      <c r="AF52" s="1118">
        <v>9162.7052505302818</v>
      </c>
      <c r="AG52" s="1115"/>
      <c r="AH52" s="1116"/>
      <c r="AI52" s="1118">
        <v>8526.6104656167299</v>
      </c>
      <c r="AJ52" s="1115"/>
      <c r="AK52" s="1116"/>
      <c r="AL52" s="1118">
        <v>7667.4492213781023</v>
      </c>
      <c r="AM52" s="1115"/>
      <c r="AN52" s="1116"/>
      <c r="AO52" s="1118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">
      <c r="A53" s="533" t="str">
        <f t="shared" si="0"/>
        <v>Véhicules neufsBénéfices marginaux</v>
      </c>
      <c r="B53" s="615" t="s">
        <v>115</v>
      </c>
      <c r="C53" s="543"/>
      <c r="D53" s="596"/>
      <c r="E53" s="1080">
        <f t="shared" si="15"/>
        <v>70138.987799999988</v>
      </c>
      <c r="F53" s="543"/>
      <c r="G53" s="596"/>
      <c r="H53" s="1101">
        <v>4769.3461403989168</v>
      </c>
      <c r="I53" s="543"/>
      <c r="J53" s="596"/>
      <c r="K53" s="1101">
        <v>4175.1409825261999</v>
      </c>
      <c r="L53" s="543"/>
      <c r="M53" s="596"/>
      <c r="N53" s="1101">
        <v>6368.5969308400945</v>
      </c>
      <c r="O53" s="543"/>
      <c r="P53" s="596"/>
      <c r="Q53" s="1101">
        <v>6791.9783389283284</v>
      </c>
      <c r="R53" s="543"/>
      <c r="S53" s="596"/>
      <c r="T53" s="1101">
        <v>7959.6352590728538</v>
      </c>
      <c r="U53" s="543"/>
      <c r="V53" s="596"/>
      <c r="W53" s="1101">
        <v>5749.0605558400948</v>
      </c>
      <c r="X53" s="543"/>
      <c r="Y53" s="596"/>
      <c r="Z53" s="1101">
        <v>5074.7308452543948</v>
      </c>
      <c r="AA53" s="543"/>
      <c r="AB53" s="596"/>
      <c r="AC53" s="1101">
        <v>5173.0615035581477</v>
      </c>
      <c r="AD53" s="543"/>
      <c r="AE53" s="596"/>
      <c r="AF53" s="1101">
        <v>6681.1392451783286</v>
      </c>
      <c r="AG53" s="543"/>
      <c r="AH53" s="596"/>
      <c r="AI53" s="1101">
        <v>6487.638397751859</v>
      </c>
      <c r="AJ53" s="543"/>
      <c r="AK53" s="596"/>
      <c r="AL53" s="1101">
        <v>5833.9287553963813</v>
      </c>
      <c r="AM53" s="543"/>
      <c r="AN53" s="596"/>
      <c r="AO53" s="1101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">
      <c r="A54" s="533" t="str">
        <f t="shared" si="0"/>
        <v>Véhicules neufsCsst</v>
      </c>
      <c r="B54" s="612" t="s">
        <v>116</v>
      </c>
      <c r="C54" s="543"/>
      <c r="D54" s="596"/>
      <c r="E54" s="1080">
        <f t="shared" si="15"/>
        <v>19638.916584000002</v>
      </c>
      <c r="F54" s="543"/>
      <c r="G54" s="596"/>
      <c r="H54" s="1101">
        <v>1335.416919311697</v>
      </c>
      <c r="I54" s="543"/>
      <c r="J54" s="596"/>
      <c r="K54" s="1101">
        <v>1169.0394751073361</v>
      </c>
      <c r="L54" s="543"/>
      <c r="M54" s="596"/>
      <c r="N54" s="1101">
        <v>1783.2071406352268</v>
      </c>
      <c r="O54" s="543"/>
      <c r="P54" s="596"/>
      <c r="Q54" s="1101">
        <v>1901.7539348999321</v>
      </c>
      <c r="R54" s="543"/>
      <c r="S54" s="596"/>
      <c r="T54" s="1101">
        <v>2228.6978725403992</v>
      </c>
      <c r="U54" s="543"/>
      <c r="V54" s="596"/>
      <c r="W54" s="1101">
        <v>1609.7369556352266</v>
      </c>
      <c r="X54" s="543"/>
      <c r="Y54" s="596"/>
      <c r="Z54" s="1101">
        <v>1420.9246366712307</v>
      </c>
      <c r="AA54" s="543"/>
      <c r="AB54" s="596"/>
      <c r="AC54" s="1101">
        <v>1448.4572209962816</v>
      </c>
      <c r="AD54" s="543"/>
      <c r="AE54" s="596"/>
      <c r="AF54" s="1101">
        <v>1870.7189886499323</v>
      </c>
      <c r="AG54" s="543"/>
      <c r="AH54" s="596"/>
      <c r="AI54" s="1101">
        <v>1816.5387513705207</v>
      </c>
      <c r="AJ54" s="543"/>
      <c r="AK54" s="596"/>
      <c r="AL54" s="1101">
        <v>1633.5000515109871</v>
      </c>
      <c r="AM54" s="543"/>
      <c r="AN54" s="596"/>
      <c r="AO54" s="1101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0"/>
      <c r="E55" s="1103">
        <f t="shared" si="15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/>
      <c r="AG55" s="601"/>
      <c r="AH55" s="1120"/>
      <c r="AI55" s="1103"/>
      <c r="AJ55" s="601"/>
      <c r="AK55" s="1120"/>
      <c r="AL55" s="1103"/>
      <c r="AM55" s="601"/>
      <c r="AN55" s="1120"/>
      <c r="AO55" s="1103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">
      <c r="A56" s="533" t="str">
        <f t="shared" si="0"/>
        <v>Véhicules neufsTOTAL PERSONNEL</v>
      </c>
      <c r="B56" s="1356" t="s">
        <v>117</v>
      </c>
      <c r="C56" s="1107" t="s">
        <v>108</v>
      </c>
      <c r="D56" s="1108">
        <f>IFERROR(E56/E$29,0)</f>
        <v>0.28508339595909715</v>
      </c>
      <c r="E56" s="1109">
        <f>+SUM(E44:E55)</f>
        <v>508104.13661789882</v>
      </c>
      <c r="F56" s="1107" t="s">
        <v>108</v>
      </c>
      <c r="G56" s="1108">
        <f>IFERROR(H56/H$29,0)</f>
        <v>0.38965533696088117</v>
      </c>
      <c r="H56" s="1109">
        <f>+SUM(H44:H55)</f>
        <v>40328.043804929446</v>
      </c>
      <c r="I56" s="1107" t="s">
        <v>108</v>
      </c>
      <c r="J56" s="1108">
        <f>IFERROR(K56/K$29,0)</f>
        <v>0.36901169468412565</v>
      </c>
      <c r="K56" s="1109">
        <f>+SUM(K44:K55)</f>
        <v>31812.509052003606</v>
      </c>
      <c r="L56" s="1107" t="s">
        <v>108</v>
      </c>
      <c r="M56" s="1108">
        <f>IFERROR(N56/N$29,0)</f>
        <v>0.25532856423555267</v>
      </c>
      <c r="N56" s="1109">
        <f>+SUM(N44:N55)</f>
        <v>43131.017249635341</v>
      </c>
      <c r="O56" s="1107" t="s">
        <v>108</v>
      </c>
      <c r="P56" s="1108">
        <f>IFERROR(Q56/Q$29,0)</f>
        <v>0.25462164145516464</v>
      </c>
      <c r="Q56" s="1109">
        <f>+SUM(Q44:Q55)</f>
        <v>47431.368702576518</v>
      </c>
      <c r="R56" s="1107" t="s">
        <v>108</v>
      </c>
      <c r="S56" s="1108">
        <f>IFERROR(T56/T$29,0)</f>
        <v>0.21959846459703983</v>
      </c>
      <c r="T56" s="1109">
        <f>+SUM(T44:T55)</f>
        <v>52263.136359643009</v>
      </c>
      <c r="U56" s="1107" t="s">
        <v>108</v>
      </c>
      <c r="V56" s="1108">
        <f>IFERROR(W56/W$29,0)</f>
        <v>0.29537501850317999</v>
      </c>
      <c r="W56" s="1109">
        <f>+SUM(W44:W55)</f>
        <v>42536.834789635337</v>
      </c>
      <c r="X56" s="1107" t="s">
        <v>108</v>
      </c>
      <c r="Y56" s="1108">
        <f>IFERROR(Z56/Z$29,0)</f>
        <v>0.3498065892222873</v>
      </c>
      <c r="Z56" s="1109">
        <f>+SUM(Z44:Z55)</f>
        <v>39362.470008405333</v>
      </c>
      <c r="AA56" s="1107" t="s">
        <v>108</v>
      </c>
      <c r="AB56" s="1108">
        <f>IFERROR(AC56/AC$29,0)</f>
        <v>0.29185154093170979</v>
      </c>
      <c r="AC56" s="1109">
        <f>+SUM(AC44:AC55)</f>
        <v>36293.507391841405</v>
      </c>
      <c r="AD56" s="1107" t="s">
        <v>108</v>
      </c>
      <c r="AE56" s="1108">
        <f>IFERROR(AF56/AF$29,0)</f>
        <v>0.25261404879167593</v>
      </c>
      <c r="AF56" s="1109">
        <f>+SUM(AF44:AF55)</f>
        <v>45850.274566260232</v>
      </c>
      <c r="AG56" s="1107" t="s">
        <v>108</v>
      </c>
      <c r="AH56" s="1108">
        <f>IFERROR(AI56/AI$29,0)</f>
        <v>0.25652663402858811</v>
      </c>
      <c r="AI56" s="1109">
        <f>+SUM(AI44:AI55)</f>
        <v>44553.394900065163</v>
      </c>
      <c r="AJ56" s="1107" t="s">
        <v>108</v>
      </c>
      <c r="AK56" s="1108">
        <f>IFERROR(AL56/AL$29,0)</f>
        <v>0.25694328157377211</v>
      </c>
      <c r="AL56" s="1109">
        <f>+SUM(AL44:AL55)</f>
        <v>38745.180243955758</v>
      </c>
      <c r="AM56" s="1107" t="s">
        <v>108</v>
      </c>
      <c r="AN56" s="1108">
        <f>IFERROR(AO56/AO$29,0)</f>
        <v>0.40698366544217501</v>
      </c>
      <c r="AO56" s="1109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">
      <c r="A57" s="533" t="str">
        <f t="shared" si="0"/>
        <v>Véhicules neufsPublicité 2</v>
      </c>
      <c r="B57" s="543" t="s">
        <v>118</v>
      </c>
      <c r="C57" s="543"/>
      <c r="D57" s="596"/>
      <c r="E57" s="1080">
        <f t="shared" si="15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">
      <c r="A58" s="533" t="str">
        <f t="shared" si="0"/>
        <v>Véhicules neufsService gratuit 2</v>
      </c>
      <c r="B58" s="543" t="s">
        <v>119</v>
      </c>
      <c r="C58" s="543"/>
      <c r="D58" s="596"/>
      <c r="E58" s="1080">
        <f t="shared" si="15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">
      <c r="A59" s="533" t="str">
        <f t="shared" si="0"/>
        <v>Véhicules neufsFrais véhicules de cie</v>
      </c>
      <c r="B59" s="601" t="s">
        <v>120</v>
      </c>
      <c r="C59" s="1121"/>
      <c r="D59" s="1122"/>
      <c r="E59" s="1123">
        <f t="shared" si="15"/>
        <v>24438</v>
      </c>
      <c r="F59" s="1121"/>
      <c r="G59" s="1122"/>
      <c r="H59" s="1124">
        <v>2036.5</v>
      </c>
      <c r="I59" s="1121"/>
      <c r="J59" s="1122"/>
      <c r="K59" s="1124">
        <v>2036.5</v>
      </c>
      <c r="L59" s="1121"/>
      <c r="M59" s="1122"/>
      <c r="N59" s="1124">
        <v>2036.5</v>
      </c>
      <c r="O59" s="1121"/>
      <c r="P59" s="1122"/>
      <c r="Q59" s="1124">
        <v>2036.5</v>
      </c>
      <c r="R59" s="1121"/>
      <c r="S59" s="1122"/>
      <c r="T59" s="1124">
        <v>2036.5</v>
      </c>
      <c r="U59" s="1121"/>
      <c r="V59" s="1122"/>
      <c r="W59" s="1124">
        <v>2036.5</v>
      </c>
      <c r="X59" s="1121"/>
      <c r="Y59" s="1122"/>
      <c r="Z59" s="1124">
        <v>2036.5</v>
      </c>
      <c r="AA59" s="1121"/>
      <c r="AB59" s="1122"/>
      <c r="AC59" s="1124">
        <v>2036.5</v>
      </c>
      <c r="AD59" s="1121"/>
      <c r="AE59" s="1122"/>
      <c r="AF59" s="1124">
        <v>2036.5</v>
      </c>
      <c r="AG59" s="1121"/>
      <c r="AH59" s="1122"/>
      <c r="AI59" s="1124">
        <v>2036.5</v>
      </c>
      <c r="AJ59" s="1121"/>
      <c r="AK59" s="1122"/>
      <c r="AL59" s="1124">
        <v>2036.5</v>
      </c>
      <c r="AM59" s="1121"/>
      <c r="AN59" s="1122"/>
      <c r="AO59" s="1124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">
      <c r="A60" s="533" t="str">
        <f t="shared" si="0"/>
        <v>Véhicules neufsInformatique</v>
      </c>
      <c r="B60" s="543" t="s">
        <v>121</v>
      </c>
      <c r="C60" s="543"/>
      <c r="D60" s="596"/>
      <c r="E60" s="1080">
        <f t="shared" si="15"/>
        <v>110344.22599999998</v>
      </c>
      <c r="F60" s="543"/>
      <c r="G60" s="596"/>
      <c r="H60" s="1101">
        <v>9195.3521666666675</v>
      </c>
      <c r="I60" s="543"/>
      <c r="J60" s="596"/>
      <c r="K60" s="1101">
        <v>9195.3521666666675</v>
      </c>
      <c r="L60" s="543"/>
      <c r="M60" s="596"/>
      <c r="N60" s="1101">
        <v>9195.3521666666675</v>
      </c>
      <c r="O60" s="543"/>
      <c r="P60" s="596"/>
      <c r="Q60" s="1101">
        <v>9195.3521666666675</v>
      </c>
      <c r="R60" s="543"/>
      <c r="S60" s="596"/>
      <c r="T60" s="1101">
        <v>9195.3521666666675</v>
      </c>
      <c r="U60" s="543"/>
      <c r="V60" s="596"/>
      <c r="W60" s="1101">
        <v>9195.3521666666675</v>
      </c>
      <c r="X60" s="543"/>
      <c r="Y60" s="596"/>
      <c r="Z60" s="1101">
        <v>9195.3521666666675</v>
      </c>
      <c r="AA60" s="543"/>
      <c r="AB60" s="596"/>
      <c r="AC60" s="1101">
        <v>9195.3521666666675</v>
      </c>
      <c r="AD60" s="543"/>
      <c r="AE60" s="596"/>
      <c r="AF60" s="1101">
        <v>9195.3521666666675</v>
      </c>
      <c r="AG60" s="543"/>
      <c r="AH60" s="596"/>
      <c r="AI60" s="1101">
        <v>9195.3521666666675</v>
      </c>
      <c r="AJ60" s="543"/>
      <c r="AK60" s="596"/>
      <c r="AL60" s="1101">
        <v>9195.3521666666675</v>
      </c>
      <c r="AM60" s="543"/>
      <c r="AN60" s="596"/>
      <c r="AO60" s="1101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">
      <c r="A61" s="533" t="str">
        <f t="shared" si="0"/>
        <v>Véhicules neufsFrais de déplacement</v>
      </c>
      <c r="B61" s="543" t="s">
        <v>122</v>
      </c>
      <c r="C61" s="543"/>
      <c r="D61" s="596"/>
      <c r="E61" s="1080">
        <f t="shared" si="15"/>
        <v>15960</v>
      </c>
      <c r="F61" s="543"/>
      <c r="G61" s="596"/>
      <c r="H61" s="1101">
        <v>1330</v>
      </c>
      <c r="I61" s="543"/>
      <c r="J61" s="596"/>
      <c r="K61" s="1101">
        <v>1330</v>
      </c>
      <c r="L61" s="543"/>
      <c r="M61" s="596"/>
      <c r="N61" s="1101">
        <v>1330</v>
      </c>
      <c r="O61" s="543"/>
      <c r="P61" s="596"/>
      <c r="Q61" s="1101">
        <v>1330</v>
      </c>
      <c r="R61" s="543"/>
      <c r="S61" s="596"/>
      <c r="T61" s="1101">
        <v>1330</v>
      </c>
      <c r="U61" s="543"/>
      <c r="V61" s="596"/>
      <c r="W61" s="1101">
        <v>1330</v>
      </c>
      <c r="X61" s="543"/>
      <c r="Y61" s="596"/>
      <c r="Z61" s="1101">
        <v>1330</v>
      </c>
      <c r="AA61" s="543"/>
      <c r="AB61" s="596"/>
      <c r="AC61" s="1101">
        <v>1330</v>
      </c>
      <c r="AD61" s="543"/>
      <c r="AE61" s="596"/>
      <c r="AF61" s="1101">
        <v>1330</v>
      </c>
      <c r="AG61" s="543"/>
      <c r="AH61" s="596"/>
      <c r="AI61" s="1101">
        <v>1330</v>
      </c>
      <c r="AJ61" s="543"/>
      <c r="AK61" s="596"/>
      <c r="AL61" s="1101">
        <v>1330</v>
      </c>
      <c r="AM61" s="543"/>
      <c r="AN61" s="596"/>
      <c r="AO61" s="1101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">
      <c r="A62" s="533" t="str">
        <f t="shared" si="0"/>
        <v>Véhicules neufsServices extérieurs</v>
      </c>
      <c r="B62" s="601" t="s">
        <v>123</v>
      </c>
      <c r="C62" s="1121"/>
      <c r="D62" s="1122"/>
      <c r="E62" s="1123">
        <f t="shared" si="15"/>
        <v>32068.324000000004</v>
      </c>
      <c r="F62" s="1121"/>
      <c r="G62" s="1122"/>
      <c r="H62" s="1124">
        <v>2672.3603333333335</v>
      </c>
      <c r="I62" s="1121"/>
      <c r="J62" s="1122"/>
      <c r="K62" s="1124">
        <v>2672.3603333333335</v>
      </c>
      <c r="L62" s="1121"/>
      <c r="M62" s="1122"/>
      <c r="N62" s="1124">
        <v>2672.3603333333335</v>
      </c>
      <c r="O62" s="1121"/>
      <c r="P62" s="1122"/>
      <c r="Q62" s="1124">
        <v>2672.3603333333335</v>
      </c>
      <c r="R62" s="1121"/>
      <c r="S62" s="1122"/>
      <c r="T62" s="1124">
        <v>2672.3603333333335</v>
      </c>
      <c r="U62" s="1121"/>
      <c r="V62" s="1122"/>
      <c r="W62" s="1124">
        <v>2672.3603333333335</v>
      </c>
      <c r="X62" s="1121"/>
      <c r="Y62" s="1122"/>
      <c r="Z62" s="1124">
        <v>2672.3603333333335</v>
      </c>
      <c r="AA62" s="1121"/>
      <c r="AB62" s="1122"/>
      <c r="AC62" s="1124">
        <v>2672.3603333333335</v>
      </c>
      <c r="AD62" s="1121"/>
      <c r="AE62" s="1122"/>
      <c r="AF62" s="1124">
        <v>2672.3603333333335</v>
      </c>
      <c r="AG62" s="1121"/>
      <c r="AH62" s="1122"/>
      <c r="AI62" s="1124">
        <v>2672.3603333333335</v>
      </c>
      <c r="AJ62" s="1121"/>
      <c r="AK62" s="1122"/>
      <c r="AL62" s="1124">
        <v>2672.3603333333335</v>
      </c>
      <c r="AM62" s="1121"/>
      <c r="AN62" s="1122"/>
      <c r="AO62" s="1124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">
      <c r="A63" s="533" t="str">
        <f t="shared" si="0"/>
        <v>Véhicules neufsFournitures autres</v>
      </c>
      <c r="B63" s="543" t="s">
        <v>124</v>
      </c>
      <c r="C63" s="543"/>
      <c r="D63" s="596"/>
      <c r="E63" s="1080">
        <f t="shared" si="15"/>
        <v>900</v>
      </c>
      <c r="F63" s="543"/>
      <c r="G63" s="596"/>
      <c r="H63" s="1101">
        <v>75</v>
      </c>
      <c r="I63" s="543"/>
      <c r="J63" s="596"/>
      <c r="K63" s="1101">
        <v>75</v>
      </c>
      <c r="L63" s="543"/>
      <c r="M63" s="596"/>
      <c r="N63" s="1101">
        <v>75</v>
      </c>
      <c r="O63" s="543"/>
      <c r="P63" s="596"/>
      <c r="Q63" s="1101">
        <v>75</v>
      </c>
      <c r="R63" s="543"/>
      <c r="S63" s="596"/>
      <c r="T63" s="1101">
        <v>75</v>
      </c>
      <c r="U63" s="543"/>
      <c r="V63" s="596"/>
      <c r="W63" s="1101">
        <v>75</v>
      </c>
      <c r="X63" s="543"/>
      <c r="Y63" s="596"/>
      <c r="Z63" s="1101">
        <v>75</v>
      </c>
      <c r="AA63" s="543"/>
      <c r="AB63" s="596"/>
      <c r="AC63" s="1101">
        <v>75</v>
      </c>
      <c r="AD63" s="543"/>
      <c r="AE63" s="596"/>
      <c r="AF63" s="1101">
        <v>75</v>
      </c>
      <c r="AG63" s="543"/>
      <c r="AH63" s="596"/>
      <c r="AI63" s="1101">
        <v>75</v>
      </c>
      <c r="AJ63" s="543"/>
      <c r="AK63" s="596"/>
      <c r="AL63" s="1101">
        <v>75</v>
      </c>
      <c r="AM63" s="543"/>
      <c r="AN63" s="596"/>
      <c r="AO63" s="1101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">
      <c r="A64" s="533" t="str">
        <f t="shared" si="0"/>
        <v>Véhicules neufsUniformes</v>
      </c>
      <c r="B64" s="543" t="s">
        <v>125</v>
      </c>
      <c r="C64" s="543"/>
      <c r="D64" s="596"/>
      <c r="E64" s="1080">
        <f t="shared" si="15"/>
        <v>360</v>
      </c>
      <c r="F64" s="543"/>
      <c r="G64" s="596"/>
      <c r="H64" s="1101">
        <v>30</v>
      </c>
      <c r="I64" s="543"/>
      <c r="J64" s="596"/>
      <c r="K64" s="1101">
        <v>30</v>
      </c>
      <c r="L64" s="543"/>
      <c r="M64" s="596"/>
      <c r="N64" s="1101">
        <v>30</v>
      </c>
      <c r="O64" s="543"/>
      <c r="P64" s="596"/>
      <c r="Q64" s="1101">
        <v>30</v>
      </c>
      <c r="R64" s="543"/>
      <c r="S64" s="596"/>
      <c r="T64" s="1101">
        <v>30</v>
      </c>
      <c r="U64" s="543"/>
      <c r="V64" s="596"/>
      <c r="W64" s="1101">
        <v>30</v>
      </c>
      <c r="X64" s="543"/>
      <c r="Y64" s="596"/>
      <c r="Z64" s="1101">
        <v>30</v>
      </c>
      <c r="AA64" s="543"/>
      <c r="AB64" s="596"/>
      <c r="AC64" s="1101">
        <v>30</v>
      </c>
      <c r="AD64" s="543"/>
      <c r="AE64" s="596"/>
      <c r="AF64" s="1101">
        <v>30</v>
      </c>
      <c r="AG64" s="543"/>
      <c r="AH64" s="596"/>
      <c r="AI64" s="1101">
        <v>30</v>
      </c>
      <c r="AJ64" s="543"/>
      <c r="AK64" s="596"/>
      <c r="AL64" s="1101">
        <v>30</v>
      </c>
      <c r="AM64" s="543"/>
      <c r="AN64" s="596"/>
      <c r="AO64" s="1101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">
      <c r="A65" s="533" t="str">
        <f t="shared" si="0"/>
        <v>Véhicules neufsPapeterie</v>
      </c>
      <c r="B65" s="543" t="s">
        <v>126</v>
      </c>
      <c r="C65" s="543"/>
      <c r="D65" s="596"/>
      <c r="E65" s="1080">
        <f t="shared" si="15"/>
        <v>6960</v>
      </c>
      <c r="F65" s="543"/>
      <c r="G65" s="596"/>
      <c r="H65" s="1101">
        <v>580</v>
      </c>
      <c r="I65" s="543"/>
      <c r="J65" s="596"/>
      <c r="K65" s="1101">
        <v>580</v>
      </c>
      <c r="L65" s="543"/>
      <c r="M65" s="596"/>
      <c r="N65" s="1101">
        <v>580</v>
      </c>
      <c r="O65" s="543"/>
      <c r="P65" s="596"/>
      <c r="Q65" s="1101">
        <v>580</v>
      </c>
      <c r="R65" s="543"/>
      <c r="S65" s="596"/>
      <c r="T65" s="1101">
        <v>580</v>
      </c>
      <c r="U65" s="543"/>
      <c r="V65" s="596"/>
      <c r="W65" s="1101">
        <v>580</v>
      </c>
      <c r="X65" s="543"/>
      <c r="Y65" s="596"/>
      <c r="Z65" s="1101">
        <v>580</v>
      </c>
      <c r="AA65" s="543"/>
      <c r="AB65" s="596"/>
      <c r="AC65" s="1101">
        <v>580</v>
      </c>
      <c r="AD65" s="543"/>
      <c r="AE65" s="596"/>
      <c r="AF65" s="1101">
        <v>580</v>
      </c>
      <c r="AG65" s="543"/>
      <c r="AH65" s="596"/>
      <c r="AI65" s="1101">
        <v>580</v>
      </c>
      <c r="AJ65" s="543"/>
      <c r="AK65" s="596"/>
      <c r="AL65" s="1101">
        <v>580</v>
      </c>
      <c r="AM65" s="543"/>
      <c r="AN65" s="596"/>
      <c r="AO65" s="1101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">
      <c r="A66" s="533" t="str">
        <f t="shared" si="0"/>
        <v>Véhicules neufsTéléphone</v>
      </c>
      <c r="B66" s="543" t="s">
        <v>127</v>
      </c>
      <c r="C66" s="543"/>
      <c r="D66" s="596"/>
      <c r="E66" s="1080">
        <f t="shared" si="15"/>
        <v>1891.1999999999996</v>
      </c>
      <c r="F66" s="543"/>
      <c r="G66" s="596"/>
      <c r="H66" s="1101">
        <v>157.6</v>
      </c>
      <c r="I66" s="543"/>
      <c r="J66" s="596"/>
      <c r="K66" s="1101">
        <v>157.6</v>
      </c>
      <c r="L66" s="543"/>
      <c r="M66" s="596"/>
      <c r="N66" s="1101">
        <v>157.6</v>
      </c>
      <c r="O66" s="543"/>
      <c r="P66" s="596"/>
      <c r="Q66" s="1101">
        <v>157.6</v>
      </c>
      <c r="R66" s="543"/>
      <c r="S66" s="596"/>
      <c r="T66" s="1101">
        <v>157.6</v>
      </c>
      <c r="U66" s="543"/>
      <c r="V66" s="596"/>
      <c r="W66" s="1101">
        <v>157.6</v>
      </c>
      <c r="X66" s="543"/>
      <c r="Y66" s="596"/>
      <c r="Z66" s="1101">
        <v>157.6</v>
      </c>
      <c r="AA66" s="543"/>
      <c r="AB66" s="596"/>
      <c r="AC66" s="1101">
        <v>157.6</v>
      </c>
      <c r="AD66" s="543"/>
      <c r="AE66" s="596"/>
      <c r="AF66" s="1101">
        <v>157.6</v>
      </c>
      <c r="AG66" s="543"/>
      <c r="AH66" s="596"/>
      <c r="AI66" s="1101">
        <v>157.6</v>
      </c>
      <c r="AJ66" s="543"/>
      <c r="AK66" s="596"/>
      <c r="AL66" s="1101">
        <v>157.6</v>
      </c>
      <c r="AM66" s="543"/>
      <c r="AN66" s="596"/>
      <c r="AO66" s="1101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">
      <c r="A67" s="533" t="str">
        <f t="shared" si="0"/>
        <v>Véhicules neufsFrais postaux</v>
      </c>
      <c r="B67" s="543" t="s">
        <v>128</v>
      </c>
      <c r="C67" s="543"/>
      <c r="D67" s="596"/>
      <c r="E67" s="1080">
        <f t="shared" si="15"/>
        <v>2720</v>
      </c>
      <c r="F67" s="543"/>
      <c r="G67" s="596"/>
      <c r="H67" s="1101">
        <v>226.66666666666666</v>
      </c>
      <c r="I67" s="543"/>
      <c r="J67" s="596"/>
      <c r="K67" s="1101">
        <v>226.66666666666666</v>
      </c>
      <c r="L67" s="543"/>
      <c r="M67" s="596"/>
      <c r="N67" s="1101">
        <v>226.66666666666666</v>
      </c>
      <c r="O67" s="543"/>
      <c r="P67" s="596"/>
      <c r="Q67" s="1101">
        <v>226.66666666666666</v>
      </c>
      <c r="R67" s="543"/>
      <c r="S67" s="596"/>
      <c r="T67" s="1101">
        <v>226.66666666666666</v>
      </c>
      <c r="U67" s="543"/>
      <c r="V67" s="596"/>
      <c r="W67" s="1101">
        <v>226.66666666666666</v>
      </c>
      <c r="X67" s="543"/>
      <c r="Y67" s="596"/>
      <c r="Z67" s="1101">
        <v>226.66666666666666</v>
      </c>
      <c r="AA67" s="543"/>
      <c r="AB67" s="596"/>
      <c r="AC67" s="1101">
        <v>226.66666666666666</v>
      </c>
      <c r="AD67" s="543"/>
      <c r="AE67" s="596"/>
      <c r="AF67" s="1101">
        <v>226.66666666666666</v>
      </c>
      <c r="AG67" s="543"/>
      <c r="AH67" s="596"/>
      <c r="AI67" s="1101">
        <v>226.66666666666666</v>
      </c>
      <c r="AJ67" s="543"/>
      <c r="AK67" s="596"/>
      <c r="AL67" s="1101">
        <v>226.66666666666666</v>
      </c>
      <c r="AM67" s="543"/>
      <c r="AN67" s="596"/>
      <c r="AO67" s="1101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">
      <c r="A68" s="533" t="str">
        <f t="shared" si="0"/>
        <v>Véhicules neufsDivers</v>
      </c>
      <c r="B68" s="543" t="s">
        <v>129</v>
      </c>
      <c r="C68" s="543"/>
      <c r="D68" s="596"/>
      <c r="E68" s="1080">
        <f t="shared" si="15"/>
        <v>7548.9999999999973</v>
      </c>
      <c r="F68" s="543"/>
      <c r="G68" s="596"/>
      <c r="H68" s="1101">
        <v>629.08333333333326</v>
      </c>
      <c r="I68" s="543"/>
      <c r="J68" s="596"/>
      <c r="K68" s="1101">
        <v>629.08333333333326</v>
      </c>
      <c r="L68" s="543"/>
      <c r="M68" s="596"/>
      <c r="N68" s="1101">
        <v>629.08333333333326</v>
      </c>
      <c r="O68" s="543"/>
      <c r="P68" s="596"/>
      <c r="Q68" s="1101">
        <v>629.08333333333326</v>
      </c>
      <c r="R68" s="543"/>
      <c r="S68" s="596"/>
      <c r="T68" s="1101">
        <v>629.08333333333326</v>
      </c>
      <c r="U68" s="543"/>
      <c r="V68" s="596"/>
      <c r="W68" s="1101">
        <v>629.08333333333326</v>
      </c>
      <c r="X68" s="543"/>
      <c r="Y68" s="596"/>
      <c r="Z68" s="1101">
        <v>629.08333333333326</v>
      </c>
      <c r="AA68" s="543"/>
      <c r="AB68" s="596"/>
      <c r="AC68" s="1101">
        <v>629.08333333333326</v>
      </c>
      <c r="AD68" s="543"/>
      <c r="AE68" s="596"/>
      <c r="AF68" s="1101">
        <v>629.08333333333326</v>
      </c>
      <c r="AG68" s="543"/>
      <c r="AH68" s="596"/>
      <c r="AI68" s="1101">
        <v>629.08333333333326</v>
      </c>
      <c r="AJ68" s="543"/>
      <c r="AK68" s="596"/>
      <c r="AL68" s="1101">
        <v>629.08333333333326</v>
      </c>
      <c r="AM68" s="543"/>
      <c r="AN68" s="596"/>
      <c r="AO68" s="1101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">
      <c r="A69" s="533" t="str">
        <f t="shared" si="0"/>
        <v>Véhicules neufsFormation</v>
      </c>
      <c r="B69" s="543" t="s">
        <v>130</v>
      </c>
      <c r="C69" s="543"/>
      <c r="D69" s="596"/>
      <c r="E69" s="1080">
        <f t="shared" si="15"/>
        <v>3859.1360000000018</v>
      </c>
      <c r="F69" s="543"/>
      <c r="G69" s="596"/>
      <c r="H69" s="1101">
        <v>321.5946666666668</v>
      </c>
      <c r="I69" s="543"/>
      <c r="J69" s="596"/>
      <c r="K69" s="1101">
        <v>321.5946666666668</v>
      </c>
      <c r="L69" s="543"/>
      <c r="M69" s="596"/>
      <c r="N69" s="1101">
        <v>321.5946666666668</v>
      </c>
      <c r="O69" s="543"/>
      <c r="P69" s="596"/>
      <c r="Q69" s="1101">
        <v>321.5946666666668</v>
      </c>
      <c r="R69" s="543"/>
      <c r="S69" s="596"/>
      <c r="T69" s="1101">
        <v>321.5946666666668</v>
      </c>
      <c r="U69" s="543"/>
      <c r="V69" s="596"/>
      <c r="W69" s="1101">
        <v>321.5946666666668</v>
      </c>
      <c r="X69" s="543"/>
      <c r="Y69" s="596"/>
      <c r="Z69" s="1101">
        <v>321.5946666666668</v>
      </c>
      <c r="AA69" s="543"/>
      <c r="AB69" s="596"/>
      <c r="AC69" s="1101">
        <v>321.5946666666668</v>
      </c>
      <c r="AD69" s="543"/>
      <c r="AE69" s="596"/>
      <c r="AF69" s="1101">
        <v>321.5946666666668</v>
      </c>
      <c r="AG69" s="543"/>
      <c r="AH69" s="596"/>
      <c r="AI69" s="1101">
        <v>321.5946666666668</v>
      </c>
      <c r="AJ69" s="543"/>
      <c r="AK69" s="596"/>
      <c r="AL69" s="1101">
        <v>321.5946666666668</v>
      </c>
      <c r="AM69" s="543"/>
      <c r="AN69" s="596"/>
      <c r="AO69" s="1101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">
      <c r="A70" s="533" t="str">
        <f t="shared" si="0"/>
        <v>Véhicules neufsFrais bancaires</v>
      </c>
      <c r="B70" s="543" t="s">
        <v>131</v>
      </c>
      <c r="C70" s="543"/>
      <c r="D70" s="596"/>
      <c r="E70" s="1080">
        <f t="shared" si="15"/>
        <v>42201.436521739139</v>
      </c>
      <c r="F70" s="543"/>
      <c r="G70" s="596"/>
      <c r="H70" s="1101">
        <v>2250.1215538469141</v>
      </c>
      <c r="I70" s="543"/>
      <c r="J70" s="596"/>
      <c r="K70" s="1101">
        <v>2360.5923459809228</v>
      </c>
      <c r="L70" s="543"/>
      <c r="M70" s="596"/>
      <c r="N70" s="1101">
        <v>3631.8250117381285</v>
      </c>
      <c r="O70" s="543"/>
      <c r="P70" s="596"/>
      <c r="Q70" s="1101">
        <v>4294.6545778774707</v>
      </c>
      <c r="R70" s="543"/>
      <c r="S70" s="596"/>
      <c r="T70" s="1101">
        <v>4787.672516895982</v>
      </c>
      <c r="U70" s="543"/>
      <c r="V70" s="596"/>
      <c r="W70" s="1101">
        <v>3978.2237432073111</v>
      </c>
      <c r="X70" s="543"/>
      <c r="Y70" s="596"/>
      <c r="Z70" s="1101">
        <v>3219.8758124157907</v>
      </c>
      <c r="AA70" s="543"/>
      <c r="AB70" s="596"/>
      <c r="AC70" s="1101">
        <v>3224.1144246144454</v>
      </c>
      <c r="AD70" s="543"/>
      <c r="AE70" s="596"/>
      <c r="AF70" s="1101">
        <v>3824.8785829232215</v>
      </c>
      <c r="AG70" s="543"/>
      <c r="AH70" s="596"/>
      <c r="AI70" s="1101">
        <v>4225.119726134214</v>
      </c>
      <c r="AJ70" s="543"/>
      <c r="AK70" s="596"/>
      <c r="AL70" s="1101">
        <v>3868.7230425940193</v>
      </c>
      <c r="AM70" s="543"/>
      <c r="AN70" s="596"/>
      <c r="AO70" s="1101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0">
        <f t="shared" si="15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0">
        <f t="shared" si="15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/>
      <c r="AG72" s="543"/>
      <c r="AH72" s="596"/>
      <c r="AI72" s="1080"/>
      <c r="AJ72" s="543"/>
      <c r="AK72" s="596"/>
      <c r="AL72" s="1080"/>
      <c r="AM72" s="543"/>
      <c r="AN72" s="596"/>
      <c r="AO72" s="1080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0"/>
      <c r="E73" s="1080">
        <f t="shared" si="15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/>
      <c r="AG73" s="601"/>
      <c r="AH73" s="1120"/>
      <c r="AI73" s="1080"/>
      <c r="AJ73" s="601"/>
      <c r="AK73" s="1120"/>
      <c r="AL73" s="1080"/>
      <c r="AM73" s="601"/>
      <c r="AN73" s="1120"/>
      <c r="AO73" s="1080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">
      <c r="A74" s="533" t="str">
        <f t="shared" si="29"/>
        <v>Véhicules neufsTOTAL SEMI-FIXES</v>
      </c>
      <c r="B74" s="1356" t="s">
        <v>132</v>
      </c>
      <c r="C74" s="1107" t="s">
        <v>108</v>
      </c>
      <c r="D74" s="1108">
        <f>IFERROR(E74/E$29,0)</f>
        <v>0.1398481302371874</v>
      </c>
      <c r="E74" s="1109">
        <f>+SUM(E57:E73)</f>
        <v>249251.32252173912</v>
      </c>
      <c r="F74" s="1107" t="s">
        <v>108</v>
      </c>
      <c r="G74" s="1108">
        <f>IFERROR(H74/H$29,0)</f>
        <v>0.18845313533635111</v>
      </c>
      <c r="H74" s="1109">
        <f>+SUM(H57:H73)</f>
        <v>19504.278720513583</v>
      </c>
      <c r="I74" s="1107" t="s">
        <v>108</v>
      </c>
      <c r="J74" s="1108">
        <f>IFERROR(K74/K$29,0)</f>
        <v>0.22752282589954498</v>
      </c>
      <c r="K74" s="1109">
        <f>+SUM(K57:K73)</f>
        <v>19614.749512647591</v>
      </c>
      <c r="L74" s="1107" t="s">
        <v>108</v>
      </c>
      <c r="M74" s="1108">
        <f>IFERROR(N74/N$29,0)</f>
        <v>0.12364159675150077</v>
      </c>
      <c r="N74" s="1109">
        <f>+SUM(N57:N73)</f>
        <v>20885.982178404796</v>
      </c>
      <c r="O74" s="1107" t="s">
        <v>108</v>
      </c>
      <c r="P74" s="1108">
        <f>IFERROR(Q74/Q$29,0)</f>
        <v>0.11567858925197136</v>
      </c>
      <c r="Q74" s="1109">
        <f>+SUM(Q57:Q73)</f>
        <v>21548.811744544138</v>
      </c>
      <c r="R74" s="1107" t="s">
        <v>108</v>
      </c>
      <c r="S74" s="1108">
        <f>IFERROR(T74/T$29,0)</f>
        <v>9.2615030259788955E-2</v>
      </c>
      <c r="T74" s="1109">
        <f>+SUM(T57:T73)</f>
        <v>22041.82968356265</v>
      </c>
      <c r="U74" s="1107" t="s">
        <v>108</v>
      </c>
      <c r="V74" s="1108">
        <f>IFERROR(W74/W$29,0)</f>
        <v>0.14743727254592837</v>
      </c>
      <c r="W74" s="1109">
        <f>+SUM(W57:W73)</f>
        <v>21232.38090987398</v>
      </c>
      <c r="X74" s="1107" t="s">
        <v>108</v>
      </c>
      <c r="Y74" s="1108">
        <f>IFERROR(Z74/Z$29,0)</f>
        <v>0.18194873549622576</v>
      </c>
      <c r="Z74" s="1109">
        <f>+SUM(Z57:Z73)</f>
        <v>20474.032979082458</v>
      </c>
      <c r="AA74" s="1107" t="s">
        <v>108</v>
      </c>
      <c r="AB74" s="1108">
        <f>IFERROR(AC74/AC$29,0)</f>
        <v>0.16467449825135838</v>
      </c>
      <c r="AC74" s="1109">
        <f>+SUM(AC57:AC73)</f>
        <v>20478.271591281115</v>
      </c>
      <c r="AD74" s="1107" t="s">
        <v>108</v>
      </c>
      <c r="AE74" s="1108">
        <f>IFERROR(AF74/AF$29,0)</f>
        <v>0.11613584903691673</v>
      </c>
      <c r="AF74" s="1109">
        <f>+SUM(AF57:AF73)</f>
        <v>21079.03574958989</v>
      </c>
      <c r="AG74" s="1107" t="s">
        <v>108</v>
      </c>
      <c r="AH74" s="1108">
        <f>IFERROR(AI74/AI$29,0)</f>
        <v>0.12367198089028636</v>
      </c>
      <c r="AI74" s="1109">
        <f>+SUM(AI57:AI73)</f>
        <v>21479.276892800881</v>
      </c>
      <c r="AJ74" s="1107" t="s">
        <v>108</v>
      </c>
      <c r="AK74" s="1108">
        <f>IFERROR(AL74/AL$29,0)</f>
        <v>0.14007889815156552</v>
      </c>
      <c r="AL74" s="1109">
        <f>+SUM(AL57:AL73)</f>
        <v>21122.880209260686</v>
      </c>
      <c r="AM74" s="1107" t="s">
        <v>108</v>
      </c>
      <c r="AN74" s="1108">
        <f>IFERROR(AO74/AO$29,0)</f>
        <v>0.17586802255942358</v>
      </c>
      <c r="AO74" s="1109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">
      <c r="A75" s="533" t="str">
        <f t="shared" si="29"/>
        <v>Véhicules neufs</v>
      </c>
      <c r="B75" s="601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">
      <c r="A76" s="533" t="str">
        <f t="shared" si="29"/>
        <v>Véhicules neufsTOTAL DES DÉPENSES</v>
      </c>
      <c r="B76" s="1357" t="s">
        <v>133</v>
      </c>
      <c r="C76" s="1107" t="s">
        <v>108</v>
      </c>
      <c r="D76" s="1108">
        <f>IFERROR(E76/E$29,0)</f>
        <v>0.95288118737994298</v>
      </c>
      <c r="E76" s="1126">
        <f>E43+E56+E74</f>
        <v>1698320.1402672725</v>
      </c>
      <c r="F76" s="1107" t="s">
        <v>108</v>
      </c>
      <c r="G76" s="1108">
        <f>IFERROR(H76/H$29,0)</f>
        <v>1.1686133692908074</v>
      </c>
      <c r="H76" s="1126">
        <f>H43+H56+H74</f>
        <v>120947.6341716762</v>
      </c>
      <c r="I76" s="1107" t="s">
        <v>108</v>
      </c>
      <c r="J76" s="1108">
        <f>IFERROR(K76/K$29,0)</f>
        <v>1.2408004033117688</v>
      </c>
      <c r="K76" s="1126">
        <f>K43+K56+K74</f>
        <v>106969.43926363709</v>
      </c>
      <c r="L76" s="1107" t="s">
        <v>108</v>
      </c>
      <c r="M76" s="1108">
        <f>IFERROR(N76/N$29,0)</f>
        <v>0.89525082427481262</v>
      </c>
      <c r="N76" s="1126">
        <f>N43+N56+N74</f>
        <v>151228.98160710611</v>
      </c>
      <c r="O76" s="1107" t="s">
        <v>108</v>
      </c>
      <c r="P76" s="1108">
        <f>IFERROR(Q76/Q$29,0)</f>
        <v>0.87442292477903882</v>
      </c>
      <c r="Q76" s="1126">
        <f>Q43+Q56+Q74</f>
        <v>162889.04552711837</v>
      </c>
      <c r="R76" s="1107" t="s">
        <v>108</v>
      </c>
      <c r="S76" s="1108">
        <f>IFERROR(T76/T$29,0)</f>
        <v>0.78019515599157019</v>
      </c>
      <c r="T76" s="1126">
        <f>T43+T56+T74</f>
        <v>185681.83479580682</v>
      </c>
      <c r="U76" s="1107" t="s">
        <v>108</v>
      </c>
      <c r="V76" s="1108">
        <f>IFERROR(W76/W$29,0)</f>
        <v>0.96414772998779008</v>
      </c>
      <c r="W76" s="1126">
        <f>W43+W56+W74</f>
        <v>138846.51759353519</v>
      </c>
      <c r="X76" s="1107" t="s">
        <v>108</v>
      </c>
      <c r="Y76" s="1108">
        <f>IFERROR(Z76/Z$29,0)</f>
        <v>1.1079766666226178</v>
      </c>
      <c r="Z76" s="1126">
        <f>Z43+Z56+Z74</f>
        <v>124676.60602651392</v>
      </c>
      <c r="AA76" s="1107" t="s">
        <v>108</v>
      </c>
      <c r="AB76" s="1108">
        <f>IFERROR(AC76/AC$29,0)</f>
        <v>1.0224399531323622</v>
      </c>
      <c r="AC76" s="1126">
        <f>AC43+AC56+AC74</f>
        <v>127146.6029552547</v>
      </c>
      <c r="AD76" s="1107" t="s">
        <v>108</v>
      </c>
      <c r="AE76" s="1108">
        <f>IFERROR(AF76/AF$29,0)</f>
        <v>0.86893996579912691</v>
      </c>
      <c r="AF76" s="1126">
        <f>AF43+AF56+AF74</f>
        <v>157715.44062595928</v>
      </c>
      <c r="AG76" s="1107" t="s">
        <v>108</v>
      </c>
      <c r="AH76" s="1108">
        <f>IFERROR(AI76/AI$29,0)</f>
        <v>0.88862819659430303</v>
      </c>
      <c r="AI76" s="1126">
        <f>AI43+AI56+AI74</f>
        <v>154336.42246202996</v>
      </c>
      <c r="AJ76" s="1107" t="s">
        <v>108</v>
      </c>
      <c r="AK76" s="1108">
        <f>IFERROR(AL76/AL$29,0)</f>
        <v>0.91412691548873604</v>
      </c>
      <c r="AL76" s="1126">
        <f>AL43+AL56+AL74</f>
        <v>137843.69799252122</v>
      </c>
      <c r="AM76" s="1107" t="s">
        <v>108</v>
      </c>
      <c r="AN76" s="1108">
        <f>IFERROR(AO76/AO$29,0)</f>
        <v>1.155621593150016</v>
      </c>
      <c r="AO76" s="1126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">
      <c r="A77" s="533" t="str">
        <f t="shared" si="29"/>
        <v>Véhicules neufsRBSC neuf</v>
      </c>
      <c r="B77" s="543" t="s">
        <v>393</v>
      </c>
      <c r="C77" s="543"/>
      <c r="D77" s="596"/>
      <c r="E77" s="1080">
        <f t="shared" ref="E77:E84" si="30">+SUM(H77,K77,N77,Q77,T77,W77,Z77,AC77,AF77,AI77,AL77,AO77)</f>
        <v>482517.75</v>
      </c>
      <c r="F77" s="543"/>
      <c r="G77" s="596"/>
      <c r="H77" s="1101">
        <v>28951.065000000002</v>
      </c>
      <c r="I77" s="543"/>
      <c r="J77" s="596"/>
      <c r="K77" s="1101">
        <v>26193.820714285714</v>
      </c>
      <c r="L77" s="543"/>
      <c r="M77" s="596"/>
      <c r="N77" s="1101">
        <v>45494.53071428572</v>
      </c>
      <c r="O77" s="543"/>
      <c r="P77" s="596"/>
      <c r="Q77" s="1101">
        <v>49630.397142857146</v>
      </c>
      <c r="R77" s="543"/>
      <c r="S77" s="596"/>
      <c r="T77" s="1101">
        <v>62037.99642857143</v>
      </c>
      <c r="U77" s="543"/>
      <c r="V77" s="596"/>
      <c r="W77" s="1101">
        <v>38601.42</v>
      </c>
      <c r="X77" s="543"/>
      <c r="Y77" s="596"/>
      <c r="Z77" s="1101">
        <v>30329.687142857147</v>
      </c>
      <c r="AA77" s="543"/>
      <c r="AB77" s="596"/>
      <c r="AC77" s="1101">
        <v>33086.931428571428</v>
      </c>
      <c r="AD77" s="543"/>
      <c r="AE77" s="596"/>
      <c r="AF77" s="1101">
        <v>49630.397142857146</v>
      </c>
      <c r="AG77" s="543"/>
      <c r="AH77" s="596"/>
      <c r="AI77" s="1101">
        <v>46873.152857142857</v>
      </c>
      <c r="AJ77" s="543"/>
      <c r="AK77" s="596"/>
      <c r="AL77" s="1101">
        <v>41358.664285714294</v>
      </c>
      <c r="AM77" s="543"/>
      <c r="AN77" s="596"/>
      <c r="AO77" s="1101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">
      <c r="A78" s="533" t="str">
        <f t="shared" si="29"/>
        <v>Véhicules neufsProgramme neuf 2</v>
      </c>
      <c r="B78" s="543" t="s">
        <v>134</v>
      </c>
      <c r="C78" s="543"/>
      <c r="D78" s="596"/>
      <c r="E78" s="1080">
        <f t="shared" si="30"/>
        <v>0</v>
      </c>
      <c r="F78" s="543"/>
      <c r="G78" s="596"/>
      <c r="H78" s="1101"/>
      <c r="I78" s="543"/>
      <c r="J78" s="596"/>
      <c r="K78" s="1101"/>
      <c r="L78" s="543"/>
      <c r="M78" s="596"/>
      <c r="N78" s="1101"/>
      <c r="O78" s="543"/>
      <c r="P78" s="596"/>
      <c r="Q78" s="1101"/>
      <c r="R78" s="543"/>
      <c r="S78" s="596"/>
      <c r="T78" s="1101"/>
      <c r="U78" s="543"/>
      <c r="V78" s="596"/>
      <c r="W78" s="1101"/>
      <c r="X78" s="543"/>
      <c r="Y78" s="596"/>
      <c r="Z78" s="1101"/>
      <c r="AA78" s="543"/>
      <c r="AB78" s="596"/>
      <c r="AC78" s="1101"/>
      <c r="AD78" s="543"/>
      <c r="AE78" s="596"/>
      <c r="AF78" s="1101"/>
      <c r="AG78" s="543"/>
      <c r="AH78" s="596"/>
      <c r="AI78" s="1101"/>
      <c r="AJ78" s="543"/>
      <c r="AK78" s="596"/>
      <c r="AL78" s="1101"/>
      <c r="AM78" s="543"/>
      <c r="AN78" s="596"/>
      <c r="AO78" s="1101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">
      <c r="A79" s="533" t="str">
        <f t="shared" si="29"/>
        <v>Véhicules neufsProgramme neuf 3</v>
      </c>
      <c r="B79" s="543" t="s">
        <v>135</v>
      </c>
      <c r="C79" s="543"/>
      <c r="D79" s="596"/>
      <c r="E79" s="1080">
        <f t="shared" si="30"/>
        <v>0</v>
      </c>
      <c r="F79" s="543"/>
      <c r="G79" s="596"/>
      <c r="H79" s="1101"/>
      <c r="I79" s="543"/>
      <c r="J79" s="596"/>
      <c r="K79" s="1101"/>
      <c r="L79" s="543"/>
      <c r="M79" s="596"/>
      <c r="N79" s="1101"/>
      <c r="O79" s="543"/>
      <c r="P79" s="596"/>
      <c r="Q79" s="1101"/>
      <c r="R79" s="543"/>
      <c r="S79" s="596"/>
      <c r="T79" s="1101"/>
      <c r="U79" s="543"/>
      <c r="V79" s="596"/>
      <c r="W79" s="1101"/>
      <c r="X79" s="543"/>
      <c r="Y79" s="596"/>
      <c r="Z79" s="1101"/>
      <c r="AA79" s="543"/>
      <c r="AB79" s="596"/>
      <c r="AC79" s="1101"/>
      <c r="AD79" s="543"/>
      <c r="AE79" s="596"/>
      <c r="AF79" s="1101"/>
      <c r="AG79" s="543"/>
      <c r="AH79" s="596"/>
      <c r="AI79" s="1101"/>
      <c r="AJ79" s="543"/>
      <c r="AK79" s="596"/>
      <c r="AL79" s="1101"/>
      <c r="AM79" s="543"/>
      <c r="AN79" s="596"/>
      <c r="AO79" s="1101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">
      <c r="A80" s="533" t="str">
        <f t="shared" si="29"/>
        <v>Véhicules neufsHoldbacks</v>
      </c>
      <c r="B80" s="543" t="s">
        <v>136</v>
      </c>
      <c r="C80" s="543"/>
      <c r="D80" s="596"/>
      <c r="E80" s="1080">
        <f t="shared" si="30"/>
        <v>584870</v>
      </c>
      <c r="F80" s="543"/>
      <c r="G80" s="596"/>
      <c r="H80" s="1101">
        <v>35092.200000000004</v>
      </c>
      <c r="I80" s="543"/>
      <c r="J80" s="596"/>
      <c r="K80" s="1101">
        <v>31750.085714285713</v>
      </c>
      <c r="L80" s="543"/>
      <c r="M80" s="596"/>
      <c r="N80" s="1101">
        <v>55144.885714285716</v>
      </c>
      <c r="O80" s="543"/>
      <c r="P80" s="596"/>
      <c r="Q80" s="1101">
        <v>60158.057142857149</v>
      </c>
      <c r="R80" s="543"/>
      <c r="S80" s="596"/>
      <c r="T80" s="1101">
        <v>75197.571428571435</v>
      </c>
      <c r="U80" s="543"/>
      <c r="V80" s="596"/>
      <c r="W80" s="1101">
        <v>46789.599999999999</v>
      </c>
      <c r="X80" s="543"/>
      <c r="Y80" s="596"/>
      <c r="Z80" s="1101">
        <v>36763.257142857146</v>
      </c>
      <c r="AA80" s="543"/>
      <c r="AB80" s="596"/>
      <c r="AC80" s="1101">
        <v>40105.37142857143</v>
      </c>
      <c r="AD80" s="543"/>
      <c r="AE80" s="596"/>
      <c r="AF80" s="1101">
        <v>60158.057142857149</v>
      </c>
      <c r="AG80" s="543"/>
      <c r="AH80" s="596"/>
      <c r="AI80" s="1101">
        <v>56815.942857142858</v>
      </c>
      <c r="AJ80" s="543"/>
      <c r="AK80" s="596"/>
      <c r="AL80" s="1101">
        <v>50131.71428571429</v>
      </c>
      <c r="AM80" s="543"/>
      <c r="AN80" s="596"/>
      <c r="AO80" s="1101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0">
        <f t="shared" si="30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/>
      <c r="AG81" s="543"/>
      <c r="AH81" s="596"/>
      <c r="AI81" s="1101"/>
      <c r="AJ81" s="543"/>
      <c r="AK81" s="596"/>
      <c r="AL81" s="1101"/>
      <c r="AM81" s="543"/>
      <c r="AN81" s="596"/>
      <c r="AO81" s="1101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0">
        <f t="shared" si="30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/>
      <c r="AG82" s="543"/>
      <c r="AH82" s="596"/>
      <c r="AI82" s="1101"/>
      <c r="AJ82" s="543"/>
      <c r="AK82" s="596"/>
      <c r="AL82" s="1101"/>
      <c r="AM82" s="543"/>
      <c r="AN82" s="596"/>
      <c r="AO82" s="1101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0">
        <f t="shared" si="30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/>
      <c r="AG83" s="543"/>
      <c r="AH83" s="596"/>
      <c r="AI83" s="1101"/>
      <c r="AJ83" s="543"/>
      <c r="AK83" s="596"/>
      <c r="AL83" s="1101"/>
      <c r="AM83" s="543"/>
      <c r="AN83" s="596"/>
      <c r="AO83" s="1101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">
      <c r="A84" s="533" t="str">
        <f t="shared" si="29"/>
        <v>Véhicules neufsFrais administration</v>
      </c>
      <c r="B84" s="543" t="s">
        <v>137</v>
      </c>
      <c r="C84" s="543"/>
      <c r="D84" s="596"/>
      <c r="E84" s="1080">
        <f t="shared" si="30"/>
        <v>192423</v>
      </c>
      <c r="F84" s="543"/>
      <c r="G84" s="596"/>
      <c r="H84" s="1101">
        <v>11662</v>
      </c>
      <c r="I84" s="543"/>
      <c r="J84" s="596"/>
      <c r="K84" s="1101">
        <v>10495.8</v>
      </c>
      <c r="L84" s="543"/>
      <c r="M84" s="596"/>
      <c r="N84" s="1101">
        <v>18076.099999999999</v>
      </c>
      <c r="O84" s="543"/>
      <c r="P84" s="596"/>
      <c r="Q84" s="1101">
        <v>19825.400000000001</v>
      </c>
      <c r="R84" s="543"/>
      <c r="S84" s="596"/>
      <c r="T84" s="1101">
        <v>25073.3</v>
      </c>
      <c r="U84" s="543"/>
      <c r="V84" s="596"/>
      <c r="W84" s="1101">
        <v>15160.6</v>
      </c>
      <c r="X84" s="543"/>
      <c r="Y84" s="596"/>
      <c r="Z84" s="1101">
        <v>12245.1</v>
      </c>
      <c r="AA84" s="543"/>
      <c r="AB84" s="596"/>
      <c r="AC84" s="1101">
        <v>13411.3</v>
      </c>
      <c r="AD84" s="543"/>
      <c r="AE84" s="596"/>
      <c r="AF84" s="1101">
        <v>19242.3</v>
      </c>
      <c r="AG84" s="543"/>
      <c r="AH84" s="596"/>
      <c r="AI84" s="1101">
        <v>18659.2</v>
      </c>
      <c r="AJ84" s="543"/>
      <c r="AK84" s="596"/>
      <c r="AL84" s="1101">
        <v>16326.8</v>
      </c>
      <c r="AM84" s="543"/>
      <c r="AN84" s="596"/>
      <c r="AO84" s="1101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">
      <c r="A85" s="533" t="str">
        <f t="shared" si="29"/>
        <v>Véhicules neufsAUTRES REVENUS</v>
      </c>
      <c r="B85" s="1358" t="s">
        <v>138</v>
      </c>
      <c r="C85" s="1129"/>
      <c r="D85" s="1130"/>
      <c r="E85" s="1131">
        <f>+SUM(E77:E84)</f>
        <v>1259810.75</v>
      </c>
      <c r="F85" s="1129"/>
      <c r="G85" s="1130"/>
      <c r="H85" s="1131">
        <f>+SUM(H77:H84)</f>
        <v>75705.265000000014</v>
      </c>
      <c r="I85" s="1129"/>
      <c r="J85" s="1130"/>
      <c r="K85" s="1131">
        <f>+SUM(K77:K84)</f>
        <v>68439.70642857143</v>
      </c>
      <c r="L85" s="1129"/>
      <c r="M85" s="1130"/>
      <c r="N85" s="1131">
        <f>+SUM(N77:N84)</f>
        <v>118715.51642857143</v>
      </c>
      <c r="O85" s="1129"/>
      <c r="P85" s="1130"/>
      <c r="Q85" s="1131">
        <f>+SUM(Q77:Q84)</f>
        <v>129613.8542857143</v>
      </c>
      <c r="R85" s="1129"/>
      <c r="S85" s="1130"/>
      <c r="T85" s="1131">
        <f>+SUM(T77:T84)</f>
        <v>162308.86785714285</v>
      </c>
      <c r="U85" s="1129"/>
      <c r="V85" s="1130"/>
      <c r="W85" s="1131">
        <f>+SUM(W77:W84)</f>
        <v>100551.62</v>
      </c>
      <c r="X85" s="1129"/>
      <c r="Y85" s="1130"/>
      <c r="Z85" s="1131">
        <f>+SUM(Z77:Z84)</f>
        <v>79338.044285714306</v>
      </c>
      <c r="AA85" s="1129"/>
      <c r="AB85" s="1130"/>
      <c r="AC85" s="1131">
        <f>+SUM(AC77:AC84)</f>
        <v>86603.602857142861</v>
      </c>
      <c r="AD85" s="1129"/>
      <c r="AE85" s="1130"/>
      <c r="AF85" s="1131">
        <f>+SUM(AF77:AF84)</f>
        <v>129030.7542857143</v>
      </c>
      <c r="AG85" s="1129"/>
      <c r="AH85" s="1130"/>
      <c r="AI85" s="1131">
        <f>+SUM(AI77:AI84)</f>
        <v>122348.2957142857</v>
      </c>
      <c r="AJ85" s="1129"/>
      <c r="AK85" s="1130"/>
      <c r="AL85" s="1131">
        <f>+SUM(AL77:AL84)</f>
        <v>107817.17857142859</v>
      </c>
      <c r="AM85" s="1129"/>
      <c r="AN85" s="1130"/>
      <c r="AO85" s="1131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">
      <c r="A86" s="533" t="str">
        <f t="shared" si="29"/>
        <v>Véhicules neufs</v>
      </c>
      <c r="B86" s="599"/>
      <c r="C86" s="602"/>
      <c r="D86" s="1135"/>
      <c r="E86" s="1136"/>
      <c r="F86" s="602"/>
      <c r="G86" s="1135"/>
      <c r="H86" s="1136"/>
      <c r="I86" s="602"/>
      <c r="J86" s="1135"/>
      <c r="K86" s="1136"/>
      <c r="L86" s="602"/>
      <c r="M86" s="1135"/>
      <c r="N86" s="1136"/>
      <c r="O86" s="602"/>
      <c r="P86" s="1135"/>
      <c r="Q86" s="1136"/>
      <c r="R86" s="602"/>
      <c r="S86" s="1135"/>
      <c r="T86" s="1136"/>
      <c r="U86" s="602"/>
      <c r="V86" s="1135"/>
      <c r="W86" s="1136"/>
      <c r="X86" s="602"/>
      <c r="Y86" s="1135"/>
      <c r="Z86" s="1136"/>
      <c r="AA86" s="602"/>
      <c r="AB86" s="1135"/>
      <c r="AC86" s="1136"/>
      <c r="AD86" s="602"/>
      <c r="AE86" s="1135"/>
      <c r="AF86" s="1136"/>
      <c r="AG86" s="602"/>
      <c r="AH86" s="1135"/>
      <c r="AI86" s="1136"/>
      <c r="AJ86" s="602"/>
      <c r="AK86" s="1135"/>
      <c r="AL86" s="1136"/>
      <c r="AM86" s="602"/>
      <c r="AN86" s="1135"/>
      <c r="AO86" s="1136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7" t="s">
        <v>139</v>
      </c>
      <c r="C87" s="1139"/>
      <c r="D87" s="1140"/>
      <c r="E87" s="1141">
        <f>E29-E76+E85</f>
        <v>1343790.6097327275</v>
      </c>
      <c r="F87" s="1139"/>
      <c r="G87" s="1140"/>
      <c r="H87" s="1141">
        <f>H29-H76+H85</f>
        <v>58254.336710676755</v>
      </c>
      <c r="I87" s="1139"/>
      <c r="J87" s="1140"/>
      <c r="K87" s="1141">
        <f>K29-K76+K85</f>
        <v>47680.296576699038</v>
      </c>
      <c r="L87" s="1139"/>
      <c r="M87" s="1140"/>
      <c r="N87" s="1141">
        <f>N29-N76+N85</f>
        <v>136410.12305675945</v>
      </c>
      <c r="O87" s="1139"/>
      <c r="P87" s="1140"/>
      <c r="Q87" s="1141">
        <f>Q29-Q76+Q85</f>
        <v>153006.57346447828</v>
      </c>
      <c r="R87" s="1139"/>
      <c r="S87" s="1140"/>
      <c r="T87" s="1141">
        <f>T29-T76+T85</f>
        <v>214621.12129663015</v>
      </c>
      <c r="U87" s="1139"/>
      <c r="V87" s="1140"/>
      <c r="W87" s="1141">
        <f>W29-W76+W85</f>
        <v>105714.69064175893</v>
      </c>
      <c r="X87" s="1139"/>
      <c r="Y87" s="1140"/>
      <c r="Z87" s="1141">
        <f>Z29-Z76+Z85</f>
        <v>67187.820612141557</v>
      </c>
      <c r="AA87" s="1139"/>
      <c r="AB87" s="1140"/>
      <c r="AC87" s="1141">
        <f>AC29-AC76+AC85</f>
        <v>83813.058725417577</v>
      </c>
      <c r="AD87" s="1139"/>
      <c r="AE87" s="1140"/>
      <c r="AF87" s="1141">
        <f>AF29-AF76+AF85</f>
        <v>152818.57836563737</v>
      </c>
      <c r="AG87" s="1139"/>
      <c r="AH87" s="1140"/>
      <c r="AI87" s="1141">
        <f>AI29-AI76+AI85</f>
        <v>141691.28501696163</v>
      </c>
      <c r="AJ87" s="1139"/>
      <c r="AK87" s="1140"/>
      <c r="AL87" s="1141">
        <f>AL29-AL76+AL85</f>
        <v>120766.21587302502</v>
      </c>
      <c r="AM87" s="1139"/>
      <c r="AN87" s="1140"/>
      <c r="AO87" s="1141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">
      <c r="A88" s="533"/>
      <c r="B88" s="603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">
      <c r="A91" s="533"/>
      <c r="B91" s="605" t="str">
        <f>B4</f>
        <v>Budget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">
      <c r="A94" s="533"/>
      <c r="B94" s="5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">
      <c r="A95" s="533" t="str">
        <f>+$C$91&amp;B95</f>
        <v>Véhicules usagésVentes nettes</v>
      </c>
      <c r="B95" s="601" t="s">
        <v>85</v>
      </c>
      <c r="C95" s="1056"/>
      <c r="D95" s="1057"/>
      <c r="E95" s="1058">
        <f>+SUM(H95,K95,N95,Q95,T95,W95,Z95,AC95,AF95,AI95,AL95,AO95)</f>
        <v>20963217.391304348</v>
      </c>
      <c r="F95" s="1056"/>
      <c r="G95" s="1057"/>
      <c r="H95" s="1150">
        <v>889695.11368605983</v>
      </c>
      <c r="I95" s="1056"/>
      <c r="J95" s="1057"/>
      <c r="K95" s="1150">
        <v>1248870.4536116449</v>
      </c>
      <c r="L95" s="1056"/>
      <c r="M95" s="1057"/>
      <c r="N95" s="1150">
        <v>1613662.6363059802</v>
      </c>
      <c r="O95" s="1056"/>
      <c r="P95" s="1057"/>
      <c r="Q95" s="1150">
        <v>2102808.6916268026</v>
      </c>
      <c r="R95" s="1056"/>
      <c r="S95" s="1057"/>
      <c r="T95" s="1150">
        <v>2037857.6903014993</v>
      </c>
      <c r="U95" s="1056"/>
      <c r="V95" s="1057"/>
      <c r="W95" s="1150">
        <v>2452221.8838663544</v>
      </c>
      <c r="X95" s="1056"/>
      <c r="Y95" s="1057"/>
      <c r="Z95" s="1150">
        <v>1945706.0767454284</v>
      </c>
      <c r="AA95" s="1056"/>
      <c r="AB95" s="1057"/>
      <c r="AC95" s="1150">
        <v>1822887.8894786073</v>
      </c>
      <c r="AD95" s="1056"/>
      <c r="AE95" s="1057"/>
      <c r="AF95" s="1150">
        <v>1561050.3017974491</v>
      </c>
      <c r="AG95" s="1056"/>
      <c r="AH95" s="1057"/>
      <c r="AI95" s="1150">
        <v>2199161.4809497418</v>
      </c>
      <c r="AJ95" s="1056"/>
      <c r="AK95" s="1057"/>
      <c r="AL95" s="1150">
        <v>1939002.9747864634</v>
      </c>
      <c r="AM95" s="1056"/>
      <c r="AN95" s="1057"/>
      <c r="AO95" s="1150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">
      <c r="A96" s="533" t="str">
        <f t="shared" ref="A96:A162" si="31">+$C$91&amp;B96</f>
        <v>Véhicules usagésCertifié</v>
      </c>
      <c r="B96" s="543" t="s">
        <v>141</v>
      </c>
      <c r="C96" s="1060">
        <f t="shared" ref="C96:E98" si="32">+SUM(F96,I96,L96,O96,R96,U96,X96,AA96,AD96,AG96,AJ96,AM96)</f>
        <v>150</v>
      </c>
      <c r="D96" s="1061">
        <f>IF(C96=0,0,E96/C96)</f>
        <v>2400</v>
      </c>
      <c r="E96" s="1062">
        <f t="shared" si="32"/>
        <v>360000</v>
      </c>
      <c r="F96" s="1353">
        <v>8</v>
      </c>
      <c r="G96" s="1061">
        <f>IF(F96=0,0,H96/F96)</f>
        <v>2400</v>
      </c>
      <c r="H96" s="1064">
        <v>19200</v>
      </c>
      <c r="I96" s="1353">
        <v>7</v>
      </c>
      <c r="J96" s="1061">
        <f>IF(I96=0,0,K96/I96)</f>
        <v>2400</v>
      </c>
      <c r="K96" s="1064">
        <v>16800</v>
      </c>
      <c r="L96" s="1353">
        <v>12</v>
      </c>
      <c r="M96" s="1061">
        <f>IF(L96=0,0,N96/L96)</f>
        <v>2400</v>
      </c>
      <c r="N96" s="1064">
        <v>28800</v>
      </c>
      <c r="O96" s="1353">
        <v>15</v>
      </c>
      <c r="P96" s="1061">
        <f>IF(O96=0,0,Q96/O96)</f>
        <v>2400</v>
      </c>
      <c r="Q96" s="1064">
        <v>36000</v>
      </c>
      <c r="R96" s="1353">
        <v>12</v>
      </c>
      <c r="S96" s="1061">
        <f>IF(R96=0,0,T96/R96)</f>
        <v>2400</v>
      </c>
      <c r="T96" s="1064">
        <v>28800</v>
      </c>
      <c r="U96" s="1353">
        <v>19</v>
      </c>
      <c r="V96" s="1061">
        <f>IF(U96=0,0,W96/U96)</f>
        <v>2400</v>
      </c>
      <c r="W96" s="1064">
        <v>45600</v>
      </c>
      <c r="X96" s="1353">
        <v>14</v>
      </c>
      <c r="Y96" s="1061">
        <f>IF(X96=0,0,Z96/X96)</f>
        <v>2400</v>
      </c>
      <c r="Z96" s="1064">
        <v>33600</v>
      </c>
      <c r="AA96" s="1353">
        <v>14</v>
      </c>
      <c r="AB96" s="1061">
        <f>IF(AA96=0,0,AC96/AA96)</f>
        <v>2400</v>
      </c>
      <c r="AC96" s="1064">
        <v>33600</v>
      </c>
      <c r="AD96" s="1353">
        <v>10</v>
      </c>
      <c r="AE96" s="1061">
        <f>IF(AD96=0,0,AF96/AD96)</f>
        <v>2400</v>
      </c>
      <c r="AF96" s="1064">
        <v>24000</v>
      </c>
      <c r="AG96" s="1353">
        <v>17</v>
      </c>
      <c r="AH96" s="1061">
        <f>IF(AG96=0,0,AI96/AG96)</f>
        <v>2400</v>
      </c>
      <c r="AI96" s="1064">
        <v>40800</v>
      </c>
      <c r="AJ96" s="1353">
        <v>14</v>
      </c>
      <c r="AK96" s="1061">
        <f>IF(AJ96=0,0,AL96/AJ96)</f>
        <v>2400</v>
      </c>
      <c r="AL96" s="1064">
        <v>33600</v>
      </c>
      <c r="AM96" s="1353">
        <v>8</v>
      </c>
      <c r="AN96" s="1061">
        <f>IF(AM96=0,0,AO96/AM96)</f>
        <v>2400</v>
      </c>
      <c r="AO96" s="1064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">
      <c r="A97" s="533" t="str">
        <f t="shared" si="31"/>
        <v>Véhicules usagésNon Certifié</v>
      </c>
      <c r="B97" s="543" t="s">
        <v>142</v>
      </c>
      <c r="C97" s="1060">
        <f t="shared" si="32"/>
        <v>38</v>
      </c>
      <c r="D97" s="1061">
        <f>IF(C97=0,0,E97/C97)</f>
        <v>1400</v>
      </c>
      <c r="E97" s="1062">
        <f t="shared" si="32"/>
        <v>53200</v>
      </c>
      <c r="F97" s="1353">
        <v>1</v>
      </c>
      <c r="G97" s="1061">
        <f>IF(F97=0,0,H97/F97)</f>
        <v>1400</v>
      </c>
      <c r="H97" s="1064">
        <v>1400</v>
      </c>
      <c r="I97" s="1353">
        <v>2</v>
      </c>
      <c r="J97" s="1061">
        <f>IF(I97=0,0,K97/I97)</f>
        <v>1400</v>
      </c>
      <c r="K97" s="1064">
        <v>2800</v>
      </c>
      <c r="L97" s="1353">
        <v>3</v>
      </c>
      <c r="M97" s="1061">
        <f>IF(L97=0,0,N97/L97)</f>
        <v>1400</v>
      </c>
      <c r="N97" s="1064">
        <v>4200</v>
      </c>
      <c r="O97" s="1353">
        <v>4</v>
      </c>
      <c r="P97" s="1061">
        <f>IF(O97=0,0,Q97/O97)</f>
        <v>1400</v>
      </c>
      <c r="Q97" s="1064">
        <v>5600</v>
      </c>
      <c r="R97" s="1353">
        <v>3</v>
      </c>
      <c r="S97" s="1061">
        <f>IF(R97=0,0,T97/R97)</f>
        <v>1400</v>
      </c>
      <c r="T97" s="1064">
        <v>4200</v>
      </c>
      <c r="U97" s="1353">
        <v>5</v>
      </c>
      <c r="V97" s="1061">
        <f>IF(U97=0,0,W97/U97)</f>
        <v>1400</v>
      </c>
      <c r="W97" s="1064">
        <v>7000</v>
      </c>
      <c r="X97" s="1353">
        <v>4</v>
      </c>
      <c r="Y97" s="1061">
        <f>IF(X97=0,0,Z97/X97)</f>
        <v>1400</v>
      </c>
      <c r="Z97" s="1064">
        <v>5600</v>
      </c>
      <c r="AA97" s="1353">
        <v>3</v>
      </c>
      <c r="AB97" s="1061">
        <f>IF(AA97=0,0,AC97/AA97)</f>
        <v>1400</v>
      </c>
      <c r="AC97" s="1064">
        <v>4200</v>
      </c>
      <c r="AD97" s="1353">
        <v>2</v>
      </c>
      <c r="AE97" s="1061">
        <f>IF(AD97=0,0,AF97/AD97)</f>
        <v>1400</v>
      </c>
      <c r="AF97" s="1064">
        <v>2800</v>
      </c>
      <c r="AG97" s="1353">
        <v>5</v>
      </c>
      <c r="AH97" s="1061">
        <f>IF(AG97=0,0,AI97/AG97)</f>
        <v>1400</v>
      </c>
      <c r="AI97" s="1064">
        <v>7000</v>
      </c>
      <c r="AJ97" s="1353">
        <v>4</v>
      </c>
      <c r="AK97" s="1061">
        <f>IF(AJ97=0,0,AL97/AJ97)</f>
        <v>1400</v>
      </c>
      <c r="AL97" s="1064">
        <v>5600</v>
      </c>
      <c r="AM97" s="1353">
        <v>2</v>
      </c>
      <c r="AN97" s="1061">
        <f>IF(AM97=0,0,AO97/AM97)</f>
        <v>1400</v>
      </c>
      <c r="AO97" s="1064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">
      <c r="A98" s="533" t="str">
        <f t="shared" si="31"/>
        <v>Véhicules usagésAutres Marques</v>
      </c>
      <c r="B98" s="543" t="s">
        <v>2811</v>
      </c>
      <c r="C98" s="1060">
        <f t="shared" si="32"/>
        <v>62</v>
      </c>
      <c r="D98" s="1061">
        <f>IF(C98=0,0,E98/C98)</f>
        <v>1500</v>
      </c>
      <c r="E98" s="1062">
        <f t="shared" si="32"/>
        <v>93000</v>
      </c>
      <c r="F98" s="1353">
        <v>2</v>
      </c>
      <c r="G98" s="1061">
        <f>IF(F98=0,0,H98/F98)</f>
        <v>1500</v>
      </c>
      <c r="H98" s="1064">
        <v>3000</v>
      </c>
      <c r="I98" s="1353">
        <v>6</v>
      </c>
      <c r="J98" s="1061">
        <f>IF(I98=0,0,K98/I98)</f>
        <v>1500</v>
      </c>
      <c r="K98" s="1064">
        <v>9000</v>
      </c>
      <c r="L98" s="1353">
        <v>4</v>
      </c>
      <c r="M98" s="1061">
        <f>IF(L98=0,0,N98/L98)</f>
        <v>1500</v>
      </c>
      <c r="N98" s="1064">
        <v>6000</v>
      </c>
      <c r="O98" s="1353">
        <v>6</v>
      </c>
      <c r="P98" s="1061">
        <f>IF(O98=0,0,Q98/O98)</f>
        <v>1500</v>
      </c>
      <c r="Q98" s="1064">
        <v>9000</v>
      </c>
      <c r="R98" s="1353">
        <v>5</v>
      </c>
      <c r="S98" s="1061">
        <f>IF(R98=0,0,T98/R98)</f>
        <v>1500</v>
      </c>
      <c r="T98" s="1064">
        <v>7500</v>
      </c>
      <c r="U98" s="1353">
        <v>8</v>
      </c>
      <c r="V98" s="1061">
        <f>IF(U98=0,0,W98/U98)</f>
        <v>1500</v>
      </c>
      <c r="W98" s="1064">
        <v>12000</v>
      </c>
      <c r="X98" s="1353">
        <v>6</v>
      </c>
      <c r="Y98" s="1061">
        <f>IF(X98=0,0,Z98/X98)</f>
        <v>1500</v>
      </c>
      <c r="Z98" s="1064">
        <v>9000</v>
      </c>
      <c r="AA98" s="1353">
        <v>5</v>
      </c>
      <c r="AB98" s="1061">
        <f>IF(AA98=0,0,AC98/AA98)</f>
        <v>1500</v>
      </c>
      <c r="AC98" s="1064">
        <v>7500</v>
      </c>
      <c r="AD98" s="1353">
        <v>4</v>
      </c>
      <c r="AE98" s="1061">
        <f>IF(AD98=0,0,AF98/AD98)</f>
        <v>1500</v>
      </c>
      <c r="AF98" s="1064">
        <v>6000</v>
      </c>
      <c r="AG98" s="1353">
        <v>6</v>
      </c>
      <c r="AH98" s="1061">
        <f>IF(AG98=0,0,AI98/AG98)</f>
        <v>1500</v>
      </c>
      <c r="AI98" s="1064">
        <v>9000</v>
      </c>
      <c r="AJ98" s="1353">
        <v>6</v>
      </c>
      <c r="AK98" s="1061">
        <f>IF(AJ98=0,0,AL98/AJ98)</f>
        <v>1500</v>
      </c>
      <c r="AL98" s="1064">
        <v>9000</v>
      </c>
      <c r="AM98" s="1353">
        <v>4</v>
      </c>
      <c r="AN98" s="1061">
        <f>IF(AM98=0,0,AO98/AM98)</f>
        <v>1500</v>
      </c>
      <c r="AO98" s="1064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">
      <c r="A99" s="533" t="str">
        <f t="shared" si="31"/>
        <v>Véhicules usagésTotal Usagés</v>
      </c>
      <c r="B99" s="1354" t="s">
        <v>143</v>
      </c>
      <c r="C99" s="1067">
        <f>+C96+C97+C98</f>
        <v>250</v>
      </c>
      <c r="D99" s="1068">
        <f>IF(C99&lt;=0,0,E99/C99)</f>
        <v>2024.8</v>
      </c>
      <c r="E99" s="1069">
        <f>+E96+E97+E98</f>
        <v>506200</v>
      </c>
      <c r="F99" s="1067">
        <f>+F96+F97+F98</f>
        <v>11</v>
      </c>
      <c r="G99" s="1068">
        <f>IF(F99&lt;=0,0,H99/F99)</f>
        <v>2145.4545454545455</v>
      </c>
      <c r="H99" s="1069">
        <f>+H96+H97+H98</f>
        <v>23600</v>
      </c>
      <c r="I99" s="1067">
        <f t="shared" ref="I99" si="33">+I96+I97+I98</f>
        <v>15</v>
      </c>
      <c r="J99" s="1068">
        <f t="shared" ref="J99" si="34">IF(I99&lt;=0,0,K99/I99)</f>
        <v>1906.6666666666667</v>
      </c>
      <c r="K99" s="1069">
        <f t="shared" ref="K99:L99" si="35">+K96+K97+K98</f>
        <v>28600</v>
      </c>
      <c r="L99" s="1067">
        <f t="shared" si="35"/>
        <v>19</v>
      </c>
      <c r="M99" s="1068">
        <f t="shared" ref="M99" si="36">IF(L99&lt;=0,0,N99/L99)</f>
        <v>2052.6315789473683</v>
      </c>
      <c r="N99" s="1069">
        <f t="shared" ref="N99:O99" si="37">+N96+N97+N98</f>
        <v>39000</v>
      </c>
      <c r="O99" s="1067">
        <f t="shared" si="37"/>
        <v>25</v>
      </c>
      <c r="P99" s="1068">
        <f t="shared" ref="P99" si="38">IF(O99&lt;=0,0,Q99/O99)</f>
        <v>2024</v>
      </c>
      <c r="Q99" s="1069">
        <f t="shared" ref="Q99:R99" si="39">+Q96+Q97+Q98</f>
        <v>50600</v>
      </c>
      <c r="R99" s="1067">
        <f t="shared" si="39"/>
        <v>20</v>
      </c>
      <c r="S99" s="1068">
        <f t="shared" ref="S99" si="40">IF(R99&lt;=0,0,T99/R99)</f>
        <v>2025</v>
      </c>
      <c r="T99" s="1069">
        <f t="shared" ref="T99:U99" si="41">+T96+T97+T98</f>
        <v>40500</v>
      </c>
      <c r="U99" s="1067">
        <f t="shared" si="41"/>
        <v>32</v>
      </c>
      <c r="V99" s="1068">
        <f t="shared" ref="V99" si="42">IF(U99&lt;=0,0,W99/U99)</f>
        <v>2018.75</v>
      </c>
      <c r="W99" s="1069">
        <f t="shared" ref="W99:X99" si="43">+W96+W97+W98</f>
        <v>64600</v>
      </c>
      <c r="X99" s="1067">
        <f t="shared" si="43"/>
        <v>24</v>
      </c>
      <c r="Y99" s="1068">
        <f t="shared" ref="Y99" si="44">IF(X99&lt;=0,0,Z99/X99)</f>
        <v>2008.3333333333333</v>
      </c>
      <c r="Z99" s="1069">
        <f t="shared" ref="Z99:AA99" si="45">+Z96+Z97+Z98</f>
        <v>48200</v>
      </c>
      <c r="AA99" s="1067">
        <f t="shared" si="45"/>
        <v>22</v>
      </c>
      <c r="AB99" s="1068">
        <f t="shared" ref="AB99" si="46">IF(AA99&lt;=0,0,AC99/AA99)</f>
        <v>2059.090909090909</v>
      </c>
      <c r="AC99" s="1069">
        <f t="shared" ref="AC99:AD99" si="47">+AC96+AC97+AC98</f>
        <v>45300</v>
      </c>
      <c r="AD99" s="1067">
        <f t="shared" si="47"/>
        <v>16</v>
      </c>
      <c r="AE99" s="1068">
        <f t="shared" ref="AE99" si="48">IF(AD99&lt;=0,0,AF99/AD99)</f>
        <v>2050</v>
      </c>
      <c r="AF99" s="1069">
        <f t="shared" ref="AF99:AG99" si="49">+AF96+AF97+AF98</f>
        <v>32800</v>
      </c>
      <c r="AG99" s="1067">
        <f t="shared" si="49"/>
        <v>28</v>
      </c>
      <c r="AH99" s="1068">
        <f t="shared" ref="AH99" si="50">IF(AG99&lt;=0,0,AI99/AG99)</f>
        <v>2028.5714285714287</v>
      </c>
      <c r="AI99" s="1069">
        <f t="shared" ref="AI99:AJ99" si="51">+AI96+AI97+AI98</f>
        <v>56800</v>
      </c>
      <c r="AJ99" s="1067">
        <f t="shared" si="51"/>
        <v>24</v>
      </c>
      <c r="AK99" s="1068">
        <f t="shared" ref="AK99" si="52">IF(AJ99&lt;=0,0,AL99/AJ99)</f>
        <v>2008.3333333333333</v>
      </c>
      <c r="AL99" s="1069">
        <f t="shared" ref="AL99:AM99" si="53">+AL96+AL97+AL98</f>
        <v>48200</v>
      </c>
      <c r="AM99" s="1067">
        <f t="shared" si="53"/>
        <v>14</v>
      </c>
      <c r="AN99" s="1068">
        <f t="shared" ref="AN99" si="54">IF(AM99&lt;=0,0,AO99/AM99)</f>
        <v>2000</v>
      </c>
      <c r="AO99" s="1069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">
      <c r="A100" s="533" t="str">
        <f t="shared" si="31"/>
        <v>Véhicules usagés</v>
      </c>
      <c r="B100" s="543"/>
      <c r="C100" s="543"/>
      <c r="D100" s="596"/>
      <c r="E100" s="1070"/>
      <c r="F100" s="543"/>
      <c r="G100" s="596"/>
      <c r="H100" s="1070"/>
      <c r="I100" s="543"/>
      <c r="J100" s="596"/>
      <c r="K100" s="1070"/>
      <c r="L100" s="543"/>
      <c r="M100" s="596"/>
      <c r="N100" s="1070"/>
      <c r="O100" s="543"/>
      <c r="P100" s="596"/>
      <c r="Q100" s="1070"/>
      <c r="R100" s="543"/>
      <c r="S100" s="596"/>
      <c r="T100" s="1070"/>
      <c r="U100" s="543"/>
      <c r="V100" s="596"/>
      <c r="W100" s="1070"/>
      <c r="X100" s="543"/>
      <c r="Y100" s="596"/>
      <c r="Z100" s="1070"/>
      <c r="AA100" s="543"/>
      <c r="AB100" s="596"/>
      <c r="AC100" s="1070"/>
      <c r="AD100" s="543"/>
      <c r="AE100" s="596"/>
      <c r="AF100" s="1070"/>
      <c r="AG100" s="543"/>
      <c r="AH100" s="596"/>
      <c r="AI100" s="1070"/>
      <c r="AJ100" s="543"/>
      <c r="AK100" s="596"/>
      <c r="AL100" s="1070"/>
      <c r="AM100" s="543"/>
      <c r="AN100" s="596"/>
      <c r="AO100" s="1070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">
      <c r="A101" s="533" t="str">
        <f>+$C$4&amp;B101</f>
        <v>Véhicules neufsRachat bail</v>
      </c>
      <c r="B101" s="1359" t="s">
        <v>93</v>
      </c>
      <c r="C101" s="1065"/>
      <c r="D101" s="1061"/>
      <c r="E101" s="1062">
        <f>+SUM(H101,K101,N101,Q101,T101,W101,Z101,AC101,AF101,AI101,AL101,AO101)</f>
        <v>19980.000000000004</v>
      </c>
      <c r="F101" s="1065"/>
      <c r="G101" s="1061"/>
      <c r="H101" s="1064">
        <v>872.62796727878083</v>
      </c>
      <c r="I101" s="1065"/>
      <c r="J101" s="1061"/>
      <c r="K101" s="1064">
        <v>2329.7106885833568</v>
      </c>
      <c r="L101" s="1065"/>
      <c r="M101" s="1061"/>
      <c r="N101" s="1064">
        <v>1716.6487409782685</v>
      </c>
      <c r="O101" s="1065"/>
      <c r="P101" s="1061"/>
      <c r="Q101" s="1064">
        <v>2188.3231982991279</v>
      </c>
      <c r="R101" s="1065"/>
      <c r="S101" s="1061"/>
      <c r="T101" s="1064">
        <v>2834.7472332774046</v>
      </c>
      <c r="U101" s="1065"/>
      <c r="V101" s="1061"/>
      <c r="W101" s="1064">
        <v>1509.8237491399509</v>
      </c>
      <c r="X101" s="1065"/>
      <c r="Y101" s="1061"/>
      <c r="Z101" s="1064">
        <v>2102.295817364572</v>
      </c>
      <c r="AA101" s="1065"/>
      <c r="AB101" s="1061"/>
      <c r="AC101" s="1064">
        <v>2486.8669783266905</v>
      </c>
      <c r="AD101" s="1065"/>
      <c r="AE101" s="1061"/>
      <c r="AF101" s="1064">
        <v>874.16704137020508</v>
      </c>
      <c r="AG101" s="1065"/>
      <c r="AH101" s="1061"/>
      <c r="AI101" s="1064">
        <v>1448.765939107001</v>
      </c>
      <c r="AJ101" s="1065"/>
      <c r="AK101" s="1061"/>
      <c r="AL101" s="1064">
        <v>930.64736715227104</v>
      </c>
      <c r="AM101" s="1065"/>
      <c r="AN101" s="1061"/>
      <c r="AO101" s="1064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">
      <c r="A102" s="533" t="str">
        <f t="shared" si="31"/>
        <v>Véhicules usagés</v>
      </c>
      <c r="B102" s="543"/>
      <c r="C102" s="543"/>
      <c r="D102" s="596"/>
      <c r="E102" s="1070"/>
      <c r="F102" s="543"/>
      <c r="G102" s="596"/>
      <c r="H102" s="1070"/>
      <c r="I102" s="543"/>
      <c r="J102" s="596"/>
      <c r="K102" s="1070"/>
      <c r="L102" s="543"/>
      <c r="M102" s="596"/>
      <c r="N102" s="1070"/>
      <c r="O102" s="543"/>
      <c r="P102" s="596"/>
      <c r="Q102" s="1070"/>
      <c r="R102" s="543"/>
      <c r="S102" s="596"/>
      <c r="T102" s="1070"/>
      <c r="U102" s="543"/>
      <c r="V102" s="596"/>
      <c r="W102" s="1070"/>
      <c r="X102" s="543"/>
      <c r="Y102" s="596"/>
      <c r="Z102" s="1070"/>
      <c r="AA102" s="543"/>
      <c r="AB102" s="596"/>
      <c r="AC102" s="1070"/>
      <c r="AD102" s="543"/>
      <c r="AE102" s="596"/>
      <c r="AF102" s="1070"/>
      <c r="AG102" s="543"/>
      <c r="AH102" s="596"/>
      <c r="AI102" s="1070"/>
      <c r="AJ102" s="543"/>
      <c r="AK102" s="596"/>
      <c r="AL102" s="1070"/>
      <c r="AM102" s="543"/>
      <c r="AN102" s="596"/>
      <c r="AO102" s="1070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">
      <c r="A103" s="533" t="str">
        <f t="shared" si="31"/>
        <v>Véhicules usagésVentes au Gros</v>
      </c>
      <c r="B103" s="543" t="s">
        <v>144</v>
      </c>
      <c r="C103" s="1060">
        <f>+SUM(F103,I103,L103,O103,R103,U103,X103,AA103,AD103,AG103,AJ103,AM103)</f>
        <v>250</v>
      </c>
      <c r="D103" s="1061">
        <f>IF(C103=0,0,E103/C103)</f>
        <v>500</v>
      </c>
      <c r="E103" s="1062">
        <f>+SUM(H103,K103,N103,Q103,T103,W103,Z103,AC103,AF103,AI103,AL103,AO103)</f>
        <v>125000</v>
      </c>
      <c r="F103" s="1353">
        <v>9</v>
      </c>
      <c r="G103" s="1061">
        <f>IF(F103=0,0,H103/F103)</f>
        <v>500</v>
      </c>
      <c r="H103" s="1064">
        <v>4500</v>
      </c>
      <c r="I103" s="1353">
        <v>15</v>
      </c>
      <c r="J103" s="1061">
        <f>IF(I103=0,0,K103/I103)</f>
        <v>500</v>
      </c>
      <c r="K103" s="1064">
        <v>7500</v>
      </c>
      <c r="L103" s="1353">
        <v>19</v>
      </c>
      <c r="M103" s="1061">
        <f>IF(L103=0,0,N103/L103)</f>
        <v>500</v>
      </c>
      <c r="N103" s="1064">
        <v>9500</v>
      </c>
      <c r="O103" s="1353">
        <v>25</v>
      </c>
      <c r="P103" s="1061">
        <f>IF(O103=0,0,Q103/O103)</f>
        <v>500</v>
      </c>
      <c r="Q103" s="1064">
        <v>12500</v>
      </c>
      <c r="R103" s="1353">
        <v>30</v>
      </c>
      <c r="S103" s="1061">
        <f>IF(R103=0,0,T103/R103)</f>
        <v>500</v>
      </c>
      <c r="T103" s="1064">
        <v>15000</v>
      </c>
      <c r="U103" s="1353">
        <v>26</v>
      </c>
      <c r="V103" s="1061">
        <f>IF(U103=0,0,W103/U103)</f>
        <v>500</v>
      </c>
      <c r="W103" s="1064">
        <v>13000</v>
      </c>
      <c r="X103" s="1353">
        <v>22</v>
      </c>
      <c r="Y103" s="1061">
        <f>IF(X103=0,0,Z103/X103)</f>
        <v>500</v>
      </c>
      <c r="Z103" s="1064">
        <v>11000</v>
      </c>
      <c r="AA103" s="1353">
        <v>20</v>
      </c>
      <c r="AB103" s="1061">
        <f>IF(AA103=0,0,AC103/AA103)</f>
        <v>500</v>
      </c>
      <c r="AC103" s="1064">
        <v>10000</v>
      </c>
      <c r="AD103" s="1353">
        <v>23</v>
      </c>
      <c r="AE103" s="1061">
        <f>IF(AD103=0,0,AF103/AD103)</f>
        <v>500</v>
      </c>
      <c r="AF103" s="1064">
        <v>11500</v>
      </c>
      <c r="AG103" s="1353">
        <v>24</v>
      </c>
      <c r="AH103" s="1061">
        <f>IF(AG103=0,0,AI103/AG103)</f>
        <v>500</v>
      </c>
      <c r="AI103" s="1064">
        <v>12000</v>
      </c>
      <c r="AJ103" s="1353">
        <v>23</v>
      </c>
      <c r="AK103" s="1061">
        <f>IF(AJ103=0,0,AL103/AJ103)</f>
        <v>500</v>
      </c>
      <c r="AL103" s="1064">
        <v>11500</v>
      </c>
      <c r="AM103" s="1353">
        <v>14</v>
      </c>
      <c r="AN103" s="1061">
        <f>IF(AM103=0,0,AO103/AM103)</f>
        <v>500</v>
      </c>
      <c r="AO103" s="1064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">
      <c r="A104" s="533" t="str">
        <f t="shared" si="31"/>
        <v>Véhicules usagés</v>
      </c>
      <c r="B104" s="601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">
      <c r="A105" s="533" t="str">
        <f t="shared" si="31"/>
        <v>Véhicules usagésRev. Finances</v>
      </c>
      <c r="B105" s="543" t="s">
        <v>94</v>
      </c>
      <c r="C105" s="1065"/>
      <c r="D105" s="1061">
        <f>IF(C99=0,0,E105/C99)</f>
        <v>350</v>
      </c>
      <c r="E105" s="1062">
        <f>+SUM(H105,K105,N105,Q105,T105,W105,Z105,AC105,AF105,AI105,AL105,AO105)</f>
        <v>87500</v>
      </c>
      <c r="F105" s="1063"/>
      <c r="G105" s="1061">
        <f>IF(F99=0,0,H105/F99)</f>
        <v>350</v>
      </c>
      <c r="H105" s="1064">
        <v>3850</v>
      </c>
      <c r="I105" s="1063"/>
      <c r="J105" s="1061">
        <f>IF(I99=0,0,K105/I99)</f>
        <v>350</v>
      </c>
      <c r="K105" s="1064">
        <v>5250</v>
      </c>
      <c r="L105" s="1063"/>
      <c r="M105" s="1061">
        <f>IF(L99=0,0,N105/L99)</f>
        <v>350</v>
      </c>
      <c r="N105" s="1064">
        <v>6650</v>
      </c>
      <c r="O105" s="1063"/>
      <c r="P105" s="1061">
        <f>IF(O99=0,0,Q105/O99)</f>
        <v>350</v>
      </c>
      <c r="Q105" s="1064">
        <v>8750</v>
      </c>
      <c r="R105" s="1063"/>
      <c r="S105" s="1061">
        <f>IF(R99=0,0,T105/R99)</f>
        <v>350</v>
      </c>
      <c r="T105" s="1064">
        <v>7000</v>
      </c>
      <c r="U105" s="1063"/>
      <c r="V105" s="1061">
        <f>IF(U99=0,0,W105/U99)</f>
        <v>350</v>
      </c>
      <c r="W105" s="1064">
        <v>11200</v>
      </c>
      <c r="X105" s="1063"/>
      <c r="Y105" s="1061">
        <f>IF(X99=0,0,Z105/X99)</f>
        <v>350</v>
      </c>
      <c r="Z105" s="1064">
        <v>8400</v>
      </c>
      <c r="AA105" s="1063"/>
      <c r="AB105" s="1061">
        <f>IF(AA99=0,0,AC105/AA99)</f>
        <v>350</v>
      </c>
      <c r="AC105" s="1064">
        <v>7700</v>
      </c>
      <c r="AD105" s="1063"/>
      <c r="AE105" s="1061">
        <f>IF(AD99=0,0,AF105/AD99)</f>
        <v>350</v>
      </c>
      <c r="AF105" s="1064">
        <v>5600</v>
      </c>
      <c r="AG105" s="1063"/>
      <c r="AH105" s="1061">
        <f>IF(AG99=0,0,AI105/AG99)</f>
        <v>350</v>
      </c>
      <c r="AI105" s="1064">
        <v>9800</v>
      </c>
      <c r="AJ105" s="1063"/>
      <c r="AK105" s="1061">
        <f>IF(AJ99=0,0,AL105/AJ99)</f>
        <v>350</v>
      </c>
      <c r="AL105" s="1064">
        <v>8400</v>
      </c>
      <c r="AM105" s="1063"/>
      <c r="AN105" s="1061">
        <f>IF(AM99=0,0,AO105/AM99)</f>
        <v>350</v>
      </c>
      <c r="AO105" s="1064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">
      <c r="A106" s="533" t="str">
        <f t="shared" si="31"/>
        <v>Véhicules usagésRev. Protections</v>
      </c>
      <c r="B106" s="543" t="s">
        <v>95</v>
      </c>
      <c r="C106" s="1065"/>
      <c r="D106" s="1061">
        <f>IF(C99=0,0,E106/C99)</f>
        <v>950</v>
      </c>
      <c r="E106" s="1062">
        <f>+SUM(H106,K106,N106,Q106,T106,W106,Z106,AC106,AF106,AI106,AL106,AO106)</f>
        <v>237500</v>
      </c>
      <c r="F106" s="1063"/>
      <c r="G106" s="1061">
        <f>IF(F99=0,0,H106/F99)</f>
        <v>950</v>
      </c>
      <c r="H106" s="1064">
        <v>10450</v>
      </c>
      <c r="I106" s="1063"/>
      <c r="J106" s="1061">
        <f>IF(I99=0,0,K106/I99)</f>
        <v>950</v>
      </c>
      <c r="K106" s="1064">
        <v>14250</v>
      </c>
      <c r="L106" s="1063"/>
      <c r="M106" s="1061">
        <f>IF(L99=0,0,N106/L99)</f>
        <v>950</v>
      </c>
      <c r="N106" s="1064">
        <v>18050</v>
      </c>
      <c r="O106" s="1063"/>
      <c r="P106" s="1061">
        <f>IF(O99=0,0,Q106/O99)</f>
        <v>950</v>
      </c>
      <c r="Q106" s="1064">
        <v>23750</v>
      </c>
      <c r="R106" s="1063"/>
      <c r="S106" s="1061">
        <f>IF(R99=0,0,T106/R99)</f>
        <v>950</v>
      </c>
      <c r="T106" s="1064">
        <v>19000</v>
      </c>
      <c r="U106" s="1063"/>
      <c r="V106" s="1061">
        <f>IF(U99=0,0,W106/U99)</f>
        <v>950</v>
      </c>
      <c r="W106" s="1064">
        <v>30400</v>
      </c>
      <c r="X106" s="1063"/>
      <c r="Y106" s="1061">
        <f>IF(X99=0,0,Z106/X99)</f>
        <v>950</v>
      </c>
      <c r="Z106" s="1064">
        <v>22800</v>
      </c>
      <c r="AA106" s="1063"/>
      <c r="AB106" s="1061">
        <f>IF(AA99=0,0,AC106/AA99)</f>
        <v>950</v>
      </c>
      <c r="AC106" s="1064">
        <v>20900</v>
      </c>
      <c r="AD106" s="1063"/>
      <c r="AE106" s="1061">
        <f>IF(AD99=0,0,AF106/AD99)</f>
        <v>950</v>
      </c>
      <c r="AF106" s="1064">
        <v>15200</v>
      </c>
      <c r="AG106" s="1063"/>
      <c r="AH106" s="1061">
        <f>IF(AG99=0,0,AI106/AG99)</f>
        <v>950</v>
      </c>
      <c r="AI106" s="1064">
        <v>26600</v>
      </c>
      <c r="AJ106" s="1063"/>
      <c r="AK106" s="1061">
        <f>IF(AJ99=0,0,AL106/AJ99)</f>
        <v>950</v>
      </c>
      <c r="AL106" s="1064">
        <v>22800</v>
      </c>
      <c r="AM106" s="1063"/>
      <c r="AN106" s="1061">
        <f>IF(AM99=0,0,AO106/AM99)</f>
        <v>950</v>
      </c>
      <c r="AO106" s="1064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">
      <c r="A107" s="533" t="str">
        <f t="shared" si="31"/>
        <v>Véhicules usagésRev. Autres</v>
      </c>
      <c r="B107" s="543" t="s">
        <v>96</v>
      </c>
      <c r="C107" s="1065"/>
      <c r="D107" s="1156">
        <f>IF(C99=0,0,E107/C99)</f>
        <v>200</v>
      </c>
      <c r="E107" s="1062">
        <f>+SUM(H107,K107,N107,Q107,T107,W107,Z107,AC107,AF107,AI107,AL107,AO107)</f>
        <v>50000</v>
      </c>
      <c r="F107" s="1063"/>
      <c r="G107" s="1156">
        <f>IF(F99=0,0,H107/F99)</f>
        <v>200</v>
      </c>
      <c r="H107" s="1064">
        <v>2200</v>
      </c>
      <c r="I107" s="1063"/>
      <c r="J107" s="1156">
        <f>IF(I99=0,0,K107/I99)</f>
        <v>200</v>
      </c>
      <c r="K107" s="1064">
        <v>3000</v>
      </c>
      <c r="L107" s="1063"/>
      <c r="M107" s="1156">
        <f>IF(L99=0,0,N107/L99)</f>
        <v>200</v>
      </c>
      <c r="N107" s="1064">
        <v>3800</v>
      </c>
      <c r="O107" s="1063"/>
      <c r="P107" s="1156">
        <f>IF(O99=0,0,Q107/O99)</f>
        <v>200</v>
      </c>
      <c r="Q107" s="1064">
        <v>5000</v>
      </c>
      <c r="R107" s="1063"/>
      <c r="S107" s="1156">
        <f>IF(R99=0,0,T107/R99)</f>
        <v>200</v>
      </c>
      <c r="T107" s="1064">
        <v>4000</v>
      </c>
      <c r="U107" s="1063"/>
      <c r="V107" s="1156">
        <f>IF(U99=0,0,W107/U99)</f>
        <v>200</v>
      </c>
      <c r="W107" s="1064">
        <v>6400</v>
      </c>
      <c r="X107" s="1063"/>
      <c r="Y107" s="1156">
        <f>IF(X99=0,0,Z107/X99)</f>
        <v>200</v>
      </c>
      <c r="Z107" s="1064">
        <v>4800</v>
      </c>
      <c r="AA107" s="1063"/>
      <c r="AB107" s="1156">
        <f>IF(AA99=0,0,AC107/AA99)</f>
        <v>200</v>
      </c>
      <c r="AC107" s="1064">
        <v>4400</v>
      </c>
      <c r="AD107" s="1063"/>
      <c r="AE107" s="1156">
        <f>IF(AD99=0,0,AF107/AD99)</f>
        <v>200</v>
      </c>
      <c r="AF107" s="1064">
        <v>3200</v>
      </c>
      <c r="AG107" s="1063"/>
      <c r="AH107" s="1156">
        <f>IF(AG99=0,0,AI107/AG99)</f>
        <v>200</v>
      </c>
      <c r="AI107" s="1064">
        <v>5600</v>
      </c>
      <c r="AJ107" s="1063"/>
      <c r="AK107" s="1156">
        <f>IF(AJ99=0,0,AL107/AJ99)</f>
        <v>200</v>
      </c>
      <c r="AL107" s="1064">
        <v>4800</v>
      </c>
      <c r="AM107" s="1063"/>
      <c r="AN107" s="1156">
        <f>IF(AM99=0,0,AO107/AM99)</f>
        <v>200</v>
      </c>
      <c r="AO107" s="1064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">
      <c r="A108" s="533" t="str">
        <f t="shared" si="31"/>
        <v>Véhicules usagésTotal F&amp;I</v>
      </c>
      <c r="B108" s="1354" t="s">
        <v>97</v>
      </c>
      <c r="C108" s="1067">
        <f>C99</f>
        <v>250</v>
      </c>
      <c r="D108" s="1068">
        <f>IF(C108&lt;=0,0,E108/C108)</f>
        <v>1500</v>
      </c>
      <c r="E108" s="1069">
        <f>E105+E106+E107</f>
        <v>375000</v>
      </c>
      <c r="F108" s="1067">
        <f>F99</f>
        <v>11</v>
      </c>
      <c r="G108" s="1068">
        <f>IF(F108&lt;=0,0,H108/F108)</f>
        <v>1500</v>
      </c>
      <c r="H108" s="1069">
        <f>H105+H106+H107</f>
        <v>16500</v>
      </c>
      <c r="I108" s="1067">
        <f>I99</f>
        <v>15</v>
      </c>
      <c r="J108" s="1068">
        <f>IF(I108&lt;=0,0,K108/I108)</f>
        <v>1500</v>
      </c>
      <c r="K108" s="1069">
        <f>K105+K106+K107</f>
        <v>22500</v>
      </c>
      <c r="L108" s="1067">
        <f>L99</f>
        <v>19</v>
      </c>
      <c r="M108" s="1068">
        <f>IF(L108&lt;=0,0,N108/L108)</f>
        <v>1500</v>
      </c>
      <c r="N108" s="1069">
        <f>N105+N106+N107</f>
        <v>28500</v>
      </c>
      <c r="O108" s="1067">
        <f>O99</f>
        <v>25</v>
      </c>
      <c r="P108" s="1068">
        <f>IF(O108&lt;=0,0,Q108/O108)</f>
        <v>1500</v>
      </c>
      <c r="Q108" s="1069">
        <f>Q105+Q106+Q107</f>
        <v>37500</v>
      </c>
      <c r="R108" s="1067">
        <f>R99</f>
        <v>20</v>
      </c>
      <c r="S108" s="1068">
        <f>IF(R108&lt;=0,0,T108/R108)</f>
        <v>1500</v>
      </c>
      <c r="T108" s="1069">
        <f>T105+T106+T107</f>
        <v>30000</v>
      </c>
      <c r="U108" s="1067">
        <f>U99</f>
        <v>32</v>
      </c>
      <c r="V108" s="1068">
        <f>IF(U108&lt;=0,0,W108/U108)</f>
        <v>1500</v>
      </c>
      <c r="W108" s="1069">
        <f>W105+W106+W107</f>
        <v>48000</v>
      </c>
      <c r="X108" s="1067">
        <f>X99</f>
        <v>24</v>
      </c>
      <c r="Y108" s="1068">
        <f>IF(X108&lt;=0,0,Z108/X108)</f>
        <v>1500</v>
      </c>
      <c r="Z108" s="1069">
        <f>Z105+Z106+Z107</f>
        <v>36000</v>
      </c>
      <c r="AA108" s="1067">
        <f>AA99</f>
        <v>22</v>
      </c>
      <c r="AB108" s="1068">
        <f>IF(AA108&lt;=0,0,AC108/AA108)</f>
        <v>1500</v>
      </c>
      <c r="AC108" s="1069">
        <f>AC105+AC106+AC107</f>
        <v>33000</v>
      </c>
      <c r="AD108" s="1067">
        <f>AD99</f>
        <v>16</v>
      </c>
      <c r="AE108" s="1068">
        <f>IF(AD108&lt;=0,0,AF108/AD108)</f>
        <v>1500</v>
      </c>
      <c r="AF108" s="1069">
        <f>AF105+AF106+AF107</f>
        <v>24000</v>
      </c>
      <c r="AG108" s="1067">
        <f>AG99</f>
        <v>28</v>
      </c>
      <c r="AH108" s="1068">
        <f>IF(AG108&lt;=0,0,AI108/AG108)</f>
        <v>1500</v>
      </c>
      <c r="AI108" s="1069">
        <f>AI105+AI106+AI107</f>
        <v>42000</v>
      </c>
      <c r="AJ108" s="1067">
        <f>AJ99</f>
        <v>24</v>
      </c>
      <c r="AK108" s="1068">
        <f>IF(AJ108&lt;=0,0,AL108/AJ108)</f>
        <v>1500</v>
      </c>
      <c r="AL108" s="1069">
        <f>AL105+AL106+AL107</f>
        <v>36000</v>
      </c>
      <c r="AM108" s="1067">
        <f>AM99</f>
        <v>14</v>
      </c>
      <c r="AN108" s="1068">
        <f>IF(AM108&lt;=0,0,AO108/AM108)</f>
        <v>1500</v>
      </c>
      <c r="AO108" s="1069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">
      <c r="A109" s="533" t="str">
        <f t="shared" si="31"/>
        <v>Véhicules usagés</v>
      </c>
      <c r="B109" s="5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2">
        <f>C99+C103</f>
        <v>500</v>
      </c>
      <c r="D111" s="1083">
        <f>IF(C111&lt;=0,0,E111/C111)</f>
        <v>2052.36</v>
      </c>
      <c r="E111" s="1084">
        <f>E99+E108+E103+E101</f>
        <v>1026180</v>
      </c>
      <c r="F111" s="1082">
        <f>F99+F103</f>
        <v>20</v>
      </c>
      <c r="G111" s="1083">
        <f>IF(F111&lt;=0,0,H111/F111)</f>
        <v>2273.6313983639388</v>
      </c>
      <c r="H111" s="1084">
        <f>H99+H108+H103+H101</f>
        <v>45472.627967278779</v>
      </c>
      <c r="I111" s="1082">
        <f>I99+I103</f>
        <v>30</v>
      </c>
      <c r="J111" s="1083">
        <f>IF(I111&lt;=0,0,K111/I111)</f>
        <v>2030.9903562861118</v>
      </c>
      <c r="K111" s="1084">
        <f>K99+K108+K103+K101</f>
        <v>60929.710688583356</v>
      </c>
      <c r="L111" s="1082">
        <f>L99+L103</f>
        <v>38</v>
      </c>
      <c r="M111" s="1083">
        <f>IF(L111&lt;=0,0,N111/L111)</f>
        <v>2071.4907563415336</v>
      </c>
      <c r="N111" s="1084">
        <f>N99+N108+N103+N101</f>
        <v>78716.648740978271</v>
      </c>
      <c r="O111" s="1082">
        <f>O99+O103</f>
        <v>50</v>
      </c>
      <c r="P111" s="1083">
        <f>IF(O111&lt;=0,0,Q111/O111)</f>
        <v>2055.7664639659824</v>
      </c>
      <c r="Q111" s="1084">
        <f>Q99+Q108+Q103+Q101</f>
        <v>102788.32319829913</v>
      </c>
      <c r="R111" s="1082">
        <f>R99+R103</f>
        <v>50</v>
      </c>
      <c r="S111" s="1083">
        <f>IF(R111&lt;=0,0,T111/R111)</f>
        <v>1766.6949446655481</v>
      </c>
      <c r="T111" s="1084">
        <f>T99+T108+T103+T101</f>
        <v>88334.747233277405</v>
      </c>
      <c r="U111" s="1082">
        <f>U99+U103</f>
        <v>58</v>
      </c>
      <c r="V111" s="1083">
        <f>IF(U111&lt;=0,0,W111/U111)</f>
        <v>2191.548685329999</v>
      </c>
      <c r="W111" s="1084">
        <f>W99+W108+W103+W101</f>
        <v>127109.82374913995</v>
      </c>
      <c r="X111" s="1082">
        <f>X99+X103</f>
        <v>46</v>
      </c>
      <c r="Y111" s="1083">
        <f>IF(X111&lt;=0,0,Z111/X111)</f>
        <v>2115.2673003774908</v>
      </c>
      <c r="Z111" s="1084">
        <f>Z99+Z108+Z103+Z101</f>
        <v>97302.295817364575</v>
      </c>
      <c r="AA111" s="1082">
        <f>AA99+AA103</f>
        <v>42</v>
      </c>
      <c r="AB111" s="1083">
        <f>IF(AA111&lt;=0,0,AC111/AA111)</f>
        <v>2161.5920709125403</v>
      </c>
      <c r="AC111" s="1084">
        <f>AC99+AC108+AC103+AC101</f>
        <v>90786.866978326696</v>
      </c>
      <c r="AD111" s="1082">
        <f>AD99+AD103</f>
        <v>39</v>
      </c>
      <c r="AE111" s="1083">
        <f>IF(AD111&lt;=0,0,AF111/AD111)</f>
        <v>1773.6965908043644</v>
      </c>
      <c r="AF111" s="1084">
        <f>AF99+AF108+AF103+AF101</f>
        <v>69174.167041370209</v>
      </c>
      <c r="AG111" s="1082">
        <f>AG99+AG103</f>
        <v>52</v>
      </c>
      <c r="AH111" s="1083">
        <f>IF(AG111&lt;=0,0,AI111/AG111)</f>
        <v>2158.6301142135962</v>
      </c>
      <c r="AI111" s="1084">
        <f>AI99+AI108+AI103+AI101</f>
        <v>112248.765939107</v>
      </c>
      <c r="AJ111" s="1082">
        <f>AJ99+AJ103</f>
        <v>47</v>
      </c>
      <c r="AK111" s="1083">
        <f>IF(AJ111&lt;=0,0,AL111/AJ111)</f>
        <v>2055.9712205777078</v>
      </c>
      <c r="AL111" s="1084">
        <f>AL99+AL108+AL103+AL101</f>
        <v>96630.647367152269</v>
      </c>
      <c r="AM111" s="1082">
        <f>AM99+AM103</f>
        <v>28</v>
      </c>
      <c r="AN111" s="1083">
        <f>IF(AM111&lt;=0,0,AO111/AM111)</f>
        <v>2024.4776885400847</v>
      </c>
      <c r="AO111" s="1084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88"/>
      <c r="E112" s="1089"/>
      <c r="F112" s="598"/>
      <c r="G112" s="1088"/>
      <c r="H112" s="1089"/>
      <c r="I112" s="598"/>
      <c r="J112" s="1088"/>
      <c r="K112" s="1089"/>
      <c r="L112" s="598"/>
      <c r="M112" s="1088"/>
      <c r="N112" s="1089"/>
      <c r="O112" s="598"/>
      <c r="P112" s="1088"/>
      <c r="Q112" s="1089"/>
      <c r="R112" s="598"/>
      <c r="S112" s="1088"/>
      <c r="T112" s="1089"/>
      <c r="U112" s="598"/>
      <c r="V112" s="1088"/>
      <c r="W112" s="1089"/>
      <c r="X112" s="598"/>
      <c r="Y112" s="1088"/>
      <c r="Z112" s="1089"/>
      <c r="AA112" s="598"/>
      <c r="AB112" s="1088"/>
      <c r="AC112" s="1089"/>
      <c r="AD112" s="598"/>
      <c r="AE112" s="1088"/>
      <c r="AF112" s="1089"/>
      <c r="AG112" s="598"/>
      <c r="AH112" s="1088"/>
      <c r="AI112" s="1089"/>
      <c r="AJ112" s="598"/>
      <c r="AK112" s="1088"/>
      <c r="AL112" s="1089"/>
      <c r="AM112" s="598"/>
      <c r="AN112" s="1088"/>
      <c r="AO112" s="1089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">
      <c r="A114" s="533" t="str">
        <f t="shared" si="31"/>
        <v>Véhicules usagésDEPENSES</v>
      </c>
      <c r="B114" s="600" t="s">
        <v>99</v>
      </c>
      <c r="C114" s="543"/>
      <c r="D114" s="1097"/>
      <c r="E114" s="1070"/>
      <c r="F114" s="543"/>
      <c r="G114" s="1097"/>
      <c r="H114" s="1070"/>
      <c r="I114" s="543"/>
      <c r="J114" s="1097"/>
      <c r="K114" s="1070"/>
      <c r="L114" s="543"/>
      <c r="M114" s="1097"/>
      <c r="N114" s="1070"/>
      <c r="O114" s="543"/>
      <c r="P114" s="1097"/>
      <c r="Q114" s="1070"/>
      <c r="R114" s="543"/>
      <c r="S114" s="1097"/>
      <c r="T114" s="1070"/>
      <c r="U114" s="543"/>
      <c r="V114" s="1097"/>
      <c r="W114" s="1070"/>
      <c r="X114" s="543"/>
      <c r="Y114" s="1097"/>
      <c r="Z114" s="1070"/>
      <c r="AA114" s="543"/>
      <c r="AB114" s="1097"/>
      <c r="AC114" s="1070"/>
      <c r="AD114" s="543"/>
      <c r="AE114" s="1097"/>
      <c r="AF114" s="1070"/>
      <c r="AG114" s="543"/>
      <c r="AH114" s="1097"/>
      <c r="AI114" s="1070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">
      <c r="A115" s="533" t="str">
        <f t="shared" si="31"/>
        <v>Véhicules usagésComm. vendeurs</v>
      </c>
      <c r="B115" s="543" t="s">
        <v>100</v>
      </c>
      <c r="C115" s="1098">
        <f>E115/E99</f>
        <v>0.34481035163966811</v>
      </c>
      <c r="D115" s="1099">
        <f t="shared" ref="D115" si="56">IF(C$99=0,0,E115/(C$99))</f>
        <v>698.17200000000003</v>
      </c>
      <c r="E115" s="1080">
        <f t="shared" ref="E115:E155" si="57">+SUM(H115,K115,N115,Q115,T115,W115,Z115,AC115,AF115,AI115,AL115,AO115)</f>
        <v>174543</v>
      </c>
      <c r="F115" s="543"/>
      <c r="G115" s="1099">
        <f>IF(F$99=0,0,H115/(F$99))</f>
        <v>816.34377389931751</v>
      </c>
      <c r="H115" s="1101">
        <v>8979.7815128924922</v>
      </c>
      <c r="I115" s="543"/>
      <c r="J115" s="1099">
        <f>IF(I$99=0,0,K115/(I$99))</f>
        <v>707.98151275352859</v>
      </c>
      <c r="K115" s="1101">
        <v>10619.722691302928</v>
      </c>
      <c r="L115" s="543"/>
      <c r="M115" s="1099">
        <f>IF(L$99=0,0,N115/(L$99))</f>
        <v>718.77824770091399</v>
      </c>
      <c r="N115" s="1101">
        <v>13656.786706317365</v>
      </c>
      <c r="O115" s="543"/>
      <c r="P115" s="1099">
        <f>IF(O$99=0,0,Q115/(O$99))</f>
        <v>685.54821282590319</v>
      </c>
      <c r="Q115" s="1101">
        <v>17138.705320647579</v>
      </c>
      <c r="R115" s="543"/>
      <c r="S115" s="1099">
        <f>IF(R$99=0,0,T115/(R$99))</f>
        <v>714.20732892171475</v>
      </c>
      <c r="T115" s="1101">
        <v>14284.146578434294</v>
      </c>
      <c r="U115" s="543"/>
      <c r="V115" s="1099">
        <f>IF(U$99=0,0,W115/(U$99))</f>
        <v>657.15876432368077</v>
      </c>
      <c r="W115" s="1101">
        <v>21029.080458357785</v>
      </c>
      <c r="X115" s="543"/>
      <c r="Y115" s="1099">
        <f>IF(X$99=0,0,Z115/(X$99))</f>
        <v>687.84846776549148</v>
      </c>
      <c r="Z115" s="1101">
        <v>16508.363226371795</v>
      </c>
      <c r="AA115" s="543"/>
      <c r="AB115" s="1099">
        <f>IF(AA$99=0,0,AC115/(AA$99))</f>
        <v>708.59893248620983</v>
      </c>
      <c r="AC115" s="1101">
        <v>15589.176514696615</v>
      </c>
      <c r="AD115" s="543"/>
      <c r="AE115" s="1099">
        <f>IF(AD$99=0,0,AF115/(AD$99))</f>
        <v>728.01039258845935</v>
      </c>
      <c r="AF115" s="1101">
        <v>11648.16628141535</v>
      </c>
      <c r="AG115" s="543"/>
      <c r="AH115" s="1099">
        <f>IF(AG$99=0,0,AI115/(AG$99))</f>
        <v>669.70771449462677</v>
      </c>
      <c r="AI115" s="1101">
        <v>18751.816005849549</v>
      </c>
      <c r="AJ115" s="543"/>
      <c r="AK115" s="1099">
        <f>IF(AJ$99=0,0,AL115/(AJ$99))</f>
        <v>668.38006716262544</v>
      </c>
      <c r="AL115" s="1101">
        <v>16041.12161190301</v>
      </c>
      <c r="AM115" s="543"/>
      <c r="AN115" s="1099">
        <f>IF(AM$99=0,0,AO115/(AM$99))</f>
        <v>735.43807798651756</v>
      </c>
      <c r="AO115" s="1101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">
      <c r="A116" s="533" t="str">
        <f t="shared" si="31"/>
        <v>Véhicules usagésComm. F&amp;I</v>
      </c>
      <c r="B116" s="601" t="s">
        <v>101</v>
      </c>
      <c r="C116" s="1102">
        <f>E116/E108</f>
        <v>0.27</v>
      </c>
      <c r="D116" s="1030">
        <f>IF(C$99=0,0,E116/(C$99))</f>
        <v>405</v>
      </c>
      <c r="E116" s="1103">
        <f t="shared" si="57"/>
        <v>101250</v>
      </c>
      <c r="F116" s="601"/>
      <c r="G116" s="1030">
        <f t="shared" ref="G116:G121" si="58">IF(F$99=0,0,H116/(F$99))</f>
        <v>405</v>
      </c>
      <c r="H116" s="1105">
        <v>4455</v>
      </c>
      <c r="I116" s="601"/>
      <c r="J116" s="1030">
        <f t="shared" ref="J116:J121" si="59">IF(I$99=0,0,K116/(I$99))</f>
        <v>405</v>
      </c>
      <c r="K116" s="1105">
        <v>6075</v>
      </c>
      <c r="L116" s="601"/>
      <c r="M116" s="1030">
        <f t="shared" ref="M116:M121" si="60">IF(L$99=0,0,N116/(L$99))</f>
        <v>405</v>
      </c>
      <c r="N116" s="1105">
        <v>7695</v>
      </c>
      <c r="O116" s="601"/>
      <c r="P116" s="1030">
        <f t="shared" ref="P116:P121" si="61">IF(O$99=0,0,Q116/(O$99))</f>
        <v>405</v>
      </c>
      <c r="Q116" s="1105">
        <v>10125</v>
      </c>
      <c r="R116" s="601"/>
      <c r="S116" s="1030">
        <f t="shared" ref="S116:S121" si="62">IF(R$99=0,0,T116/(R$99))</f>
        <v>405</v>
      </c>
      <c r="T116" s="1105">
        <v>8100</v>
      </c>
      <c r="U116" s="601"/>
      <c r="V116" s="1030">
        <f t="shared" ref="V116:V121" si="63">IF(U$99=0,0,W116/(U$99))</f>
        <v>405</v>
      </c>
      <c r="W116" s="1105">
        <v>12960</v>
      </c>
      <c r="X116" s="601"/>
      <c r="Y116" s="1030">
        <f t="shared" ref="Y116:Y121" si="64">IF(X$99=0,0,Z116/(X$99))</f>
        <v>405</v>
      </c>
      <c r="Z116" s="1105">
        <v>9720</v>
      </c>
      <c r="AA116" s="601"/>
      <c r="AB116" s="1030">
        <f t="shared" ref="AB116:AB121" si="65">IF(AA$99=0,0,AC116/(AA$99))</f>
        <v>405</v>
      </c>
      <c r="AC116" s="1105">
        <v>8910</v>
      </c>
      <c r="AD116" s="601"/>
      <c r="AE116" s="1030">
        <f t="shared" ref="AE116:AE121" si="66">IF(AD$99=0,0,AF116/(AD$99))</f>
        <v>405</v>
      </c>
      <c r="AF116" s="1105">
        <v>6480</v>
      </c>
      <c r="AG116" s="601"/>
      <c r="AH116" s="1030">
        <f t="shared" ref="AH116:AH121" si="67">IF(AG$99=0,0,AI116/(AG$99))</f>
        <v>405</v>
      </c>
      <c r="AI116" s="1105">
        <v>11340</v>
      </c>
      <c r="AJ116" s="601"/>
      <c r="AK116" s="1030">
        <f t="shared" ref="AK116:AK121" si="68">IF(AJ$99=0,0,AL116/(AJ$99))</f>
        <v>405</v>
      </c>
      <c r="AL116" s="1105">
        <v>9720</v>
      </c>
      <c r="AM116" s="601"/>
      <c r="AN116" s="1030">
        <f t="shared" ref="AN116:AN121" si="69">IF(AM$99=0,0,AO116/(AM$99))</f>
        <v>405</v>
      </c>
      <c r="AO116" s="1105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">
      <c r="A117" s="533" t="str">
        <f t="shared" si="31"/>
        <v>Véhicules usagésFrais de livraison</v>
      </c>
      <c r="B117" s="543" t="s">
        <v>102</v>
      </c>
      <c r="C117" s="543"/>
      <c r="D117" s="1099">
        <f t="shared" ref="D117:D121" si="70">IF(C$99=0,0,E117/(C$99))</f>
        <v>85</v>
      </c>
      <c r="E117" s="1080">
        <f t="shared" si="57"/>
        <v>21250</v>
      </c>
      <c r="F117" s="543"/>
      <c r="G117" s="1099">
        <f t="shared" si="58"/>
        <v>85</v>
      </c>
      <c r="H117" s="1101">
        <v>935</v>
      </c>
      <c r="I117" s="543"/>
      <c r="J117" s="1099">
        <f t="shared" si="59"/>
        <v>85</v>
      </c>
      <c r="K117" s="1101">
        <v>1275</v>
      </c>
      <c r="L117" s="543"/>
      <c r="M117" s="1099">
        <f t="shared" si="60"/>
        <v>85</v>
      </c>
      <c r="N117" s="1101">
        <v>1615</v>
      </c>
      <c r="O117" s="543"/>
      <c r="P117" s="1099">
        <f t="shared" si="61"/>
        <v>85</v>
      </c>
      <c r="Q117" s="1101">
        <v>2125</v>
      </c>
      <c r="R117" s="543"/>
      <c r="S117" s="1099">
        <f t="shared" si="62"/>
        <v>85</v>
      </c>
      <c r="T117" s="1101">
        <v>1700</v>
      </c>
      <c r="U117" s="543"/>
      <c r="V117" s="1099">
        <f t="shared" si="63"/>
        <v>85</v>
      </c>
      <c r="W117" s="1101">
        <v>2720</v>
      </c>
      <c r="X117" s="543"/>
      <c r="Y117" s="1099">
        <f t="shared" si="64"/>
        <v>85</v>
      </c>
      <c r="Z117" s="1101">
        <v>2040</v>
      </c>
      <c r="AA117" s="543"/>
      <c r="AB117" s="1099">
        <f t="shared" si="65"/>
        <v>85</v>
      </c>
      <c r="AC117" s="1101">
        <v>1870</v>
      </c>
      <c r="AD117" s="543"/>
      <c r="AE117" s="1099">
        <f t="shared" si="66"/>
        <v>85</v>
      </c>
      <c r="AF117" s="1101">
        <v>1360</v>
      </c>
      <c r="AG117" s="543"/>
      <c r="AH117" s="1099">
        <f t="shared" si="67"/>
        <v>85</v>
      </c>
      <c r="AI117" s="1101">
        <v>2380</v>
      </c>
      <c r="AJ117" s="543"/>
      <c r="AK117" s="1099">
        <f t="shared" si="68"/>
        <v>85</v>
      </c>
      <c r="AL117" s="1101">
        <v>2040</v>
      </c>
      <c r="AM117" s="543"/>
      <c r="AN117" s="1099">
        <f t="shared" si="69"/>
        <v>85</v>
      </c>
      <c r="AO117" s="1101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">
      <c r="A118" s="533" t="str">
        <f t="shared" si="31"/>
        <v>Véhicules usagésService gratuit 1</v>
      </c>
      <c r="B118" s="543" t="s">
        <v>103</v>
      </c>
      <c r="C118" s="543"/>
      <c r="D118" s="1099">
        <f t="shared" si="70"/>
        <v>80</v>
      </c>
      <c r="E118" s="1080">
        <f t="shared" si="57"/>
        <v>20000</v>
      </c>
      <c r="F118" s="543"/>
      <c r="G118" s="1099">
        <f t="shared" si="58"/>
        <v>80</v>
      </c>
      <c r="H118" s="1101">
        <v>880</v>
      </c>
      <c r="I118" s="543"/>
      <c r="J118" s="1099">
        <f t="shared" si="59"/>
        <v>80</v>
      </c>
      <c r="K118" s="1101">
        <v>1200</v>
      </c>
      <c r="L118" s="543"/>
      <c r="M118" s="1099">
        <f t="shared" si="60"/>
        <v>80</v>
      </c>
      <c r="N118" s="1101">
        <v>1520</v>
      </c>
      <c r="O118" s="543"/>
      <c r="P118" s="1099">
        <f t="shared" si="61"/>
        <v>80</v>
      </c>
      <c r="Q118" s="1101">
        <v>2000</v>
      </c>
      <c r="R118" s="543"/>
      <c r="S118" s="1099">
        <f t="shared" si="62"/>
        <v>80</v>
      </c>
      <c r="T118" s="1101">
        <v>1600</v>
      </c>
      <c r="U118" s="543"/>
      <c r="V118" s="1099">
        <f t="shared" si="63"/>
        <v>80</v>
      </c>
      <c r="W118" s="1101">
        <v>2560</v>
      </c>
      <c r="X118" s="543"/>
      <c r="Y118" s="1099">
        <f t="shared" si="64"/>
        <v>80</v>
      </c>
      <c r="Z118" s="1101">
        <v>1920</v>
      </c>
      <c r="AA118" s="543"/>
      <c r="AB118" s="1099">
        <f t="shared" si="65"/>
        <v>80</v>
      </c>
      <c r="AC118" s="1101">
        <v>1760</v>
      </c>
      <c r="AD118" s="543"/>
      <c r="AE118" s="1099">
        <f t="shared" si="66"/>
        <v>80</v>
      </c>
      <c r="AF118" s="1101">
        <v>1280</v>
      </c>
      <c r="AG118" s="543"/>
      <c r="AH118" s="1099">
        <f t="shared" si="67"/>
        <v>80</v>
      </c>
      <c r="AI118" s="1101">
        <v>2240</v>
      </c>
      <c r="AJ118" s="543"/>
      <c r="AK118" s="1099">
        <f t="shared" si="68"/>
        <v>80</v>
      </c>
      <c r="AL118" s="1101">
        <v>1920</v>
      </c>
      <c r="AM118" s="543"/>
      <c r="AN118" s="1099">
        <f t="shared" si="69"/>
        <v>80</v>
      </c>
      <c r="AO118" s="1101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">
      <c r="A119" s="533" t="str">
        <f t="shared" si="31"/>
        <v>Véhicules usagésEntretien stock</v>
      </c>
      <c r="B119" s="601" t="s">
        <v>104</v>
      </c>
      <c r="C119" s="601"/>
      <c r="D119" s="1030">
        <f t="shared" si="70"/>
        <v>48.4</v>
      </c>
      <c r="E119" s="1103">
        <f t="shared" si="57"/>
        <v>12100</v>
      </c>
      <c r="F119" s="601"/>
      <c r="G119" s="1030">
        <f t="shared" si="58"/>
        <v>55.909090909090907</v>
      </c>
      <c r="H119" s="1105">
        <v>615</v>
      </c>
      <c r="I119" s="601"/>
      <c r="J119" s="1030">
        <f t="shared" si="59"/>
        <v>51.666666666666664</v>
      </c>
      <c r="K119" s="1105">
        <v>775</v>
      </c>
      <c r="L119" s="601"/>
      <c r="M119" s="1030">
        <f t="shared" si="60"/>
        <v>49.210526315789473</v>
      </c>
      <c r="N119" s="1105">
        <v>935</v>
      </c>
      <c r="O119" s="601"/>
      <c r="P119" s="1030">
        <f t="shared" si="61"/>
        <v>47</v>
      </c>
      <c r="Q119" s="1105">
        <v>1175</v>
      </c>
      <c r="R119" s="601"/>
      <c r="S119" s="1030">
        <f t="shared" si="62"/>
        <v>48.75</v>
      </c>
      <c r="T119" s="1105">
        <v>975</v>
      </c>
      <c r="U119" s="601"/>
      <c r="V119" s="1030">
        <f t="shared" si="63"/>
        <v>45.46875</v>
      </c>
      <c r="W119" s="1105">
        <v>1455</v>
      </c>
      <c r="X119" s="601"/>
      <c r="Y119" s="1030">
        <f t="shared" si="64"/>
        <v>47.291666666666664</v>
      </c>
      <c r="Z119" s="1105">
        <v>1135</v>
      </c>
      <c r="AA119" s="601"/>
      <c r="AB119" s="1030">
        <f t="shared" si="65"/>
        <v>47.954545454545453</v>
      </c>
      <c r="AC119" s="1105">
        <v>1055</v>
      </c>
      <c r="AD119" s="601"/>
      <c r="AE119" s="1030">
        <f t="shared" si="66"/>
        <v>50.9375</v>
      </c>
      <c r="AF119" s="1105">
        <v>815</v>
      </c>
      <c r="AG119" s="601"/>
      <c r="AH119" s="1030">
        <f t="shared" si="67"/>
        <v>46.25</v>
      </c>
      <c r="AI119" s="1105">
        <v>1295</v>
      </c>
      <c r="AJ119" s="601"/>
      <c r="AK119" s="1030">
        <f t="shared" si="68"/>
        <v>47.291666666666664</v>
      </c>
      <c r="AL119" s="1105">
        <v>1135</v>
      </c>
      <c r="AM119" s="601"/>
      <c r="AN119" s="1030">
        <f t="shared" si="69"/>
        <v>52.5</v>
      </c>
      <c r="AO119" s="1105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">
      <c r="A120" s="533" t="str">
        <f t="shared" si="31"/>
        <v>Véhicules usagésPublicité 1</v>
      </c>
      <c r="B120" s="543" t="s">
        <v>105</v>
      </c>
      <c r="C120" s="543"/>
      <c r="D120" s="1099">
        <f t="shared" si="70"/>
        <v>50.04</v>
      </c>
      <c r="E120" s="1080">
        <f t="shared" si="57"/>
        <v>12510</v>
      </c>
      <c r="F120" s="543"/>
      <c r="G120" s="1099">
        <f t="shared" si="58"/>
        <v>175.22727272727272</v>
      </c>
      <c r="H120" s="1101">
        <v>1927.5</v>
      </c>
      <c r="I120" s="543"/>
      <c r="J120" s="1099">
        <f t="shared" si="59"/>
        <v>104.5</v>
      </c>
      <c r="K120" s="1101">
        <v>1567.5</v>
      </c>
      <c r="L120" s="543"/>
      <c r="M120" s="1099">
        <f t="shared" si="60"/>
        <v>63.55263157894737</v>
      </c>
      <c r="N120" s="1101">
        <v>1207.5</v>
      </c>
      <c r="O120" s="543"/>
      <c r="P120" s="1099">
        <f t="shared" si="61"/>
        <v>26.7</v>
      </c>
      <c r="Q120" s="1101">
        <v>667.5</v>
      </c>
      <c r="R120" s="543"/>
      <c r="S120" s="1099">
        <f t="shared" si="62"/>
        <v>55.875</v>
      </c>
      <c r="T120" s="1101">
        <v>1117.5</v>
      </c>
      <c r="U120" s="543"/>
      <c r="V120" s="1099">
        <f t="shared" si="63"/>
        <v>1.171875</v>
      </c>
      <c r="W120" s="1101">
        <v>37.5</v>
      </c>
      <c r="X120" s="543"/>
      <c r="Y120" s="1099">
        <f t="shared" si="64"/>
        <v>31.5625</v>
      </c>
      <c r="Z120" s="1101">
        <v>757.5</v>
      </c>
      <c r="AA120" s="543"/>
      <c r="AB120" s="1099">
        <f t="shared" si="65"/>
        <v>42.613636363636367</v>
      </c>
      <c r="AC120" s="1101">
        <v>937.5</v>
      </c>
      <c r="AD120" s="543"/>
      <c r="AE120" s="1099">
        <f t="shared" si="66"/>
        <v>92.34375</v>
      </c>
      <c r="AF120" s="1101">
        <v>1477.5</v>
      </c>
      <c r="AG120" s="543"/>
      <c r="AH120" s="1099">
        <f t="shared" si="67"/>
        <v>14.196428571428571</v>
      </c>
      <c r="AI120" s="1101">
        <v>397.5</v>
      </c>
      <c r="AJ120" s="543"/>
      <c r="AK120" s="1099">
        <f t="shared" si="68"/>
        <v>31.5625</v>
      </c>
      <c r="AL120" s="1101">
        <v>757.5</v>
      </c>
      <c r="AM120" s="543"/>
      <c r="AN120" s="1099">
        <f t="shared" si="69"/>
        <v>118.39285714285714</v>
      </c>
      <c r="AO120" s="1101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">
      <c r="A121" s="533" t="str">
        <f t="shared" si="31"/>
        <v>Véhicules usagésIntérêt de gros</v>
      </c>
      <c r="B121" s="543" t="s">
        <v>106</v>
      </c>
      <c r="C121" s="543"/>
      <c r="D121" s="1099">
        <f t="shared" si="70"/>
        <v>346.09425438688521</v>
      </c>
      <c r="E121" s="1080">
        <f t="shared" si="57"/>
        <v>86523.563596721302</v>
      </c>
      <c r="F121" s="543"/>
      <c r="G121" s="1099">
        <f t="shared" si="58"/>
        <v>561.51786706408348</v>
      </c>
      <c r="H121" s="1101">
        <v>6176.6965377049182</v>
      </c>
      <c r="I121" s="543"/>
      <c r="J121" s="1099">
        <f t="shared" si="59"/>
        <v>421.90031650273221</v>
      </c>
      <c r="K121" s="1101">
        <v>6328.5047475409829</v>
      </c>
      <c r="L121" s="543"/>
      <c r="M121" s="1099">
        <f t="shared" si="60"/>
        <v>394.75128248490068</v>
      </c>
      <c r="N121" s="1101">
        <v>7500.2743672131128</v>
      </c>
      <c r="O121" s="543"/>
      <c r="P121" s="1099">
        <f t="shared" si="61"/>
        <v>293.1796052459016</v>
      </c>
      <c r="Q121" s="1101">
        <v>7329.4901311475405</v>
      </c>
      <c r="R121" s="543"/>
      <c r="S121" s="1099">
        <f t="shared" si="62"/>
        <v>404.42655901639347</v>
      </c>
      <c r="T121" s="1101">
        <v>8088.5311803278692</v>
      </c>
      <c r="U121" s="543"/>
      <c r="V121" s="1099">
        <f t="shared" si="63"/>
        <v>253.50785040983601</v>
      </c>
      <c r="W121" s="1101">
        <v>8112.2512131147523</v>
      </c>
      <c r="X121" s="543"/>
      <c r="Y121" s="1099">
        <f t="shared" si="64"/>
        <v>318.63910710382504</v>
      </c>
      <c r="Z121" s="1101">
        <v>7647.338570491801</v>
      </c>
      <c r="AA121" s="543"/>
      <c r="AB121" s="1099">
        <f t="shared" si="65"/>
        <v>320.86735260804755</v>
      </c>
      <c r="AC121" s="1101">
        <v>7059.0817573770464</v>
      </c>
      <c r="AD121" s="543"/>
      <c r="AE121" s="1099">
        <f t="shared" si="66"/>
        <v>453.64562704918023</v>
      </c>
      <c r="AF121" s="1101">
        <v>7258.3300327868837</v>
      </c>
      <c r="AG121" s="543"/>
      <c r="AH121" s="1099">
        <f t="shared" si="67"/>
        <v>288.87611358313819</v>
      </c>
      <c r="AI121" s="1101">
        <v>8088.5311803278692</v>
      </c>
      <c r="AJ121" s="543"/>
      <c r="AK121" s="1099">
        <f t="shared" si="68"/>
        <v>284.64039344262284</v>
      </c>
      <c r="AL121" s="1101">
        <v>6831.3694426229486</v>
      </c>
      <c r="AM121" s="543"/>
      <c r="AN121" s="1099">
        <f t="shared" si="69"/>
        <v>435.94031686182672</v>
      </c>
      <c r="AO121" s="1101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0"/>
      <c r="D122" s="1099">
        <f t="shared" ref="D122:D124" si="71">IF(C$99=0,0,E122/(C$96+C$97))</f>
        <v>0</v>
      </c>
      <c r="E122" s="1080">
        <f t="shared" si="57"/>
        <v>0</v>
      </c>
      <c r="F122" s="1160"/>
      <c r="G122" s="1099">
        <f t="shared" ref="G122:G124" si="72">IF(F$99=0,0,H122/(F$96+F$97))</f>
        <v>0</v>
      </c>
      <c r="H122" s="1080"/>
      <c r="I122" s="1160"/>
      <c r="J122" s="1099">
        <f t="shared" ref="J122:J124" si="73">IF(I$99=0,0,K122/(I$96+I$97))</f>
        <v>0</v>
      </c>
      <c r="K122" s="1080"/>
      <c r="L122" s="1160"/>
      <c r="M122" s="1099">
        <f t="shared" ref="M122:M124" si="74">IF(L$99=0,0,N122/(L$96+L$97))</f>
        <v>0</v>
      </c>
      <c r="N122" s="1080"/>
      <c r="O122" s="1160"/>
      <c r="P122" s="1099">
        <f t="shared" ref="P122:P124" si="75">IF(O$99=0,0,Q122/(O$96+O$97))</f>
        <v>0</v>
      </c>
      <c r="Q122" s="1080"/>
      <c r="R122" s="1160"/>
      <c r="S122" s="1099">
        <f t="shared" ref="S122:S124" si="76">IF(R$99=0,0,T122/(R$96+R$97))</f>
        <v>0</v>
      </c>
      <c r="T122" s="1080"/>
      <c r="U122" s="1160"/>
      <c r="V122" s="1099">
        <f t="shared" ref="V122:V124" si="77">IF(U$99=0,0,W122/(U$96+U$97))</f>
        <v>0</v>
      </c>
      <c r="W122" s="1080"/>
      <c r="X122" s="1160"/>
      <c r="Y122" s="1099">
        <f t="shared" ref="Y122:Y124" si="78">IF(X$99=0,0,Z122/(X$96+X$97))</f>
        <v>0</v>
      </c>
      <c r="Z122" s="1080"/>
      <c r="AA122" s="1160"/>
      <c r="AB122" s="1099">
        <f t="shared" ref="AB122:AB124" si="79">IF(AA$99=0,0,AC122/(AA$96+AA$97))</f>
        <v>0</v>
      </c>
      <c r="AC122" s="1080"/>
      <c r="AD122" s="1160"/>
      <c r="AE122" s="1099">
        <f t="shared" ref="AE122:AE124" si="80">IF(AD$99=0,0,AF122/(AD$96+AD$97))</f>
        <v>0</v>
      </c>
      <c r="AF122" s="1080"/>
      <c r="AG122" s="1160"/>
      <c r="AH122" s="1099">
        <f t="shared" ref="AH122:AH124" si="81">IF(AG$99=0,0,AI122/(AG$96+AG$97))</f>
        <v>0</v>
      </c>
      <c r="AI122" s="1080"/>
      <c r="AJ122" s="1160"/>
      <c r="AK122" s="1099">
        <f t="shared" ref="AK122:AK124" si="82">IF(AJ$99=0,0,AL122/(AJ$96+AJ$97))</f>
        <v>0</v>
      </c>
      <c r="AL122" s="1080"/>
      <c r="AM122" s="1160"/>
      <c r="AN122" s="1099">
        <f t="shared" ref="AN122:AN124" si="83">IF(AM$99=0,0,AO122/(AM$96+AM$97))</f>
        <v>0</v>
      </c>
      <c r="AO122" s="1080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0"/>
      <c r="D123" s="1099">
        <f t="shared" si="71"/>
        <v>0</v>
      </c>
      <c r="E123" s="1080">
        <f t="shared" si="57"/>
        <v>0</v>
      </c>
      <c r="F123" s="1160"/>
      <c r="G123" s="1099">
        <f t="shared" si="72"/>
        <v>0</v>
      </c>
      <c r="H123" s="1080"/>
      <c r="I123" s="1160"/>
      <c r="J123" s="1099">
        <f t="shared" si="73"/>
        <v>0</v>
      </c>
      <c r="K123" s="1080"/>
      <c r="L123" s="1160"/>
      <c r="M123" s="1099">
        <f t="shared" si="74"/>
        <v>0</v>
      </c>
      <c r="N123" s="1080"/>
      <c r="O123" s="1160"/>
      <c r="P123" s="1099">
        <f t="shared" si="75"/>
        <v>0</v>
      </c>
      <c r="Q123" s="1080"/>
      <c r="R123" s="1160"/>
      <c r="S123" s="1099">
        <f t="shared" si="76"/>
        <v>0</v>
      </c>
      <c r="T123" s="1080"/>
      <c r="U123" s="1160"/>
      <c r="V123" s="1099">
        <f t="shared" si="77"/>
        <v>0</v>
      </c>
      <c r="W123" s="1080"/>
      <c r="X123" s="1160"/>
      <c r="Y123" s="1099">
        <f t="shared" si="78"/>
        <v>0</v>
      </c>
      <c r="Z123" s="1080"/>
      <c r="AA123" s="1160"/>
      <c r="AB123" s="1099">
        <f t="shared" si="79"/>
        <v>0</v>
      </c>
      <c r="AC123" s="1080"/>
      <c r="AD123" s="1160"/>
      <c r="AE123" s="1099">
        <f t="shared" si="80"/>
        <v>0</v>
      </c>
      <c r="AF123" s="1080"/>
      <c r="AG123" s="1160"/>
      <c r="AH123" s="1099">
        <f t="shared" si="81"/>
        <v>0</v>
      </c>
      <c r="AI123" s="1080"/>
      <c r="AJ123" s="1160"/>
      <c r="AK123" s="1099">
        <f t="shared" si="82"/>
        <v>0</v>
      </c>
      <c r="AL123" s="1080"/>
      <c r="AM123" s="1160"/>
      <c r="AN123" s="1099">
        <f t="shared" si="83"/>
        <v>0</v>
      </c>
      <c r="AO123" s="1080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0"/>
      <c r="D124" s="1099">
        <f t="shared" si="71"/>
        <v>0</v>
      </c>
      <c r="E124" s="1080">
        <f t="shared" si="57"/>
        <v>0</v>
      </c>
      <c r="F124" s="1160"/>
      <c r="G124" s="1099">
        <f t="shared" si="72"/>
        <v>0</v>
      </c>
      <c r="H124" s="1080"/>
      <c r="I124" s="1160"/>
      <c r="J124" s="1099">
        <f t="shared" si="73"/>
        <v>0</v>
      </c>
      <c r="K124" s="1080"/>
      <c r="L124" s="1160"/>
      <c r="M124" s="1099">
        <f t="shared" si="74"/>
        <v>0</v>
      </c>
      <c r="N124" s="1080"/>
      <c r="O124" s="1160"/>
      <c r="P124" s="1099">
        <f t="shared" si="75"/>
        <v>0</v>
      </c>
      <c r="Q124" s="1080"/>
      <c r="R124" s="1160"/>
      <c r="S124" s="1099">
        <f t="shared" si="76"/>
        <v>0</v>
      </c>
      <c r="T124" s="1080"/>
      <c r="U124" s="1160"/>
      <c r="V124" s="1099">
        <f t="shared" si="77"/>
        <v>0</v>
      </c>
      <c r="W124" s="1080"/>
      <c r="X124" s="1160"/>
      <c r="Y124" s="1099">
        <f t="shared" si="78"/>
        <v>0</v>
      </c>
      <c r="Z124" s="1080"/>
      <c r="AA124" s="1160"/>
      <c r="AB124" s="1099">
        <f t="shared" si="79"/>
        <v>0</v>
      </c>
      <c r="AC124" s="1080"/>
      <c r="AD124" s="1160"/>
      <c r="AE124" s="1099">
        <f t="shared" si="80"/>
        <v>0</v>
      </c>
      <c r="AF124" s="1080"/>
      <c r="AG124" s="1160"/>
      <c r="AH124" s="1099">
        <f t="shared" si="81"/>
        <v>0</v>
      </c>
      <c r="AI124" s="1080"/>
      <c r="AJ124" s="1160"/>
      <c r="AK124" s="1099">
        <f t="shared" si="82"/>
        <v>0</v>
      </c>
      <c r="AL124" s="1080"/>
      <c r="AM124" s="1160"/>
      <c r="AN124" s="1099">
        <f t="shared" si="83"/>
        <v>0</v>
      </c>
      <c r="AO124" s="1080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">
      <c r="A125" s="533" t="str">
        <f t="shared" si="31"/>
        <v>Véhicules usagésTOTAL VARIABLES</v>
      </c>
      <c r="B125" s="1356" t="s">
        <v>107</v>
      </c>
      <c r="C125" s="1107" t="s">
        <v>108</v>
      </c>
      <c r="D125" s="1108">
        <f>IFERROR(E125/E$111,0)</f>
        <v>0.41725288311672543</v>
      </c>
      <c r="E125" s="1109">
        <f>SUM(E115:E124)</f>
        <v>428176.56359672127</v>
      </c>
      <c r="F125" s="1107" t="s">
        <v>108</v>
      </c>
      <c r="G125" s="1108">
        <f>IFERROR(H125/H$111,0)</f>
        <v>0.52710782556585523</v>
      </c>
      <c r="H125" s="1109">
        <f>SUM(H115:H124)</f>
        <v>23968.978050597412</v>
      </c>
      <c r="I125" s="1107" t="s">
        <v>108</v>
      </c>
      <c r="J125" s="1108">
        <f>IFERROR(K125/K$111,0)</f>
        <v>0.45693188305357468</v>
      </c>
      <c r="K125" s="1109">
        <f>SUM(K115:K124)</f>
        <v>27840.727438843911</v>
      </c>
      <c r="L125" s="1107" t="s">
        <v>108</v>
      </c>
      <c r="M125" s="1108">
        <f>IFERROR(N125/N$111,0)</f>
        <v>0.43357487417732676</v>
      </c>
      <c r="N125" s="1109">
        <f>SUM(N115:N124)</f>
        <v>34129.56107353048</v>
      </c>
      <c r="O125" s="1107" t="s">
        <v>108</v>
      </c>
      <c r="P125" s="1108">
        <f>IFERROR(Q125/Q$111,0)</f>
        <v>0.39460411639895587</v>
      </c>
      <c r="Q125" s="1109">
        <f>SUM(Q115:Q124)</f>
        <v>40560.695451795124</v>
      </c>
      <c r="R125" s="1107" t="s">
        <v>108</v>
      </c>
      <c r="S125" s="1108">
        <f>IFERROR(T125/T$111,0)</f>
        <v>0.40601438145340679</v>
      </c>
      <c r="T125" s="1109">
        <f>SUM(T115:T124)</f>
        <v>35865.177758762162</v>
      </c>
      <c r="U125" s="1107" t="s">
        <v>108</v>
      </c>
      <c r="V125" s="1108">
        <f>IFERROR(W125/W$111,0)</f>
        <v>0.38450082165111354</v>
      </c>
      <c r="W125" s="1109">
        <f>SUM(W115:W124)</f>
        <v>48873.831671472537</v>
      </c>
      <c r="X125" s="1107" t="s">
        <v>108</v>
      </c>
      <c r="Y125" s="1108">
        <f>IFERROR(Z125/Z$111,0)</f>
        <v>0.40829665387785952</v>
      </c>
      <c r="Z125" s="1109">
        <f>SUM(Z115:Z124)</f>
        <v>39728.201796863599</v>
      </c>
      <c r="AA125" s="1107" t="s">
        <v>108</v>
      </c>
      <c r="AB125" s="1108">
        <f>IFERROR(AC125/AC$111,0)</f>
        <v>0.40953895105720217</v>
      </c>
      <c r="AC125" s="1109">
        <f>SUM(AC115:AC124)</f>
        <v>37180.758272073661</v>
      </c>
      <c r="AD125" s="1107" t="s">
        <v>108</v>
      </c>
      <c r="AE125" s="1108">
        <f>IFERROR(AF125/AF$111,0)</f>
        <v>0.43829940584712346</v>
      </c>
      <c r="AF125" s="1109">
        <f>SUM(AF115:AF124)</f>
        <v>30318.996314202232</v>
      </c>
      <c r="AG125" s="1107" t="s">
        <v>108</v>
      </c>
      <c r="AH125" s="1108">
        <f>IFERROR(AI125/AI$111,0)</f>
        <v>0.39637716115573163</v>
      </c>
      <c r="AI125" s="1109">
        <f>SUM(AI115:AI124)</f>
        <v>44492.847186177416</v>
      </c>
      <c r="AJ125" s="1107" t="s">
        <v>108</v>
      </c>
      <c r="AK125" s="1108">
        <f>IFERROR(AL125/AL$111,0)</f>
        <v>0.39785505015249023</v>
      </c>
      <c r="AL125" s="1109">
        <f>SUM(AL115:AL124)</f>
        <v>38444.991054525963</v>
      </c>
      <c r="AM125" s="1107" t="s">
        <v>108</v>
      </c>
      <c r="AN125" s="1108">
        <f>IFERROR(AO125/AO$111,0)</f>
        <v>0.47228755911116038</v>
      </c>
      <c r="AO125" s="1109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">
      <c r="A126" s="533" t="str">
        <f t="shared" si="31"/>
        <v>Véhicules usagésSalaires cadres</v>
      </c>
      <c r="B126" s="612" t="s">
        <v>109</v>
      </c>
      <c r="C126" s="543"/>
      <c r="D126" s="596"/>
      <c r="E126" s="1080">
        <f t="shared" si="57"/>
        <v>76787.599999999991</v>
      </c>
      <c r="F126" s="543"/>
      <c r="G126" s="596"/>
      <c r="H126" s="1101">
        <v>5469.0477164750955</v>
      </c>
      <c r="I126" s="543"/>
      <c r="J126" s="596"/>
      <c r="K126" s="1101">
        <v>5484.7406513409951</v>
      </c>
      <c r="L126" s="543"/>
      <c r="M126" s="596"/>
      <c r="N126" s="1101">
        <v>6264.4397164750953</v>
      </c>
      <c r="O126" s="543"/>
      <c r="P126" s="596"/>
      <c r="Q126" s="1101">
        <v>6860.9837164750952</v>
      </c>
      <c r="R126" s="543"/>
      <c r="S126" s="596"/>
      <c r="T126" s="1101">
        <v>6172.8621839080461</v>
      </c>
      <c r="U126" s="543"/>
      <c r="V126" s="596"/>
      <c r="W126" s="1101">
        <v>7556.951716475096</v>
      </c>
      <c r="X126" s="543"/>
      <c r="Y126" s="596"/>
      <c r="Z126" s="1101">
        <v>6952.5612490421454</v>
      </c>
      <c r="AA126" s="543"/>
      <c r="AB126" s="596"/>
      <c r="AC126" s="1101">
        <v>6371.710183908046</v>
      </c>
      <c r="AD126" s="543"/>
      <c r="AE126" s="596"/>
      <c r="AF126" s="1101">
        <v>5966.1677164750954</v>
      </c>
      <c r="AG126" s="543"/>
      <c r="AH126" s="596"/>
      <c r="AI126" s="1101">
        <v>7159.2557164750951</v>
      </c>
      <c r="AJ126" s="543"/>
      <c r="AK126" s="596"/>
      <c r="AL126" s="1101">
        <v>6570.558183908046</v>
      </c>
      <c r="AM126" s="543"/>
      <c r="AN126" s="596"/>
      <c r="AO126" s="1101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">
      <c r="A127" s="533" t="str">
        <f t="shared" si="31"/>
        <v>Véhicules usagésSalaires commis</v>
      </c>
      <c r="B127" s="614" t="s">
        <v>110</v>
      </c>
      <c r="C127" s="543"/>
      <c r="D127" s="596"/>
      <c r="E127" s="1080">
        <f t="shared" si="57"/>
        <v>23379.999499999998</v>
      </c>
      <c r="F127" s="543"/>
      <c r="G127" s="596"/>
      <c r="H127" s="1101">
        <v>1970.7279272030648</v>
      </c>
      <c r="I127" s="543"/>
      <c r="J127" s="596"/>
      <c r="K127" s="1101">
        <v>1791.5708429118772</v>
      </c>
      <c r="L127" s="543"/>
      <c r="M127" s="596"/>
      <c r="N127" s="1101">
        <v>1970.7279272030648</v>
      </c>
      <c r="O127" s="543"/>
      <c r="P127" s="596"/>
      <c r="Q127" s="1101">
        <v>1970.7279272030648</v>
      </c>
      <c r="R127" s="543"/>
      <c r="S127" s="596"/>
      <c r="T127" s="1101">
        <v>1881.1493850574709</v>
      </c>
      <c r="U127" s="543"/>
      <c r="V127" s="596"/>
      <c r="W127" s="1101">
        <v>1970.7279272030648</v>
      </c>
      <c r="X127" s="543"/>
      <c r="Y127" s="596"/>
      <c r="Z127" s="1101">
        <v>2060.3064693486585</v>
      </c>
      <c r="AA127" s="543"/>
      <c r="AB127" s="596"/>
      <c r="AC127" s="1101">
        <v>1881.1493850574709</v>
      </c>
      <c r="AD127" s="543"/>
      <c r="AE127" s="596"/>
      <c r="AF127" s="1101">
        <v>1970.7279272030648</v>
      </c>
      <c r="AG127" s="543"/>
      <c r="AH127" s="596"/>
      <c r="AI127" s="1101">
        <v>1970.7279272030648</v>
      </c>
      <c r="AJ127" s="543"/>
      <c r="AK127" s="596"/>
      <c r="AL127" s="1101">
        <v>1881.1493850574709</v>
      </c>
      <c r="AM127" s="543"/>
      <c r="AN127" s="596"/>
      <c r="AO127" s="1101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">
      <c r="A128" s="533" t="str">
        <f t="shared" si="31"/>
        <v>Véhicules usagésSalaires autres</v>
      </c>
      <c r="B128" s="612" t="s">
        <v>111</v>
      </c>
      <c r="C128" s="1115"/>
      <c r="D128" s="1116"/>
      <c r="E128" s="1117">
        <f t="shared" si="57"/>
        <v>0</v>
      </c>
      <c r="F128" s="1115"/>
      <c r="G128" s="1116"/>
      <c r="H128" s="1118">
        <v>0</v>
      </c>
      <c r="I128" s="1115"/>
      <c r="J128" s="1116"/>
      <c r="K128" s="1118">
        <v>0</v>
      </c>
      <c r="L128" s="1115"/>
      <c r="M128" s="1116"/>
      <c r="N128" s="1118">
        <v>0</v>
      </c>
      <c r="O128" s="1115"/>
      <c r="P128" s="1116"/>
      <c r="Q128" s="1118">
        <v>0</v>
      </c>
      <c r="R128" s="1115"/>
      <c r="S128" s="1116"/>
      <c r="T128" s="1118">
        <v>0</v>
      </c>
      <c r="U128" s="1115"/>
      <c r="V128" s="1116"/>
      <c r="W128" s="1118">
        <v>0</v>
      </c>
      <c r="X128" s="1115"/>
      <c r="Y128" s="1116"/>
      <c r="Z128" s="1118">
        <v>0</v>
      </c>
      <c r="AA128" s="1115"/>
      <c r="AB128" s="1116"/>
      <c r="AC128" s="1118">
        <v>0</v>
      </c>
      <c r="AD128" s="1115"/>
      <c r="AE128" s="1116"/>
      <c r="AF128" s="1118">
        <v>0</v>
      </c>
      <c r="AG128" s="1115"/>
      <c r="AH128" s="1116"/>
      <c r="AI128" s="1118">
        <v>0</v>
      </c>
      <c r="AJ128" s="1115"/>
      <c r="AK128" s="1116"/>
      <c r="AL128" s="1118">
        <v>0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0">
        <f t="shared" si="57"/>
        <v>0</v>
      </c>
      <c r="F129" s="543"/>
      <c r="G129" s="596"/>
      <c r="H129" s="1101"/>
      <c r="I129" s="543"/>
      <c r="J129" s="596"/>
      <c r="K129" s="1101"/>
      <c r="L129" s="543"/>
      <c r="M129" s="596"/>
      <c r="N129" s="1101"/>
      <c r="O129" s="543"/>
      <c r="P129" s="596"/>
      <c r="Q129" s="1101"/>
      <c r="R129" s="543"/>
      <c r="S129" s="596"/>
      <c r="T129" s="1101"/>
      <c r="U129" s="543"/>
      <c r="V129" s="596"/>
      <c r="W129" s="1101"/>
      <c r="X129" s="543"/>
      <c r="Y129" s="596"/>
      <c r="Z129" s="1101"/>
      <c r="AA129" s="543"/>
      <c r="AB129" s="596"/>
      <c r="AC129" s="1101"/>
      <c r="AD129" s="543"/>
      <c r="AE129" s="596"/>
      <c r="AF129" s="1101"/>
      <c r="AG129" s="543"/>
      <c r="AH129" s="596"/>
      <c r="AI129" s="1101"/>
      <c r="AJ129" s="543"/>
      <c r="AK129" s="596"/>
      <c r="AL129" s="1101"/>
      <c r="AM129" s="543"/>
      <c r="AN129" s="596"/>
      <c r="AO129" s="1101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0">
        <f t="shared" si="57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/>
      <c r="AG130" s="543"/>
      <c r="AH130" s="596"/>
      <c r="AI130" s="1101"/>
      <c r="AJ130" s="543"/>
      <c r="AK130" s="596"/>
      <c r="AL130" s="1101"/>
      <c r="AM130" s="543"/>
      <c r="AN130" s="596"/>
      <c r="AO130" s="1101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0">
        <f t="shared" si="57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/>
      <c r="AG131" s="543"/>
      <c r="AH131" s="596"/>
      <c r="AI131" s="1101"/>
      <c r="AJ131" s="543"/>
      <c r="AK131" s="596"/>
      <c r="AL131" s="1101"/>
      <c r="AM131" s="543"/>
      <c r="AN131" s="596"/>
      <c r="AO131" s="1101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0">
        <f t="shared" si="57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/>
      <c r="AG132" s="543"/>
      <c r="AH132" s="596"/>
      <c r="AI132" s="1101"/>
      <c r="AJ132" s="543"/>
      <c r="AK132" s="596"/>
      <c r="AL132" s="1101"/>
      <c r="AM132" s="543"/>
      <c r="AN132" s="596"/>
      <c r="AO132" s="1101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">
      <c r="A133" s="533" t="str">
        <f t="shared" si="31"/>
        <v>Véhicules usagésSalaires en absences</v>
      </c>
      <c r="B133" s="614" t="s">
        <v>113</v>
      </c>
      <c r="C133" s="543"/>
      <c r="D133" s="596"/>
      <c r="E133" s="1080">
        <f t="shared" si="57"/>
        <v>53606.599134000004</v>
      </c>
      <c r="F133" s="543"/>
      <c r="G133" s="596"/>
      <c r="H133" s="1101">
        <v>4639.9619780522962</v>
      </c>
      <c r="I133" s="543"/>
      <c r="J133" s="596"/>
      <c r="K133" s="1101">
        <v>2551.8302585276483</v>
      </c>
      <c r="L133" s="543"/>
      <c r="M133" s="596"/>
      <c r="N133" s="1101">
        <v>3116.0860087311753</v>
      </c>
      <c r="O133" s="543"/>
      <c r="P133" s="596"/>
      <c r="Q133" s="1101">
        <v>4931.8961308628732</v>
      </c>
      <c r="R133" s="543"/>
      <c r="S133" s="596"/>
      <c r="T133" s="1101">
        <v>4373.3862784946214</v>
      </c>
      <c r="U133" s="543"/>
      <c r="V133" s="596"/>
      <c r="W133" s="1101">
        <v>5651.7664152207626</v>
      </c>
      <c r="X133" s="543"/>
      <c r="Y133" s="596"/>
      <c r="Z133" s="1101">
        <v>4858.7958340916857</v>
      </c>
      <c r="AA133" s="543"/>
      <c r="AB133" s="596"/>
      <c r="AC133" s="1101">
        <v>3413.343189770399</v>
      </c>
      <c r="AD133" s="543"/>
      <c r="AE133" s="596"/>
      <c r="AF133" s="1101">
        <v>3958.9516920573469</v>
      </c>
      <c r="AG133" s="543"/>
      <c r="AH133" s="596"/>
      <c r="AI133" s="1101">
        <v>5235.1552513274646</v>
      </c>
      <c r="AJ133" s="543"/>
      <c r="AK133" s="596"/>
      <c r="AL133" s="1101">
        <v>3555.04012019942</v>
      </c>
      <c r="AM133" s="543"/>
      <c r="AN133" s="596"/>
      <c r="AO133" s="1101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">
      <c r="A134" s="533" t="str">
        <f t="shared" si="31"/>
        <v>Véhicules usagésDéduction à la source</v>
      </c>
      <c r="B134" s="612" t="s">
        <v>114</v>
      </c>
      <c r="C134" s="1115"/>
      <c r="D134" s="1116"/>
      <c r="E134" s="1117">
        <f t="shared" si="57"/>
        <v>51564.558391102095</v>
      </c>
      <c r="F134" s="1115"/>
      <c r="G134" s="1116"/>
      <c r="H134" s="1118">
        <v>3160.6471126887623</v>
      </c>
      <c r="I134" s="1115"/>
      <c r="J134" s="1116"/>
      <c r="K134" s="1118">
        <v>3551.5163391879641</v>
      </c>
      <c r="L134" s="1115"/>
      <c r="M134" s="1116"/>
      <c r="N134" s="1118">
        <v>4336.8207338011207</v>
      </c>
      <c r="O134" s="1115"/>
      <c r="P134" s="1116"/>
      <c r="Q134" s="1118">
        <v>5215.4631867357002</v>
      </c>
      <c r="R134" s="1115"/>
      <c r="S134" s="1116"/>
      <c r="T134" s="1118">
        <v>4438.1556602438031</v>
      </c>
      <c r="U134" s="1115"/>
      <c r="V134" s="1116"/>
      <c r="W134" s="1118">
        <v>6217.3445103265776</v>
      </c>
      <c r="X134" s="1115"/>
      <c r="Y134" s="1116"/>
      <c r="Z134" s="1118">
        <v>4734.9311669459003</v>
      </c>
      <c r="AA134" s="1115"/>
      <c r="AB134" s="1116"/>
      <c r="AC134" s="1118">
        <v>4398.6381311474215</v>
      </c>
      <c r="AD134" s="1115"/>
      <c r="AE134" s="1116"/>
      <c r="AF134" s="1118">
        <v>3432.3246723905318</v>
      </c>
      <c r="AG134" s="1115"/>
      <c r="AH134" s="1116"/>
      <c r="AI134" s="1118">
        <v>4802.3359826841934</v>
      </c>
      <c r="AJ134" s="1115"/>
      <c r="AK134" s="1116"/>
      <c r="AL134" s="1118">
        <v>4214.7382868343639</v>
      </c>
      <c r="AM134" s="1115"/>
      <c r="AN134" s="1116"/>
      <c r="AO134" s="1118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">
      <c r="A135" s="533" t="str">
        <f t="shared" si="31"/>
        <v>Véhicules usagésBénéfices marginaux</v>
      </c>
      <c r="B135" s="615" t="s">
        <v>115</v>
      </c>
      <c r="C135" s="543"/>
      <c r="D135" s="596"/>
      <c r="E135" s="1080">
        <f t="shared" si="57"/>
        <v>35534.67745625</v>
      </c>
      <c r="F135" s="543"/>
      <c r="G135" s="596"/>
      <c r="H135" s="1101">
        <v>2048.5675730390126</v>
      </c>
      <c r="I135" s="543"/>
      <c r="J135" s="596"/>
      <c r="K135" s="1101">
        <v>2301.9087383625692</v>
      </c>
      <c r="L135" s="543"/>
      <c r="M135" s="596"/>
      <c r="N135" s="1101">
        <v>2810.9023274636888</v>
      </c>
      <c r="O135" s="543"/>
      <c r="P135" s="596"/>
      <c r="Q135" s="1101">
        <v>3380.3928062175828</v>
      </c>
      <c r="R135" s="543"/>
      <c r="S135" s="596"/>
      <c r="T135" s="1101">
        <v>2876.5823723802423</v>
      </c>
      <c r="U135" s="543"/>
      <c r="V135" s="596"/>
      <c r="W135" s="1101">
        <v>4029.7603307672257</v>
      </c>
      <c r="X135" s="543"/>
      <c r="Y135" s="596"/>
      <c r="Z135" s="1101">
        <v>3314.4518168621298</v>
      </c>
      <c r="AA135" s="543"/>
      <c r="AB135" s="596"/>
      <c r="AC135" s="1101">
        <v>3079.0466918031948</v>
      </c>
      <c r="AD135" s="543"/>
      <c r="AE135" s="596"/>
      <c r="AF135" s="1101">
        <v>2502.7367402847622</v>
      </c>
      <c r="AG135" s="543"/>
      <c r="AH135" s="596"/>
      <c r="AI135" s="1101">
        <v>3653.9512911727552</v>
      </c>
      <c r="AJ135" s="543"/>
      <c r="AK135" s="596"/>
      <c r="AL135" s="1101">
        <v>3206.8660878087549</v>
      </c>
      <c r="AM135" s="543"/>
      <c r="AN135" s="596"/>
      <c r="AO135" s="1101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">
      <c r="A136" s="533" t="str">
        <f t="shared" si="31"/>
        <v>Véhicules usagésCsst</v>
      </c>
      <c r="B136" s="612" t="s">
        <v>116</v>
      </c>
      <c r="C136" s="543"/>
      <c r="D136" s="596"/>
      <c r="E136" s="1080">
        <f t="shared" si="57"/>
        <v>9949.7096877500007</v>
      </c>
      <c r="F136" s="543"/>
      <c r="G136" s="596"/>
      <c r="H136" s="1101">
        <v>573.59892045092352</v>
      </c>
      <c r="I136" s="543"/>
      <c r="J136" s="596"/>
      <c r="K136" s="1101">
        <v>644.53444674151945</v>
      </c>
      <c r="L136" s="543"/>
      <c r="M136" s="596"/>
      <c r="N136" s="1101">
        <v>787.05265168983294</v>
      </c>
      <c r="O136" s="543"/>
      <c r="P136" s="596"/>
      <c r="Q136" s="1101">
        <v>946.5099857409233</v>
      </c>
      <c r="R136" s="543"/>
      <c r="S136" s="596"/>
      <c r="T136" s="1101">
        <v>805.4430642664679</v>
      </c>
      <c r="U136" s="543"/>
      <c r="V136" s="596"/>
      <c r="W136" s="1101">
        <v>1128.3328926148233</v>
      </c>
      <c r="X136" s="543"/>
      <c r="Y136" s="596"/>
      <c r="Z136" s="1101">
        <v>928.04650872139644</v>
      </c>
      <c r="AA136" s="543"/>
      <c r="AB136" s="596"/>
      <c r="AC136" s="1101">
        <v>862.13307370489463</v>
      </c>
      <c r="AD136" s="543"/>
      <c r="AE136" s="596"/>
      <c r="AF136" s="1101">
        <v>700.76628727973355</v>
      </c>
      <c r="AG136" s="543"/>
      <c r="AH136" s="596"/>
      <c r="AI136" s="1101">
        <v>1023.1063615283716</v>
      </c>
      <c r="AJ136" s="543"/>
      <c r="AK136" s="596"/>
      <c r="AL136" s="1101">
        <v>897.9225045864514</v>
      </c>
      <c r="AM136" s="543"/>
      <c r="AN136" s="596"/>
      <c r="AO136" s="1101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0"/>
      <c r="E137" s="1103">
        <f t="shared" si="57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/>
      <c r="AG137" s="601"/>
      <c r="AH137" s="1120"/>
      <c r="AI137" s="1103"/>
      <c r="AJ137" s="601"/>
      <c r="AK137" s="1120"/>
      <c r="AL137" s="1103"/>
      <c r="AM137" s="601"/>
      <c r="AN137" s="1120"/>
      <c r="AO137" s="1103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">
      <c r="A138" s="533" t="str">
        <f t="shared" si="31"/>
        <v>Véhicules usagésTOTAL PERSONNEL</v>
      </c>
      <c r="B138" s="1356" t="s">
        <v>117</v>
      </c>
      <c r="C138" s="1107" t="s">
        <v>108</v>
      </c>
      <c r="D138" s="1108">
        <f>IFERROR(E138/E$111,0)</f>
        <v>0.24442412068945221</v>
      </c>
      <c r="E138" s="1109">
        <f>SUM(E126:E136)</f>
        <v>250823.14416910207</v>
      </c>
      <c r="F138" s="1107" t="s">
        <v>108</v>
      </c>
      <c r="G138" s="1108">
        <f>IFERROR(H138/H$111,0)</f>
        <v>0.39281985727243873</v>
      </c>
      <c r="H138" s="1109">
        <f>SUM(H126:H136)</f>
        <v>17862.551227909156</v>
      </c>
      <c r="I138" s="1107" t="s">
        <v>108</v>
      </c>
      <c r="J138" s="1108">
        <f>IFERROR(K138/K$111,0)</f>
        <v>0.26794975870666105</v>
      </c>
      <c r="K138" s="1109">
        <f>SUM(K126:K136)</f>
        <v>16326.101277072576</v>
      </c>
      <c r="L138" s="1107" t="s">
        <v>108</v>
      </c>
      <c r="M138" s="1108">
        <f>IFERROR(N138/N$111,0)</f>
        <v>0.24500572209096178</v>
      </c>
      <c r="N138" s="1109">
        <f>SUM(N126:N136)</f>
        <v>19286.029365363978</v>
      </c>
      <c r="O138" s="1107" t="s">
        <v>108</v>
      </c>
      <c r="P138" s="1108">
        <f>IFERROR(Q138/Q$111,0)</f>
        <v>0.22673756150563307</v>
      </c>
      <c r="Q138" s="1109">
        <f>SUM(Q126:Q136)</f>
        <v>23305.973753235237</v>
      </c>
      <c r="R138" s="1107" t="s">
        <v>108</v>
      </c>
      <c r="S138" s="1108">
        <f>IFERROR(T138/T$111,0)</f>
        <v>0.23261037799868159</v>
      </c>
      <c r="T138" s="1109">
        <f>SUM(T126:T136)</f>
        <v>20547.578944350651</v>
      </c>
      <c r="U138" s="1107" t="s">
        <v>108</v>
      </c>
      <c r="V138" s="1108">
        <f>IFERROR(W138/W$111,0)</f>
        <v>0.20891291490589631</v>
      </c>
      <c r="W138" s="1109">
        <f>SUM(W126:W136)</f>
        <v>26554.88379260755</v>
      </c>
      <c r="X138" s="1107" t="s">
        <v>108</v>
      </c>
      <c r="Y138" s="1108">
        <f>IFERROR(Z138/Z$111,0)</f>
        <v>0.23482583687336039</v>
      </c>
      <c r="Z138" s="1109">
        <f>SUM(Z126:Z136)</f>
        <v>22849.093045011912</v>
      </c>
      <c r="AA138" s="1107" t="s">
        <v>108</v>
      </c>
      <c r="AB138" s="1108">
        <f>IFERROR(AC138/AC$111,0)</f>
        <v>0.22036249648495318</v>
      </c>
      <c r="AC138" s="1109">
        <f>SUM(AC126:AC136)</f>
        <v>20006.020655391429</v>
      </c>
      <c r="AD138" s="1107" t="s">
        <v>108</v>
      </c>
      <c r="AE138" s="1108">
        <f>IFERROR(AF138/AF$111,0)</f>
        <v>0.26789878112457077</v>
      </c>
      <c r="AF138" s="1109">
        <f>SUM(AF126:AF136)</f>
        <v>18531.675035690536</v>
      </c>
      <c r="AG138" s="1107" t="s">
        <v>108</v>
      </c>
      <c r="AH138" s="1108">
        <f>IFERROR(AI138/AI$111,0)</f>
        <v>0.21242578776613177</v>
      </c>
      <c r="AI138" s="1109">
        <f>SUM(AI126:AI136)</f>
        <v>23844.532530390945</v>
      </c>
      <c r="AJ138" s="1107" t="s">
        <v>108</v>
      </c>
      <c r="AK138" s="1108">
        <f>IFERROR(AL138/AL$111,0)</f>
        <v>0.21035018518673437</v>
      </c>
      <c r="AL138" s="1109">
        <f>SUM(AL126:AL136)</f>
        <v>20326.274568394507</v>
      </c>
      <c r="AM138" s="1107" t="s">
        <v>108</v>
      </c>
      <c r="AN138" s="1108">
        <f>IFERROR(AO138/AO$111,0)</f>
        <v>0.37721246209265075</v>
      </c>
      <c r="AO138" s="1109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">
      <c r="A139" s="533" t="str">
        <f t="shared" si="31"/>
        <v>Véhicules usagésPublicité 2</v>
      </c>
      <c r="B139" s="543" t="s">
        <v>118</v>
      </c>
      <c r="C139" s="543"/>
      <c r="D139" s="596"/>
      <c r="E139" s="1080">
        <f t="shared" si="57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">
      <c r="A140" s="533" t="str">
        <f t="shared" si="31"/>
        <v>Véhicules usagésService gratuit 2</v>
      </c>
      <c r="B140" s="543" t="s">
        <v>119</v>
      </c>
      <c r="C140" s="543"/>
      <c r="D140" s="596"/>
      <c r="E140" s="1080">
        <f t="shared" si="57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">
      <c r="A141" s="533" t="str">
        <f t="shared" si="31"/>
        <v>Véhicules usagésFrais véhicules de cie</v>
      </c>
      <c r="B141" s="601" t="s">
        <v>120</v>
      </c>
      <c r="C141" s="1121"/>
      <c r="D141" s="1122"/>
      <c r="E141" s="1123">
        <f t="shared" si="57"/>
        <v>9163</v>
      </c>
      <c r="F141" s="1121"/>
      <c r="G141" s="1122"/>
      <c r="H141" s="1124">
        <v>763.58333333333337</v>
      </c>
      <c r="I141" s="1121"/>
      <c r="J141" s="1122"/>
      <c r="K141" s="1124">
        <v>763.58333333333337</v>
      </c>
      <c r="L141" s="1121"/>
      <c r="M141" s="1122"/>
      <c r="N141" s="1124">
        <v>763.58333333333337</v>
      </c>
      <c r="O141" s="1121"/>
      <c r="P141" s="1122"/>
      <c r="Q141" s="1124">
        <v>763.58333333333337</v>
      </c>
      <c r="R141" s="1121"/>
      <c r="S141" s="1122"/>
      <c r="T141" s="1124">
        <v>763.58333333333337</v>
      </c>
      <c r="U141" s="1121"/>
      <c r="V141" s="1122"/>
      <c r="W141" s="1124">
        <v>763.58333333333337</v>
      </c>
      <c r="X141" s="1121"/>
      <c r="Y141" s="1122"/>
      <c r="Z141" s="1124">
        <v>763.58333333333337</v>
      </c>
      <c r="AA141" s="1121"/>
      <c r="AB141" s="1122"/>
      <c r="AC141" s="1124">
        <v>763.58333333333337</v>
      </c>
      <c r="AD141" s="1121"/>
      <c r="AE141" s="1122"/>
      <c r="AF141" s="1124">
        <v>763.58333333333337</v>
      </c>
      <c r="AG141" s="1121"/>
      <c r="AH141" s="1122"/>
      <c r="AI141" s="1124">
        <v>763.58333333333337</v>
      </c>
      <c r="AJ141" s="1121"/>
      <c r="AK141" s="1122"/>
      <c r="AL141" s="1124">
        <v>763.58333333333337</v>
      </c>
      <c r="AM141" s="1121"/>
      <c r="AN141" s="1122"/>
      <c r="AO141" s="1124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">
      <c r="A142" s="533" t="str">
        <f t="shared" si="31"/>
        <v>Véhicules usagésInformatique</v>
      </c>
      <c r="B142" s="543" t="s">
        <v>121</v>
      </c>
      <c r="C142" s="543"/>
      <c r="D142" s="596"/>
      <c r="E142" s="1080">
        <f t="shared" si="57"/>
        <v>49014.18</v>
      </c>
      <c r="F142" s="543"/>
      <c r="G142" s="596"/>
      <c r="H142" s="1101">
        <v>4084.5149999999999</v>
      </c>
      <c r="I142" s="543"/>
      <c r="J142" s="596"/>
      <c r="K142" s="1101">
        <v>4084.5149999999999</v>
      </c>
      <c r="L142" s="543"/>
      <c r="M142" s="596"/>
      <c r="N142" s="1101">
        <v>4084.5149999999999</v>
      </c>
      <c r="O142" s="543"/>
      <c r="P142" s="596"/>
      <c r="Q142" s="1101">
        <v>4084.5149999999999</v>
      </c>
      <c r="R142" s="543"/>
      <c r="S142" s="596"/>
      <c r="T142" s="1101">
        <v>4084.5149999999999</v>
      </c>
      <c r="U142" s="543"/>
      <c r="V142" s="596"/>
      <c r="W142" s="1101">
        <v>4084.5149999999999</v>
      </c>
      <c r="X142" s="543"/>
      <c r="Y142" s="596"/>
      <c r="Z142" s="1101">
        <v>4084.5149999999999</v>
      </c>
      <c r="AA142" s="543"/>
      <c r="AB142" s="596"/>
      <c r="AC142" s="1101">
        <v>4084.5149999999999</v>
      </c>
      <c r="AD142" s="543"/>
      <c r="AE142" s="596"/>
      <c r="AF142" s="1101">
        <v>4084.5149999999999</v>
      </c>
      <c r="AG142" s="543"/>
      <c r="AH142" s="596"/>
      <c r="AI142" s="1101">
        <v>4084.5149999999999</v>
      </c>
      <c r="AJ142" s="543"/>
      <c r="AK142" s="596"/>
      <c r="AL142" s="1101">
        <v>4084.5149999999999</v>
      </c>
      <c r="AM142" s="543"/>
      <c r="AN142" s="596"/>
      <c r="AO142" s="1101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">
      <c r="A143" s="533" t="str">
        <f t="shared" si="31"/>
        <v>Véhicules usagésFrais de déplacement</v>
      </c>
      <c r="B143" s="543" t="s">
        <v>122</v>
      </c>
      <c r="C143" s="543"/>
      <c r="D143" s="596"/>
      <c r="E143" s="1080">
        <f t="shared" si="57"/>
        <v>5985</v>
      </c>
      <c r="F143" s="543"/>
      <c r="G143" s="596"/>
      <c r="H143" s="1101">
        <v>498.75</v>
      </c>
      <c r="I143" s="543"/>
      <c r="J143" s="596"/>
      <c r="K143" s="1101">
        <v>498.75</v>
      </c>
      <c r="L143" s="543"/>
      <c r="M143" s="596"/>
      <c r="N143" s="1101">
        <v>498.75</v>
      </c>
      <c r="O143" s="543"/>
      <c r="P143" s="596"/>
      <c r="Q143" s="1101">
        <v>498.75</v>
      </c>
      <c r="R143" s="543"/>
      <c r="S143" s="596"/>
      <c r="T143" s="1101">
        <v>498.75</v>
      </c>
      <c r="U143" s="543"/>
      <c r="V143" s="596"/>
      <c r="W143" s="1101">
        <v>498.75</v>
      </c>
      <c r="X143" s="543"/>
      <c r="Y143" s="596"/>
      <c r="Z143" s="1101">
        <v>498.75</v>
      </c>
      <c r="AA143" s="543"/>
      <c r="AB143" s="596"/>
      <c r="AC143" s="1101">
        <v>498.75</v>
      </c>
      <c r="AD143" s="543"/>
      <c r="AE143" s="596"/>
      <c r="AF143" s="1101">
        <v>498.75</v>
      </c>
      <c r="AG143" s="543"/>
      <c r="AH143" s="596"/>
      <c r="AI143" s="1101">
        <v>498.75</v>
      </c>
      <c r="AJ143" s="543"/>
      <c r="AK143" s="596"/>
      <c r="AL143" s="1101">
        <v>498.75</v>
      </c>
      <c r="AM143" s="543"/>
      <c r="AN143" s="596"/>
      <c r="AO143" s="1101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">
      <c r="A144" s="533" t="str">
        <f t="shared" si="31"/>
        <v>Véhicules usagésServices extérieurs</v>
      </c>
      <c r="B144" s="601" t="s">
        <v>123</v>
      </c>
      <c r="C144" s="1121"/>
      <c r="D144" s="1122"/>
      <c r="E144" s="1123">
        <f t="shared" si="57"/>
        <v>34774.684000000001</v>
      </c>
      <c r="F144" s="1121"/>
      <c r="G144" s="1122"/>
      <c r="H144" s="1124">
        <v>2897.8903333333333</v>
      </c>
      <c r="I144" s="1121"/>
      <c r="J144" s="1122"/>
      <c r="K144" s="1124">
        <v>2897.8903333333333</v>
      </c>
      <c r="L144" s="1121"/>
      <c r="M144" s="1122"/>
      <c r="N144" s="1124">
        <v>2897.8903333333333</v>
      </c>
      <c r="O144" s="1121"/>
      <c r="P144" s="1122"/>
      <c r="Q144" s="1124">
        <v>2897.8903333333333</v>
      </c>
      <c r="R144" s="1121"/>
      <c r="S144" s="1122"/>
      <c r="T144" s="1124">
        <v>2897.8903333333333</v>
      </c>
      <c r="U144" s="1121"/>
      <c r="V144" s="1122"/>
      <c r="W144" s="1124">
        <v>2897.8903333333333</v>
      </c>
      <c r="X144" s="1121"/>
      <c r="Y144" s="1122"/>
      <c r="Z144" s="1124">
        <v>2897.8903333333333</v>
      </c>
      <c r="AA144" s="1121"/>
      <c r="AB144" s="1122"/>
      <c r="AC144" s="1124">
        <v>2897.8903333333333</v>
      </c>
      <c r="AD144" s="1121"/>
      <c r="AE144" s="1122"/>
      <c r="AF144" s="1124">
        <v>2897.8903333333333</v>
      </c>
      <c r="AG144" s="1121"/>
      <c r="AH144" s="1122"/>
      <c r="AI144" s="1124">
        <v>2897.8903333333333</v>
      </c>
      <c r="AJ144" s="1121"/>
      <c r="AK144" s="1122"/>
      <c r="AL144" s="1124">
        <v>2897.8903333333333</v>
      </c>
      <c r="AM144" s="1121"/>
      <c r="AN144" s="1122"/>
      <c r="AO144" s="1124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">
      <c r="A145" s="533" t="str">
        <f t="shared" si="31"/>
        <v>Véhicules usagésFournitures autres</v>
      </c>
      <c r="B145" s="543" t="s">
        <v>124</v>
      </c>
      <c r="C145" s="543"/>
      <c r="D145" s="596"/>
      <c r="E145" s="1080">
        <f t="shared" si="57"/>
        <v>165</v>
      </c>
      <c r="F145" s="543"/>
      <c r="G145" s="596"/>
      <c r="H145" s="1101">
        <v>13.75</v>
      </c>
      <c r="I145" s="543"/>
      <c r="J145" s="596"/>
      <c r="K145" s="1101">
        <v>13.75</v>
      </c>
      <c r="L145" s="543"/>
      <c r="M145" s="596"/>
      <c r="N145" s="1101">
        <v>13.75</v>
      </c>
      <c r="O145" s="543"/>
      <c r="P145" s="596"/>
      <c r="Q145" s="1101">
        <v>13.75</v>
      </c>
      <c r="R145" s="543"/>
      <c r="S145" s="596"/>
      <c r="T145" s="1101">
        <v>13.75</v>
      </c>
      <c r="U145" s="543"/>
      <c r="V145" s="596"/>
      <c r="W145" s="1101">
        <v>13.75</v>
      </c>
      <c r="X145" s="543"/>
      <c r="Y145" s="596"/>
      <c r="Z145" s="1101">
        <v>13.75</v>
      </c>
      <c r="AA145" s="543"/>
      <c r="AB145" s="596"/>
      <c r="AC145" s="1101">
        <v>13.75</v>
      </c>
      <c r="AD145" s="543"/>
      <c r="AE145" s="596"/>
      <c r="AF145" s="1101">
        <v>13.75</v>
      </c>
      <c r="AG145" s="543"/>
      <c r="AH145" s="596"/>
      <c r="AI145" s="1101">
        <v>13.75</v>
      </c>
      <c r="AJ145" s="543"/>
      <c r="AK145" s="596"/>
      <c r="AL145" s="1101">
        <v>13.75</v>
      </c>
      <c r="AM145" s="543"/>
      <c r="AN145" s="596"/>
      <c r="AO145" s="1101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">
      <c r="A146" s="533" t="str">
        <f t="shared" si="31"/>
        <v>Véhicules usagésUniformes</v>
      </c>
      <c r="B146" s="543" t="s">
        <v>125</v>
      </c>
      <c r="C146" s="543"/>
      <c r="D146" s="596"/>
      <c r="E146" s="1080">
        <f t="shared" si="57"/>
        <v>90</v>
      </c>
      <c r="F146" s="543"/>
      <c r="G146" s="596"/>
      <c r="H146" s="1101">
        <v>7.5</v>
      </c>
      <c r="I146" s="543"/>
      <c r="J146" s="596"/>
      <c r="K146" s="1101">
        <v>7.5</v>
      </c>
      <c r="L146" s="543"/>
      <c r="M146" s="596"/>
      <c r="N146" s="1101">
        <v>7.5</v>
      </c>
      <c r="O146" s="543"/>
      <c r="P146" s="596"/>
      <c r="Q146" s="1101">
        <v>7.5</v>
      </c>
      <c r="R146" s="543"/>
      <c r="S146" s="596"/>
      <c r="T146" s="1101">
        <v>7.5</v>
      </c>
      <c r="U146" s="543"/>
      <c r="V146" s="596"/>
      <c r="W146" s="1101">
        <v>7.5</v>
      </c>
      <c r="X146" s="543"/>
      <c r="Y146" s="596"/>
      <c r="Z146" s="1101">
        <v>7.5</v>
      </c>
      <c r="AA146" s="543"/>
      <c r="AB146" s="596"/>
      <c r="AC146" s="1101">
        <v>7.5</v>
      </c>
      <c r="AD146" s="543"/>
      <c r="AE146" s="596"/>
      <c r="AF146" s="1101">
        <v>7.5</v>
      </c>
      <c r="AG146" s="543"/>
      <c r="AH146" s="596"/>
      <c r="AI146" s="1101">
        <v>7.5</v>
      </c>
      <c r="AJ146" s="543"/>
      <c r="AK146" s="596"/>
      <c r="AL146" s="1101">
        <v>7.5</v>
      </c>
      <c r="AM146" s="543"/>
      <c r="AN146" s="596"/>
      <c r="AO146" s="1101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">
      <c r="A147" s="533" t="str">
        <f t="shared" si="31"/>
        <v>Véhicules usagésPapeterie</v>
      </c>
      <c r="B147" s="543" t="s">
        <v>126</v>
      </c>
      <c r="C147" s="543"/>
      <c r="D147" s="596"/>
      <c r="E147" s="1080">
        <f t="shared" si="57"/>
        <v>2610</v>
      </c>
      <c r="F147" s="543"/>
      <c r="G147" s="596"/>
      <c r="H147" s="1101">
        <v>217.5</v>
      </c>
      <c r="I147" s="543"/>
      <c r="J147" s="596"/>
      <c r="K147" s="1101">
        <v>217.5</v>
      </c>
      <c r="L147" s="543"/>
      <c r="M147" s="596"/>
      <c r="N147" s="1101">
        <v>217.5</v>
      </c>
      <c r="O147" s="543"/>
      <c r="P147" s="596"/>
      <c r="Q147" s="1101">
        <v>217.5</v>
      </c>
      <c r="R147" s="543"/>
      <c r="S147" s="596"/>
      <c r="T147" s="1101">
        <v>217.5</v>
      </c>
      <c r="U147" s="543"/>
      <c r="V147" s="596"/>
      <c r="W147" s="1101">
        <v>217.5</v>
      </c>
      <c r="X147" s="543"/>
      <c r="Y147" s="596"/>
      <c r="Z147" s="1101">
        <v>217.5</v>
      </c>
      <c r="AA147" s="543"/>
      <c r="AB147" s="596"/>
      <c r="AC147" s="1101">
        <v>217.5</v>
      </c>
      <c r="AD147" s="543"/>
      <c r="AE147" s="596"/>
      <c r="AF147" s="1101">
        <v>217.5</v>
      </c>
      <c r="AG147" s="543"/>
      <c r="AH147" s="596"/>
      <c r="AI147" s="1101">
        <v>217.5</v>
      </c>
      <c r="AJ147" s="543"/>
      <c r="AK147" s="596"/>
      <c r="AL147" s="1101">
        <v>217.5</v>
      </c>
      <c r="AM147" s="543"/>
      <c r="AN147" s="596"/>
      <c r="AO147" s="1101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">
      <c r="A148" s="533" t="str">
        <f t="shared" si="31"/>
        <v>Véhicules usagésTéléphone</v>
      </c>
      <c r="B148" s="543" t="s">
        <v>127</v>
      </c>
      <c r="C148" s="543"/>
      <c r="D148" s="596"/>
      <c r="E148" s="1080">
        <f t="shared" si="57"/>
        <v>760.20000000000016</v>
      </c>
      <c r="F148" s="543"/>
      <c r="G148" s="596"/>
      <c r="H148" s="1101">
        <v>63.35</v>
      </c>
      <c r="I148" s="543"/>
      <c r="J148" s="596"/>
      <c r="K148" s="1101">
        <v>63.35</v>
      </c>
      <c r="L148" s="543"/>
      <c r="M148" s="596"/>
      <c r="N148" s="1101">
        <v>63.35</v>
      </c>
      <c r="O148" s="543"/>
      <c r="P148" s="596"/>
      <c r="Q148" s="1101">
        <v>63.35</v>
      </c>
      <c r="R148" s="543"/>
      <c r="S148" s="596"/>
      <c r="T148" s="1101">
        <v>63.35</v>
      </c>
      <c r="U148" s="543"/>
      <c r="V148" s="596"/>
      <c r="W148" s="1101">
        <v>63.35</v>
      </c>
      <c r="X148" s="543"/>
      <c r="Y148" s="596"/>
      <c r="Z148" s="1101">
        <v>63.35</v>
      </c>
      <c r="AA148" s="543"/>
      <c r="AB148" s="596"/>
      <c r="AC148" s="1101">
        <v>63.35</v>
      </c>
      <c r="AD148" s="543"/>
      <c r="AE148" s="596"/>
      <c r="AF148" s="1101">
        <v>63.35</v>
      </c>
      <c r="AG148" s="543"/>
      <c r="AH148" s="596"/>
      <c r="AI148" s="1101">
        <v>63.35</v>
      </c>
      <c r="AJ148" s="543"/>
      <c r="AK148" s="596"/>
      <c r="AL148" s="1101">
        <v>63.35</v>
      </c>
      <c r="AM148" s="543"/>
      <c r="AN148" s="596"/>
      <c r="AO148" s="1101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">
      <c r="A149" s="533" t="str">
        <f t="shared" si="31"/>
        <v>Véhicules usagésFrais postaux</v>
      </c>
      <c r="B149" s="543" t="s">
        <v>128</v>
      </c>
      <c r="C149" s="543"/>
      <c r="D149" s="596"/>
      <c r="E149" s="1080">
        <f t="shared" si="57"/>
        <v>1019.9999999999999</v>
      </c>
      <c r="F149" s="543"/>
      <c r="G149" s="596"/>
      <c r="H149" s="1101">
        <v>84.999999999999986</v>
      </c>
      <c r="I149" s="543"/>
      <c r="J149" s="596"/>
      <c r="K149" s="1101">
        <v>84.999999999999986</v>
      </c>
      <c r="L149" s="543"/>
      <c r="M149" s="596"/>
      <c r="N149" s="1101">
        <v>84.999999999999986</v>
      </c>
      <c r="O149" s="543"/>
      <c r="P149" s="596"/>
      <c r="Q149" s="1101">
        <v>84.999999999999986</v>
      </c>
      <c r="R149" s="543"/>
      <c r="S149" s="596"/>
      <c r="T149" s="1101">
        <v>84.999999999999986</v>
      </c>
      <c r="U149" s="543"/>
      <c r="V149" s="596"/>
      <c r="W149" s="1101">
        <v>84.999999999999986</v>
      </c>
      <c r="X149" s="543"/>
      <c r="Y149" s="596"/>
      <c r="Z149" s="1101">
        <v>84.999999999999986</v>
      </c>
      <c r="AA149" s="543"/>
      <c r="AB149" s="596"/>
      <c r="AC149" s="1101">
        <v>84.999999999999986</v>
      </c>
      <c r="AD149" s="543"/>
      <c r="AE149" s="596"/>
      <c r="AF149" s="1101">
        <v>84.999999999999986</v>
      </c>
      <c r="AG149" s="543"/>
      <c r="AH149" s="596"/>
      <c r="AI149" s="1101">
        <v>84.999999999999986</v>
      </c>
      <c r="AJ149" s="543"/>
      <c r="AK149" s="596"/>
      <c r="AL149" s="1101">
        <v>84.999999999999986</v>
      </c>
      <c r="AM149" s="543"/>
      <c r="AN149" s="596"/>
      <c r="AO149" s="1101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">
      <c r="A150" s="533" t="str">
        <f t="shared" si="31"/>
        <v>Véhicules usagésDivers</v>
      </c>
      <c r="B150" s="543" t="s">
        <v>129</v>
      </c>
      <c r="C150" s="543"/>
      <c r="D150" s="596"/>
      <c r="E150" s="1080">
        <f t="shared" si="57"/>
        <v>2866.9999999999986</v>
      </c>
      <c r="F150" s="543"/>
      <c r="G150" s="596"/>
      <c r="H150" s="1101">
        <v>238.91666666666663</v>
      </c>
      <c r="I150" s="543"/>
      <c r="J150" s="596"/>
      <c r="K150" s="1101">
        <v>238.91666666666663</v>
      </c>
      <c r="L150" s="543"/>
      <c r="M150" s="596"/>
      <c r="N150" s="1101">
        <v>238.91666666666663</v>
      </c>
      <c r="O150" s="543"/>
      <c r="P150" s="596"/>
      <c r="Q150" s="1101">
        <v>238.91666666666663</v>
      </c>
      <c r="R150" s="543"/>
      <c r="S150" s="596"/>
      <c r="T150" s="1101">
        <v>238.91666666666663</v>
      </c>
      <c r="U150" s="543"/>
      <c r="V150" s="596"/>
      <c r="W150" s="1101">
        <v>238.91666666666663</v>
      </c>
      <c r="X150" s="543"/>
      <c r="Y150" s="596"/>
      <c r="Z150" s="1101">
        <v>238.91666666666663</v>
      </c>
      <c r="AA150" s="543"/>
      <c r="AB150" s="596"/>
      <c r="AC150" s="1101">
        <v>238.91666666666663</v>
      </c>
      <c r="AD150" s="543"/>
      <c r="AE150" s="596"/>
      <c r="AF150" s="1101">
        <v>238.91666666666663</v>
      </c>
      <c r="AG150" s="543"/>
      <c r="AH150" s="596"/>
      <c r="AI150" s="1101">
        <v>238.91666666666663</v>
      </c>
      <c r="AJ150" s="543"/>
      <c r="AK150" s="596"/>
      <c r="AL150" s="1101">
        <v>238.91666666666663</v>
      </c>
      <c r="AM150" s="543"/>
      <c r="AN150" s="596"/>
      <c r="AO150" s="1101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">
      <c r="A151" s="533" t="str">
        <f t="shared" si="31"/>
        <v>Véhicules usagésFormation</v>
      </c>
      <c r="B151" s="543" t="s">
        <v>130</v>
      </c>
      <c r="C151" s="543"/>
      <c r="D151" s="596"/>
      <c r="E151" s="1080">
        <f t="shared" si="57"/>
        <v>1372.1760000000004</v>
      </c>
      <c r="F151" s="543"/>
      <c r="G151" s="596"/>
      <c r="H151" s="1101">
        <v>114.34800000000004</v>
      </c>
      <c r="I151" s="543"/>
      <c r="J151" s="596"/>
      <c r="K151" s="1101">
        <v>114.34800000000004</v>
      </c>
      <c r="L151" s="543"/>
      <c r="M151" s="596"/>
      <c r="N151" s="1101">
        <v>114.34800000000004</v>
      </c>
      <c r="O151" s="543"/>
      <c r="P151" s="596"/>
      <c r="Q151" s="1101">
        <v>114.34800000000004</v>
      </c>
      <c r="R151" s="543"/>
      <c r="S151" s="596"/>
      <c r="T151" s="1101">
        <v>114.34800000000004</v>
      </c>
      <c r="U151" s="543"/>
      <c r="V151" s="596"/>
      <c r="W151" s="1101">
        <v>114.34800000000004</v>
      </c>
      <c r="X151" s="543"/>
      <c r="Y151" s="596"/>
      <c r="Z151" s="1101">
        <v>114.34800000000004</v>
      </c>
      <c r="AA151" s="543"/>
      <c r="AB151" s="596"/>
      <c r="AC151" s="1101">
        <v>114.34800000000004</v>
      </c>
      <c r="AD151" s="543"/>
      <c r="AE151" s="596"/>
      <c r="AF151" s="1101">
        <v>114.34800000000004</v>
      </c>
      <c r="AG151" s="543"/>
      <c r="AH151" s="596"/>
      <c r="AI151" s="1101">
        <v>114.34800000000004</v>
      </c>
      <c r="AJ151" s="543"/>
      <c r="AK151" s="596"/>
      <c r="AL151" s="1101">
        <v>114.34800000000004</v>
      </c>
      <c r="AM151" s="543"/>
      <c r="AN151" s="596"/>
      <c r="AO151" s="1101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">
      <c r="A152" s="533" t="str">
        <f t="shared" si="31"/>
        <v>Véhicules usagésFrais bancaires</v>
      </c>
      <c r="B152" s="543" t="s">
        <v>131</v>
      </c>
      <c r="C152" s="543"/>
      <c r="D152" s="596"/>
      <c r="E152" s="1080">
        <f t="shared" si="57"/>
        <v>15825.538695652174</v>
      </c>
      <c r="F152" s="543"/>
      <c r="G152" s="596"/>
      <c r="H152" s="1101">
        <v>843.7955826925928</v>
      </c>
      <c r="I152" s="543"/>
      <c r="J152" s="596"/>
      <c r="K152" s="1101">
        <v>885.22212974284582</v>
      </c>
      <c r="L152" s="543"/>
      <c r="M152" s="596"/>
      <c r="N152" s="1101">
        <v>1361.934379401798</v>
      </c>
      <c r="O152" s="543"/>
      <c r="P152" s="596"/>
      <c r="Q152" s="1101">
        <v>1610.4954667040513</v>
      </c>
      <c r="R152" s="543"/>
      <c r="S152" s="596"/>
      <c r="T152" s="1101">
        <v>1795.3771938359935</v>
      </c>
      <c r="U152" s="543"/>
      <c r="V152" s="596"/>
      <c r="W152" s="1101">
        <v>1491.8339037027415</v>
      </c>
      <c r="X152" s="543"/>
      <c r="Y152" s="596"/>
      <c r="Z152" s="1101">
        <v>1207.4534296559214</v>
      </c>
      <c r="AA152" s="543"/>
      <c r="AB152" s="596"/>
      <c r="AC152" s="1101">
        <v>1209.0429092304169</v>
      </c>
      <c r="AD152" s="543"/>
      <c r="AE152" s="596"/>
      <c r="AF152" s="1101">
        <v>1434.3294685962078</v>
      </c>
      <c r="AG152" s="543"/>
      <c r="AH152" s="596"/>
      <c r="AI152" s="1101">
        <v>1584.4198973003304</v>
      </c>
      <c r="AJ152" s="543"/>
      <c r="AK152" s="596"/>
      <c r="AL152" s="1101">
        <v>1450.7711409727572</v>
      </c>
      <c r="AM152" s="543"/>
      <c r="AN152" s="596"/>
      <c r="AO152" s="1101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0">
        <f t="shared" si="57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/>
      <c r="AG153" s="543"/>
      <c r="AH153" s="596"/>
      <c r="AI153" s="1080"/>
      <c r="AJ153" s="543"/>
      <c r="AK153" s="596"/>
      <c r="AL153" s="1080"/>
      <c r="AM153" s="543"/>
      <c r="AN153" s="596"/>
      <c r="AO153" s="1080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0">
        <f t="shared" si="57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/>
      <c r="AG154" s="543"/>
      <c r="AH154" s="596"/>
      <c r="AI154" s="1080"/>
      <c r="AJ154" s="543"/>
      <c r="AK154" s="596"/>
      <c r="AL154" s="1080"/>
      <c r="AM154" s="543"/>
      <c r="AN154" s="596"/>
      <c r="AO154" s="1080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0"/>
      <c r="E155" s="1080">
        <f t="shared" si="57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/>
      <c r="AG155" s="601"/>
      <c r="AH155" s="1120"/>
      <c r="AI155" s="1080"/>
      <c r="AJ155" s="601"/>
      <c r="AK155" s="1120"/>
      <c r="AL155" s="1080"/>
      <c r="AM155" s="601"/>
      <c r="AN155" s="1120"/>
      <c r="AO155" s="1080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">
      <c r="A156" s="533" t="str">
        <f t="shared" si="31"/>
        <v>Véhicules usagésTOTAL SEMI-FIXES</v>
      </c>
      <c r="B156" s="1356" t="s">
        <v>132</v>
      </c>
      <c r="C156" s="1107" t="s">
        <v>108</v>
      </c>
      <c r="D156" s="1108">
        <f>IFERROR(E156/E$111,0)</f>
        <v>0.12049229052958757</v>
      </c>
      <c r="E156" s="1109">
        <f>+SUM(E139:E155)</f>
        <v>123646.77869565217</v>
      </c>
      <c r="F156" s="1107" t="s">
        <v>108</v>
      </c>
      <c r="G156" s="1108">
        <f>IFERROR(H156/H$111,0)</f>
        <v>0.21614978846392188</v>
      </c>
      <c r="H156" s="1109">
        <f>+SUM(H139:H155)</f>
        <v>9828.8989160259262</v>
      </c>
      <c r="I156" s="1107" t="s">
        <v>108</v>
      </c>
      <c r="J156" s="1108">
        <f>IFERROR(K156/K$111,0)</f>
        <v>0.16199527868307473</v>
      </c>
      <c r="K156" s="1109">
        <f>+SUM(K139:K155)</f>
        <v>9870.3254630761785</v>
      </c>
      <c r="L156" s="1107" t="s">
        <v>108</v>
      </c>
      <c r="M156" s="1108">
        <f>IFERROR(N156/N$111,0)</f>
        <v>0.13144662378581007</v>
      </c>
      <c r="N156" s="1109">
        <f>+SUM(N139:N155)</f>
        <v>10347.037712735131</v>
      </c>
      <c r="O156" s="1107" t="s">
        <v>108</v>
      </c>
      <c r="P156" s="1108">
        <f>IFERROR(Q156/Q$111,0)</f>
        <v>0.10308173604112955</v>
      </c>
      <c r="Q156" s="1109">
        <f>+SUM(Q139:Q155)</f>
        <v>10595.598800037384</v>
      </c>
      <c r="R156" s="1107" t="s">
        <v>108</v>
      </c>
      <c r="S156" s="1108">
        <f>IFERROR(T156/T$111,0)</f>
        <v>0.12204122233688931</v>
      </c>
      <c r="T156" s="1109">
        <f>+SUM(T139:T155)</f>
        <v>10780.480527169326</v>
      </c>
      <c r="U156" s="1107" t="s">
        <v>108</v>
      </c>
      <c r="V156" s="1108">
        <f>IFERROR(W156/W$111,0)</f>
        <v>8.242429206504949E-2</v>
      </c>
      <c r="W156" s="1109">
        <f>+SUM(W139:W155)</f>
        <v>10476.937237036074</v>
      </c>
      <c r="X156" s="1107" t="s">
        <v>108</v>
      </c>
      <c r="Y156" s="1108">
        <f>IFERROR(Z156/Z$111,0)</f>
        <v>0.10475145192997892</v>
      </c>
      <c r="Z156" s="1109">
        <f>+SUM(Z139:Z155)</f>
        <v>10192.556762989254</v>
      </c>
      <c r="AA156" s="1107" t="s">
        <v>108</v>
      </c>
      <c r="AB156" s="1108">
        <f>IFERROR(AC156/AC$111,0)</f>
        <v>0.11228657383889423</v>
      </c>
      <c r="AC156" s="1109">
        <f>+SUM(AC139:AC155)</f>
        <v>10194.146242563749</v>
      </c>
      <c r="AD156" s="1107" t="s">
        <v>108</v>
      </c>
      <c r="AE156" s="1108">
        <f>IFERROR(AF156/AF$111,0)</f>
        <v>0.15062606819245267</v>
      </c>
      <c r="AF156" s="1109">
        <f>+SUM(AF139:AF155)</f>
        <v>10419.432801929541</v>
      </c>
      <c r="AG156" s="1107" t="s">
        <v>108</v>
      </c>
      <c r="AH156" s="1108">
        <f>IFERROR(AI156/AI$111,0)</f>
        <v>9.4161598501380797E-2</v>
      </c>
      <c r="AI156" s="1109">
        <f>+SUM(AI139:AI155)</f>
        <v>10569.523230633662</v>
      </c>
      <c r="AJ156" s="1107" t="s">
        <v>108</v>
      </c>
      <c r="AK156" s="1108">
        <f>IFERROR(AL156/AL$111,0)</f>
        <v>0.10799756349198963</v>
      </c>
      <c r="AL156" s="1109">
        <f>+SUM(AL139:AL155)</f>
        <v>10435.874474306089</v>
      </c>
      <c r="AM156" s="1107" t="s">
        <v>108</v>
      </c>
      <c r="AN156" s="1108">
        <f>IFERROR(AO156/AO$111,0)</f>
        <v>0.17528271583674843</v>
      </c>
      <c r="AO156" s="1109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">
      <c r="A157" s="533" t="str">
        <f t="shared" si="31"/>
        <v>Véhicules usagés</v>
      </c>
      <c r="B157" s="601"/>
      <c r="C157" s="601"/>
      <c r="D157" s="1120"/>
      <c r="E157" s="1103"/>
      <c r="F157" s="601"/>
      <c r="G157" s="1120"/>
      <c r="H157" s="1103"/>
      <c r="I157" s="601"/>
      <c r="J157" s="1120"/>
      <c r="K157" s="1103"/>
      <c r="L157" s="601"/>
      <c r="M157" s="1120"/>
      <c r="N157" s="1103"/>
      <c r="O157" s="601"/>
      <c r="P157" s="1120"/>
      <c r="Q157" s="1103"/>
      <c r="R157" s="601"/>
      <c r="S157" s="1120"/>
      <c r="T157" s="1103"/>
      <c r="U157" s="601"/>
      <c r="V157" s="1120"/>
      <c r="W157" s="1103"/>
      <c r="X157" s="601"/>
      <c r="Y157" s="1120"/>
      <c r="Z157" s="1103"/>
      <c r="AA157" s="601"/>
      <c r="AB157" s="1120"/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">
      <c r="A158" s="533" t="str">
        <f t="shared" si="31"/>
        <v>Véhicules usagésTOTAL DES DÉPENSES</v>
      </c>
      <c r="B158" s="1357" t="s">
        <v>133</v>
      </c>
      <c r="C158" s="1107" t="s">
        <v>108</v>
      </c>
      <c r="D158" s="1108">
        <f>IFERROR(E158/E$111,0)</f>
        <v>0.78216929433576521</v>
      </c>
      <c r="E158" s="1126">
        <f>E125+E138+E156</f>
        <v>802646.48646147549</v>
      </c>
      <c r="F158" s="1107" t="s">
        <v>108</v>
      </c>
      <c r="G158" s="1108">
        <f>IFERROR(H158/H$111,0)</f>
        <v>1.1360774713022157</v>
      </c>
      <c r="H158" s="1126">
        <f>H125+H138+H156</f>
        <v>51660.428194532491</v>
      </c>
      <c r="I158" s="1107" t="s">
        <v>108</v>
      </c>
      <c r="J158" s="1108">
        <f>IFERROR(K158/K$111,0)</f>
        <v>0.88687692044331057</v>
      </c>
      <c r="K158" s="1126">
        <f>K125+K138+K156</f>
        <v>54037.15417899267</v>
      </c>
      <c r="L158" s="1107" t="s">
        <v>108</v>
      </c>
      <c r="M158" s="1108">
        <f>IFERROR(N158/N$111,0)</f>
        <v>0.81002722005409866</v>
      </c>
      <c r="N158" s="1126">
        <f>N125+N138+N156</f>
        <v>63762.628151629593</v>
      </c>
      <c r="O158" s="1107" t="s">
        <v>108</v>
      </c>
      <c r="P158" s="1108">
        <f>IFERROR(Q158/Q$111,0)</f>
        <v>0.72442341394571841</v>
      </c>
      <c r="Q158" s="1126">
        <f>Q125+Q138+Q156</f>
        <v>74462.268005067745</v>
      </c>
      <c r="R158" s="1107" t="s">
        <v>108</v>
      </c>
      <c r="S158" s="1108">
        <f>IFERROR(T158/T$111,0)</f>
        <v>0.7606659817889776</v>
      </c>
      <c r="T158" s="1126">
        <f>T125+T138+T156</f>
        <v>67193.237230282131</v>
      </c>
      <c r="U158" s="1107" t="s">
        <v>108</v>
      </c>
      <c r="V158" s="1108">
        <f>IFERROR(W158/W$111,0)</f>
        <v>0.67583802862205933</v>
      </c>
      <c r="W158" s="1126">
        <f>W125+W138+W156</f>
        <v>85905.652701116167</v>
      </c>
      <c r="X158" s="1107" t="s">
        <v>108</v>
      </c>
      <c r="Y158" s="1108">
        <f>IFERROR(Z158/Z$111,0)</f>
        <v>0.74787394268119878</v>
      </c>
      <c r="Z158" s="1126">
        <f>Z125+Z138+Z156</f>
        <v>72769.851604864758</v>
      </c>
      <c r="AA158" s="1107" t="s">
        <v>108</v>
      </c>
      <c r="AB158" s="1108">
        <f>IFERROR(AC158/AC$111,0)</f>
        <v>0.74218802138104945</v>
      </c>
      <c r="AC158" s="1126">
        <f>AC125+AC138+AC156</f>
        <v>67380.92517002883</v>
      </c>
      <c r="AD158" s="1107" t="s">
        <v>108</v>
      </c>
      <c r="AE158" s="1108">
        <f>IFERROR(AF158/AF$111,0)</f>
        <v>0.85682425516414695</v>
      </c>
      <c r="AF158" s="1126">
        <f>AF125+AF138+AF156</f>
        <v>59270.104151822314</v>
      </c>
      <c r="AG158" s="1107" t="s">
        <v>108</v>
      </c>
      <c r="AH158" s="1108">
        <f>IFERROR(AI158/AI$111,0)</f>
        <v>0.70296454742324432</v>
      </c>
      <c r="AI158" s="1126">
        <f>AI125+AI138+AI156</f>
        <v>78906.902947202034</v>
      </c>
      <c r="AJ158" s="1107" t="s">
        <v>108</v>
      </c>
      <c r="AK158" s="1108">
        <f>IFERROR(AL158/AL$111,0)</f>
        <v>0.7162027988312144</v>
      </c>
      <c r="AL158" s="1126">
        <f>AL125+AL138+AL156</f>
        <v>69207.140097226569</v>
      </c>
      <c r="AM158" s="1107" t="s">
        <v>108</v>
      </c>
      <c r="AN158" s="1108">
        <f>IFERROR(AO158/AO$111,0)</f>
        <v>1.0247827370405596</v>
      </c>
      <c r="AO158" s="1126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">
      <c r="A159" s="533" t="str">
        <f t="shared" si="31"/>
        <v>Véhicules usagésRBSC used</v>
      </c>
      <c r="B159" s="543" t="s">
        <v>394</v>
      </c>
      <c r="C159" s="1148"/>
      <c r="D159" s="1162"/>
      <c r="E159" s="1080">
        <f t="shared" ref="E159:E165" si="84">+SUM(H159,K159,N159,Q159,T159,W159,Z159,AC159,AF159,AI159,AL159,AO159)</f>
        <v>56250</v>
      </c>
      <c r="F159" s="1148"/>
      <c r="G159" s="1162"/>
      <c r="H159" s="1101">
        <v>3000</v>
      </c>
      <c r="I159" s="1148"/>
      <c r="J159" s="1162"/>
      <c r="K159" s="1101">
        <v>2625</v>
      </c>
      <c r="L159" s="1148"/>
      <c r="M159" s="1162"/>
      <c r="N159" s="1101">
        <v>4500</v>
      </c>
      <c r="O159" s="1148"/>
      <c r="P159" s="1162"/>
      <c r="Q159" s="1101">
        <v>5625</v>
      </c>
      <c r="R159" s="1148"/>
      <c r="S159" s="1162"/>
      <c r="T159" s="1101">
        <v>4500</v>
      </c>
      <c r="U159" s="1148"/>
      <c r="V159" s="1162"/>
      <c r="W159" s="1101">
        <v>7125</v>
      </c>
      <c r="X159" s="1148"/>
      <c r="Y159" s="1162"/>
      <c r="Z159" s="1101">
        <v>5250</v>
      </c>
      <c r="AA159" s="1148"/>
      <c r="AB159" s="1162"/>
      <c r="AC159" s="1101">
        <v>5250</v>
      </c>
      <c r="AD159" s="1148"/>
      <c r="AE159" s="1162"/>
      <c r="AF159" s="1101">
        <v>3750</v>
      </c>
      <c r="AG159" s="1148"/>
      <c r="AH159" s="1162"/>
      <c r="AI159" s="1101">
        <v>6375</v>
      </c>
      <c r="AJ159" s="1148"/>
      <c r="AK159" s="1162"/>
      <c r="AL159" s="1101">
        <v>5250</v>
      </c>
      <c r="AM159" s="1148"/>
      <c r="AN159" s="1162"/>
      <c r="AO159" s="1101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">
      <c r="A160" s="533" t="str">
        <f t="shared" si="31"/>
        <v>Véhicules usagésProgramme 360</v>
      </c>
      <c r="B160" s="543" t="s">
        <v>395</v>
      </c>
      <c r="C160" s="1148"/>
      <c r="D160" s="1162"/>
      <c r="E160" s="1080">
        <f t="shared" si="84"/>
        <v>0</v>
      </c>
      <c r="F160" s="1148"/>
      <c r="G160" s="1162"/>
      <c r="H160" s="1101">
        <v>0</v>
      </c>
      <c r="I160" s="1148"/>
      <c r="J160" s="1162"/>
      <c r="K160" s="1101">
        <v>0</v>
      </c>
      <c r="L160" s="1148"/>
      <c r="M160" s="1162"/>
      <c r="N160" s="1101">
        <v>0</v>
      </c>
      <c r="O160" s="1148"/>
      <c r="P160" s="1162"/>
      <c r="Q160" s="1101">
        <v>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">
      <c r="A161" s="533" t="str">
        <f t="shared" si="31"/>
        <v>Véhicules usagésProgramme used 3</v>
      </c>
      <c r="B161" s="543" t="s">
        <v>146</v>
      </c>
      <c r="C161" s="543"/>
      <c r="D161" s="596"/>
      <c r="E161" s="1080">
        <f t="shared" si="84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/>
      <c r="AG161" s="543"/>
      <c r="AH161" s="596"/>
      <c r="AI161" s="1101"/>
      <c r="AJ161" s="543"/>
      <c r="AK161" s="596"/>
      <c r="AL161" s="1101"/>
      <c r="AM161" s="543"/>
      <c r="AN161" s="596"/>
      <c r="AO161" s="1101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0">
        <f t="shared" si="84"/>
        <v>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/>
      <c r="AG162" s="543"/>
      <c r="AH162" s="596"/>
      <c r="AI162" s="1101"/>
      <c r="AJ162" s="543"/>
      <c r="AK162" s="596"/>
      <c r="AL162" s="1101"/>
      <c r="AM162" s="543"/>
      <c r="AN162" s="596"/>
      <c r="AO162" s="1101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0">
        <f t="shared" si="84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/>
      <c r="AG163" s="543"/>
      <c r="AH163" s="596"/>
      <c r="AI163" s="1101"/>
      <c r="AJ163" s="543"/>
      <c r="AK163" s="596"/>
      <c r="AL163" s="1101"/>
      <c r="AM163" s="543"/>
      <c r="AN163" s="596"/>
      <c r="AO163" s="1101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0">
        <f t="shared" si="84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/>
      <c r="AG164" s="543"/>
      <c r="AH164" s="596"/>
      <c r="AI164" s="1101"/>
      <c r="AJ164" s="543"/>
      <c r="AK164" s="596"/>
      <c r="AL164" s="1101"/>
      <c r="AM164" s="543"/>
      <c r="AN164" s="596"/>
      <c r="AO164" s="1101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">
      <c r="A165" s="533" t="str">
        <f t="shared" si="85"/>
        <v>Véhicules usagésFrais administration</v>
      </c>
      <c r="B165" s="601" t="s">
        <v>137</v>
      </c>
      <c r="C165" s="601"/>
      <c r="D165" s="1120"/>
      <c r="E165" s="1103">
        <f t="shared" si="84"/>
        <v>126437.5</v>
      </c>
      <c r="F165" s="601"/>
      <c r="G165" s="1120"/>
      <c r="H165" s="1105">
        <v>5563.25</v>
      </c>
      <c r="I165" s="601"/>
      <c r="J165" s="1120"/>
      <c r="K165" s="1105">
        <v>7586.25</v>
      </c>
      <c r="L165" s="601"/>
      <c r="M165" s="1120"/>
      <c r="N165" s="1105">
        <v>9609.25</v>
      </c>
      <c r="O165" s="601"/>
      <c r="P165" s="1120"/>
      <c r="Q165" s="1105">
        <v>12643.75</v>
      </c>
      <c r="R165" s="601"/>
      <c r="S165" s="1120"/>
      <c r="T165" s="1105">
        <v>10115</v>
      </c>
      <c r="U165" s="601"/>
      <c r="V165" s="1120"/>
      <c r="W165" s="1105">
        <v>16184</v>
      </c>
      <c r="X165" s="601"/>
      <c r="Y165" s="1120"/>
      <c r="Z165" s="1105">
        <v>12138</v>
      </c>
      <c r="AA165" s="601"/>
      <c r="AB165" s="1120"/>
      <c r="AC165" s="1105">
        <v>11126.5</v>
      </c>
      <c r="AD165" s="601"/>
      <c r="AE165" s="1120"/>
      <c r="AF165" s="1105">
        <v>8092</v>
      </c>
      <c r="AG165" s="601"/>
      <c r="AH165" s="1120"/>
      <c r="AI165" s="1105">
        <v>14161</v>
      </c>
      <c r="AJ165" s="601"/>
      <c r="AK165" s="1120"/>
      <c r="AL165" s="1105">
        <v>12138</v>
      </c>
      <c r="AM165" s="601"/>
      <c r="AN165" s="1120"/>
      <c r="AO165" s="1105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">
      <c r="A166" s="533" t="str">
        <f t="shared" si="85"/>
        <v>Véhicules usagésAUTRES REVENUS</v>
      </c>
      <c r="B166" s="1357" t="s">
        <v>138</v>
      </c>
      <c r="C166" s="1163"/>
      <c r="D166" s="1164"/>
      <c r="E166" s="1126">
        <f>+SUM(E159:E165)</f>
        <v>182687.5</v>
      </c>
      <c r="F166" s="1163"/>
      <c r="G166" s="1164"/>
      <c r="H166" s="1126">
        <f>+SUM(H159:H165)</f>
        <v>8563.25</v>
      </c>
      <c r="I166" s="1163"/>
      <c r="J166" s="1164"/>
      <c r="K166" s="1126">
        <f>+SUM(K159:K165)</f>
        <v>10211.25</v>
      </c>
      <c r="L166" s="1163"/>
      <c r="M166" s="1164"/>
      <c r="N166" s="1126">
        <f>+SUM(N159:N165)</f>
        <v>14109.25</v>
      </c>
      <c r="O166" s="1163"/>
      <c r="P166" s="1164"/>
      <c r="Q166" s="1126">
        <f>+SUM(Q159:Q165)</f>
        <v>18268.75</v>
      </c>
      <c r="R166" s="1163"/>
      <c r="S166" s="1164"/>
      <c r="T166" s="1126">
        <f>+SUM(T159:T165)</f>
        <v>14615</v>
      </c>
      <c r="U166" s="1163"/>
      <c r="V166" s="1164"/>
      <c r="W166" s="1126">
        <f>+SUM(W159:W165)</f>
        <v>23309</v>
      </c>
      <c r="X166" s="1163"/>
      <c r="Y166" s="1164"/>
      <c r="Z166" s="1126">
        <f>+SUM(Z159:Z165)</f>
        <v>17388</v>
      </c>
      <c r="AA166" s="1163"/>
      <c r="AB166" s="1164"/>
      <c r="AC166" s="1126">
        <f>+SUM(AC159:AC165)</f>
        <v>16376.5</v>
      </c>
      <c r="AD166" s="1163"/>
      <c r="AE166" s="1164"/>
      <c r="AF166" s="1126">
        <f>+SUM(AF159:AF165)</f>
        <v>11842</v>
      </c>
      <c r="AG166" s="1163"/>
      <c r="AH166" s="1164"/>
      <c r="AI166" s="1126">
        <f>+SUM(AI159:AI165)</f>
        <v>20536</v>
      </c>
      <c r="AJ166" s="1163"/>
      <c r="AK166" s="1164"/>
      <c r="AL166" s="1126">
        <f>+SUM(AL159:AL165)</f>
        <v>17388</v>
      </c>
      <c r="AM166" s="1163"/>
      <c r="AN166" s="1164"/>
      <c r="AO166" s="1126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">
      <c r="A167" s="533" t="str">
        <f t="shared" si="85"/>
        <v>Véhicules usagés</v>
      </c>
      <c r="B167" s="5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85"/>
        <v>Véhicules usagésPROFIT DÉPARTEMENTAL</v>
      </c>
      <c r="B168" s="1167" t="s">
        <v>139</v>
      </c>
      <c r="C168" s="1167"/>
      <c r="D168" s="1168"/>
      <c r="E168" s="1141">
        <f>E111-E158+E166</f>
        <v>406221.01353852451</v>
      </c>
      <c r="F168" s="1167"/>
      <c r="G168" s="1168"/>
      <c r="H168" s="1141">
        <f>H111-H158+H166</f>
        <v>2375.4497727462876</v>
      </c>
      <c r="I168" s="1167"/>
      <c r="J168" s="1168"/>
      <c r="K168" s="1141">
        <f>K111-K158+K166</f>
        <v>17103.806509590686</v>
      </c>
      <c r="L168" s="1167"/>
      <c r="M168" s="1168"/>
      <c r="N168" s="1141">
        <f>N111-N158+N166</f>
        <v>29063.270589348678</v>
      </c>
      <c r="O168" s="1167"/>
      <c r="P168" s="1168"/>
      <c r="Q168" s="1141">
        <f>Q111-Q158+Q166</f>
        <v>46594.805193231383</v>
      </c>
      <c r="R168" s="1167"/>
      <c r="S168" s="1168"/>
      <c r="T168" s="1141">
        <f>T111-T158+T166</f>
        <v>35756.510002995274</v>
      </c>
      <c r="U168" s="1167"/>
      <c r="V168" s="1168"/>
      <c r="W168" s="1141">
        <f>W111-W158+W166</f>
        <v>64513.171048023782</v>
      </c>
      <c r="X168" s="1167"/>
      <c r="Y168" s="1168"/>
      <c r="Z168" s="1141">
        <f>Z111-Z158+Z166</f>
        <v>41920.444212499817</v>
      </c>
      <c r="AA168" s="1167"/>
      <c r="AB168" s="1168"/>
      <c r="AC168" s="1141">
        <f>AC111-AC158+AC166</f>
        <v>39782.441808297866</v>
      </c>
      <c r="AD168" s="1167"/>
      <c r="AE168" s="1168"/>
      <c r="AF168" s="1141">
        <f>AF111-AF158+AF166</f>
        <v>21746.062889547895</v>
      </c>
      <c r="AG168" s="1167"/>
      <c r="AH168" s="1168"/>
      <c r="AI168" s="1141">
        <f>AI111-AI158+AI166</f>
        <v>53877.862991904971</v>
      </c>
      <c r="AJ168" s="1167"/>
      <c r="AK168" s="1168"/>
      <c r="AL168" s="1141">
        <f>AL111-AL158+AL166</f>
        <v>44811.5072699257</v>
      </c>
      <c r="AM168" s="1167"/>
      <c r="AN168" s="1168"/>
      <c r="AO168" s="1141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">
      <c r="A169" s="533"/>
      <c r="B169" s="604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">
      <c r="A171" s="533"/>
      <c r="B171" s="605" t="str">
        <f>B4</f>
        <v>Budget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">
      <c r="A174" s="533" t="str">
        <f>+$C$171&amp;B174</f>
        <v>Service</v>
      </c>
      <c r="B174" s="5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">
      <c r="A175" s="533" t="str">
        <f t="shared" ref="A175:A236" si="86">+$C$171&amp;B175</f>
        <v>ServiceM/O Client</v>
      </c>
      <c r="B175" s="543" t="s">
        <v>151</v>
      </c>
      <c r="C175" s="1172">
        <f>+SUM(F175,I175,L175,O175,R175,U175,X175,AA175,AD175,AG175,AJ175,AM175)</f>
        <v>2600</v>
      </c>
      <c r="D175" s="1099">
        <f>+SUM(G175,J175,M175,P175,S175,V175,Y175,AB175,AE175,AH175,AK175,AN175)</f>
        <v>923000</v>
      </c>
      <c r="E175" s="1080">
        <f>+SUM(H175,K175,N175,Q175,T175,W175,Z175,AC175,AF175,AI175,AL175,AO175)</f>
        <v>729170</v>
      </c>
      <c r="F175" s="1173">
        <v>117.9216514396158</v>
      </c>
      <c r="G175" s="1174">
        <v>41862.186261063609</v>
      </c>
      <c r="H175" s="1101">
        <v>33071.127146240251</v>
      </c>
      <c r="I175" s="1173">
        <v>116.42633052142237</v>
      </c>
      <c r="J175" s="1174">
        <v>41331.34733510494</v>
      </c>
      <c r="K175" s="1101">
        <v>32651.764394732905</v>
      </c>
      <c r="L175" s="1173">
        <v>163.91358297573748</v>
      </c>
      <c r="M175" s="1174">
        <v>58189.321956386812</v>
      </c>
      <c r="N175" s="1101">
        <v>45969.564345545587</v>
      </c>
      <c r="O175" s="1173">
        <v>341.19231900854373</v>
      </c>
      <c r="P175" s="1174">
        <v>121123.27324803303</v>
      </c>
      <c r="Q175" s="1101">
        <v>95687.385865946097</v>
      </c>
      <c r="R175" s="1173">
        <v>316.84211505909121</v>
      </c>
      <c r="S175" s="1174">
        <v>112478.95084597738</v>
      </c>
      <c r="T175" s="1101">
        <v>88858.371168322134</v>
      </c>
      <c r="U175" s="1173">
        <v>193.62917110044651</v>
      </c>
      <c r="V175" s="1174">
        <v>68738.355740658517</v>
      </c>
      <c r="W175" s="1101">
        <v>54303.301035120232</v>
      </c>
      <c r="X175" s="1173">
        <v>245.75458680165934</v>
      </c>
      <c r="Y175" s="1174">
        <v>87242.878314589063</v>
      </c>
      <c r="Z175" s="1101">
        <v>68921.873868525363</v>
      </c>
      <c r="AA175" s="1173">
        <v>178.40064261407269</v>
      </c>
      <c r="AB175" s="1174">
        <v>63332.228127995812</v>
      </c>
      <c r="AC175" s="1101">
        <v>50032.460221116693</v>
      </c>
      <c r="AD175" s="1173">
        <v>128.9872936878476</v>
      </c>
      <c r="AE175" s="1174">
        <v>45790.489259185902</v>
      </c>
      <c r="AF175" s="1101">
        <v>36174.486514756863</v>
      </c>
      <c r="AG175" s="1173">
        <v>310.08788017530452</v>
      </c>
      <c r="AH175" s="1174">
        <v>110081.19746223309</v>
      </c>
      <c r="AI175" s="1101">
        <v>86964.145995164145</v>
      </c>
      <c r="AJ175" s="1173">
        <v>362.87476806200488</v>
      </c>
      <c r="AK175" s="1174">
        <v>128820.54266201174</v>
      </c>
      <c r="AL175" s="1101">
        <v>101768.22870298928</v>
      </c>
      <c r="AM175" s="1173">
        <v>123.96965855425371</v>
      </c>
      <c r="AN175" s="1174">
        <v>44009.228786760068</v>
      </c>
      <c r="AO175" s="1101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">
      <c r="A176" s="533" t="str">
        <f t="shared" si="86"/>
        <v>Service% profit / ventes</v>
      </c>
      <c r="B176" s="543" t="s">
        <v>152</v>
      </c>
      <c r="C176" s="1172"/>
      <c r="D176" s="596"/>
      <c r="E176" s="1175">
        <f>IF(E175=0,0,E175/D175)</f>
        <v>0.79</v>
      </c>
      <c r="F176" s="1172"/>
      <c r="G176" s="596"/>
      <c r="H176" s="1175">
        <f>IF(H175=0,0,H175/G175)</f>
        <v>0.79</v>
      </c>
      <c r="I176" s="1172"/>
      <c r="J176" s="596"/>
      <c r="K176" s="1175">
        <f>IF(K175=0,0,K175/J175)</f>
        <v>0.79</v>
      </c>
      <c r="L176" s="1172"/>
      <c r="M176" s="596"/>
      <c r="N176" s="1175">
        <f>IF(N175=0,0,N175/M175)</f>
        <v>0.79000000000000015</v>
      </c>
      <c r="O176" s="1172"/>
      <c r="P176" s="596"/>
      <c r="Q176" s="1175">
        <f>IF(Q175=0,0,Q175/P175)</f>
        <v>0.79</v>
      </c>
      <c r="R176" s="1172"/>
      <c r="S176" s="596"/>
      <c r="T176" s="1175">
        <f>IF(T175=0,0,T175/S175)</f>
        <v>0.79</v>
      </c>
      <c r="U176" s="1172"/>
      <c r="V176" s="596"/>
      <c r="W176" s="1175">
        <f>IF(W175=0,0,W175/V175)</f>
        <v>0.79</v>
      </c>
      <c r="X176" s="1172"/>
      <c r="Y176" s="596"/>
      <c r="Z176" s="1175">
        <f>IF(Z175=0,0,Z175/Y175)</f>
        <v>0.79</v>
      </c>
      <c r="AA176" s="1172"/>
      <c r="AB176" s="596"/>
      <c r="AC176" s="1175">
        <f>IF(AC175=0,0,AC175/AB175)</f>
        <v>0.79</v>
      </c>
      <c r="AD176" s="1172"/>
      <c r="AE176" s="596"/>
      <c r="AF176" s="1175">
        <f>IF(AF175=0,0,AF175/AE175)</f>
        <v>0.79</v>
      </c>
      <c r="AG176" s="1172"/>
      <c r="AH176" s="596"/>
      <c r="AI176" s="1175">
        <f>IF(AI175=0,0,AI175/AH175)</f>
        <v>0.79</v>
      </c>
      <c r="AJ176" s="1172"/>
      <c r="AK176" s="596"/>
      <c r="AL176" s="1175">
        <f>IF(AL175=0,0,AL175/AK175)</f>
        <v>0.79</v>
      </c>
      <c r="AM176" s="1172"/>
      <c r="AN176" s="596"/>
      <c r="AO176" s="1175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">
      <c r="A177" s="533" t="str">
        <f t="shared" si="86"/>
        <v>Service</v>
      </c>
      <c r="B177" s="601"/>
      <c r="C177" s="1176"/>
      <c r="D177" s="1177">
        <f>IFERROR(D175/C175,0)</f>
        <v>355</v>
      </c>
      <c r="E177" s="1178"/>
      <c r="F177" s="1176"/>
      <c r="G177" s="1177">
        <f>IFERROR(G175/F175,0)</f>
        <v>355</v>
      </c>
      <c r="H177" s="1178"/>
      <c r="I177" s="1176"/>
      <c r="J177" s="1177">
        <f>IFERROR(J175/I175,0)</f>
        <v>355</v>
      </c>
      <c r="K177" s="1178"/>
      <c r="L177" s="1176"/>
      <c r="M177" s="1177">
        <f>IFERROR(M175/L175,0)</f>
        <v>355.00000000000006</v>
      </c>
      <c r="N177" s="1178"/>
      <c r="O177" s="1176"/>
      <c r="P177" s="1177">
        <f>IFERROR(P175/O175,0)</f>
        <v>355</v>
      </c>
      <c r="Q177" s="1178"/>
      <c r="R177" s="1176"/>
      <c r="S177" s="1177">
        <f>IFERROR(S175/R175,0)</f>
        <v>355</v>
      </c>
      <c r="T177" s="1178"/>
      <c r="U177" s="1176"/>
      <c r="V177" s="1177">
        <f>IFERROR(V175/U175,0)</f>
        <v>355</v>
      </c>
      <c r="W177" s="1178"/>
      <c r="X177" s="1176"/>
      <c r="Y177" s="1177">
        <f>IFERROR(Y175/X175,0)</f>
        <v>355</v>
      </c>
      <c r="Z177" s="1178"/>
      <c r="AA177" s="1176"/>
      <c r="AB177" s="1177">
        <f>IFERROR(AB175/AA175,0)</f>
        <v>355</v>
      </c>
      <c r="AC177" s="1178"/>
      <c r="AD177" s="1176"/>
      <c r="AE177" s="1177">
        <f>IFERROR(AE175/AD175,0)</f>
        <v>355.00000000000006</v>
      </c>
      <c r="AF177" s="1178"/>
      <c r="AG177" s="1176"/>
      <c r="AH177" s="1177">
        <f>IFERROR(AH175/AG175,0)</f>
        <v>354.99999999999994</v>
      </c>
      <c r="AI177" s="1178"/>
      <c r="AJ177" s="1176"/>
      <c r="AK177" s="1177">
        <f>IFERROR(AK175/AJ175,0)</f>
        <v>355</v>
      </c>
      <c r="AL177" s="1178"/>
      <c r="AM177" s="1176"/>
      <c r="AN177" s="1177">
        <f>IFERROR(AN175/AM175,0)</f>
        <v>355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">
      <c r="A178" s="533" t="str">
        <f t="shared" si="86"/>
        <v>ServiceM/O Garantie</v>
      </c>
      <c r="B178" s="1115" t="s">
        <v>153</v>
      </c>
      <c r="C178" s="1179">
        <f>+SUM(F178,I178,L178,O178,R178,U178,X178,AA178,AD178,AG178,AJ178,AM178)</f>
        <v>2300</v>
      </c>
      <c r="D178" s="1180">
        <f>+SUM(G178,J178,M178,P178,S178,V178,Y178,AB178,AE178,AH178,AK178,AN178)</f>
        <v>437000</v>
      </c>
      <c r="E178" s="1117">
        <f>+SUM(H178,K178,N178,Q178,T178,W178,Z178,AC178,AF178,AI178,AL178,AO178)</f>
        <v>290168</v>
      </c>
      <c r="F178" s="1173">
        <v>156.9784805865032</v>
      </c>
      <c r="G178" s="1182">
        <v>29825.911311435611</v>
      </c>
      <c r="H178" s="1118">
        <v>19804.405110793246</v>
      </c>
      <c r="I178" s="1173">
        <v>156.17561678755447</v>
      </c>
      <c r="J178" s="1182">
        <v>29673.367189635352</v>
      </c>
      <c r="K178" s="1118">
        <v>19703.115813917873</v>
      </c>
      <c r="L178" s="1173">
        <v>150.77325735991843</v>
      </c>
      <c r="M178" s="1182">
        <v>28646.918898384502</v>
      </c>
      <c r="N178" s="1118">
        <v>19021.55414852731</v>
      </c>
      <c r="O178" s="1173">
        <v>132.18758015874224</v>
      </c>
      <c r="P178" s="1182">
        <v>25115.640230161021</v>
      </c>
      <c r="Q178" s="1118">
        <v>16676.785112826918</v>
      </c>
      <c r="R178" s="1173">
        <v>193.21604309171124</v>
      </c>
      <c r="S178" s="1182">
        <v>36711.048187425135</v>
      </c>
      <c r="T178" s="1118">
        <v>24376.135996450292</v>
      </c>
      <c r="U178" s="1173">
        <v>237.54343805073546</v>
      </c>
      <c r="V178" s="1182">
        <v>45133.25322963974</v>
      </c>
      <c r="W178" s="1118">
        <v>29968.480144480789</v>
      </c>
      <c r="X178" s="1173">
        <v>242.71829138087605</v>
      </c>
      <c r="Y178" s="1182">
        <v>46116.475362366451</v>
      </c>
      <c r="Z178" s="1118">
        <v>30621.339640611324</v>
      </c>
      <c r="AA178" s="1173">
        <v>237.68051047440275</v>
      </c>
      <c r="AB178" s="1182">
        <v>45159.296990136521</v>
      </c>
      <c r="AC178" s="1118">
        <v>29985.773201450651</v>
      </c>
      <c r="AD178" s="1173">
        <v>230.90603514551307</v>
      </c>
      <c r="AE178" s="1182">
        <v>43872.146677647484</v>
      </c>
      <c r="AF178" s="1118">
        <v>29131.105393957932</v>
      </c>
      <c r="AG178" s="1173">
        <v>188.69745026870254</v>
      </c>
      <c r="AH178" s="1182">
        <v>35852.515551053482</v>
      </c>
      <c r="AI178" s="1118">
        <v>23806.070325899513</v>
      </c>
      <c r="AJ178" s="1173">
        <v>182.92167515915173</v>
      </c>
      <c r="AK178" s="1182">
        <v>34755.118280238828</v>
      </c>
      <c r="AL178" s="1118">
        <v>23077.398538078582</v>
      </c>
      <c r="AM178" s="1173">
        <v>190.20162153618875</v>
      </c>
      <c r="AN178" s="1182">
        <v>36138.308091875864</v>
      </c>
      <c r="AO178" s="1118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">
      <c r="A179" s="533" t="str">
        <f t="shared" si="86"/>
        <v>Service% profit / ventes</v>
      </c>
      <c r="B179" s="543" t="s">
        <v>152</v>
      </c>
      <c r="C179" s="543"/>
      <c r="D179" s="596"/>
      <c r="E179" s="1175">
        <f>IF(E178=0,0,E178/D178)</f>
        <v>0.66400000000000003</v>
      </c>
      <c r="F179" s="543"/>
      <c r="G179" s="596"/>
      <c r="H179" s="1175">
        <f>IF(H178=0,0,H178/G178)</f>
        <v>0.66400000000000003</v>
      </c>
      <c r="I179" s="543"/>
      <c r="J179" s="596"/>
      <c r="K179" s="1175">
        <f>IF(K178=0,0,K178/J178)</f>
        <v>0.66400000000000003</v>
      </c>
      <c r="L179" s="543"/>
      <c r="M179" s="596"/>
      <c r="N179" s="1175">
        <f>IF(N178=0,0,N178/M178)</f>
        <v>0.66400000000000003</v>
      </c>
      <c r="O179" s="543"/>
      <c r="P179" s="596"/>
      <c r="Q179" s="1175">
        <f>IF(Q178=0,0,Q178/P178)</f>
        <v>0.66399999999999992</v>
      </c>
      <c r="R179" s="543"/>
      <c r="S179" s="596"/>
      <c r="T179" s="1175">
        <f>IF(T178=0,0,T178/S178)</f>
        <v>0.66400000000000003</v>
      </c>
      <c r="U179" s="543"/>
      <c r="V179" s="596"/>
      <c r="W179" s="1175">
        <f>IF(W178=0,0,W178/V178)</f>
        <v>0.66400000000000003</v>
      </c>
      <c r="X179" s="543"/>
      <c r="Y179" s="596"/>
      <c r="Z179" s="1175">
        <f>IF(Z178=0,0,Z178/Y178)</f>
        <v>0.66400000000000003</v>
      </c>
      <c r="AA179" s="543"/>
      <c r="AB179" s="596"/>
      <c r="AC179" s="1175">
        <f>IF(AC178=0,0,AC178/AB178)</f>
        <v>0.66400000000000003</v>
      </c>
      <c r="AD179" s="543"/>
      <c r="AE179" s="596"/>
      <c r="AF179" s="1175">
        <f>IF(AF178=0,0,AF178/AE178)</f>
        <v>0.66400000000000003</v>
      </c>
      <c r="AG179" s="543"/>
      <c r="AH179" s="596"/>
      <c r="AI179" s="1175">
        <f>IF(AI178=0,0,AI178/AH178)</f>
        <v>0.66400000000000003</v>
      </c>
      <c r="AJ179" s="543"/>
      <c r="AK179" s="596"/>
      <c r="AL179" s="1175">
        <f>IF(AL178=0,0,AL178/AK178)</f>
        <v>0.66400000000000003</v>
      </c>
      <c r="AM179" s="543"/>
      <c r="AN179" s="596"/>
      <c r="AO179" s="1175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">
      <c r="A180" s="533" t="str">
        <f t="shared" si="86"/>
        <v>Service</v>
      </c>
      <c r="B180" s="601"/>
      <c r="C180" s="601"/>
      <c r="D180" s="1177">
        <f>IFERROR(D178/C178,0)</f>
        <v>190</v>
      </c>
      <c r="E180" s="1178"/>
      <c r="F180" s="601"/>
      <c r="G180" s="1177">
        <f>IFERROR(G178/F178,0)</f>
        <v>190.00000000000003</v>
      </c>
      <c r="H180" s="1178"/>
      <c r="I180" s="601"/>
      <c r="J180" s="1177">
        <f>IFERROR(J178/I178,0)</f>
        <v>190</v>
      </c>
      <c r="K180" s="1178"/>
      <c r="L180" s="601"/>
      <c r="M180" s="1177">
        <f>IFERROR(M178/L178,0)</f>
        <v>190</v>
      </c>
      <c r="N180" s="1178"/>
      <c r="O180" s="601"/>
      <c r="P180" s="1177">
        <f>IFERROR(P178/O178,0)</f>
        <v>189.99999999999997</v>
      </c>
      <c r="Q180" s="1178"/>
      <c r="R180" s="601"/>
      <c r="S180" s="1177">
        <f>IFERROR(S178/R178,0)</f>
        <v>190</v>
      </c>
      <c r="T180" s="1178"/>
      <c r="U180" s="601"/>
      <c r="V180" s="1177">
        <f>IFERROR(V178/U178,0)</f>
        <v>190</v>
      </c>
      <c r="W180" s="1178"/>
      <c r="X180" s="601"/>
      <c r="Y180" s="1177">
        <f>IFERROR(Y178/X178,0)</f>
        <v>190</v>
      </c>
      <c r="Z180" s="1178"/>
      <c r="AA180" s="601"/>
      <c r="AB180" s="1177">
        <f>IFERROR(AB178/AA178,0)</f>
        <v>190</v>
      </c>
      <c r="AC180" s="1178"/>
      <c r="AD180" s="601"/>
      <c r="AE180" s="1177">
        <f>IFERROR(AE178/AD178,0)</f>
        <v>190</v>
      </c>
      <c r="AF180" s="1178"/>
      <c r="AG180" s="601"/>
      <c r="AH180" s="1177">
        <f>IFERROR(AH178/AG178,0)</f>
        <v>190</v>
      </c>
      <c r="AI180" s="1178"/>
      <c r="AJ180" s="601"/>
      <c r="AK180" s="1177">
        <f>IFERROR(AK178/AJ178,0)</f>
        <v>190</v>
      </c>
      <c r="AL180" s="1178"/>
      <c r="AM180" s="601"/>
      <c r="AN180" s="1177">
        <f>IFERROR(AN178/AM178,0)</f>
        <v>190</v>
      </c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">
      <c r="A181" s="533" t="str">
        <f t="shared" si="86"/>
        <v>ServiceM/O Interne</v>
      </c>
      <c r="B181" s="543" t="s">
        <v>154</v>
      </c>
      <c r="C181" s="1172">
        <f>+SUM(F181,I181,L181,O181,R181,U181,X181,AA181,AD181,AG181,AJ181,AM181)</f>
        <v>2250</v>
      </c>
      <c r="D181" s="1099">
        <f>+SUM(G181,J181,M181,P181,S181,V181,Y181,AB181,AE181,AH181,AK181,AN181)</f>
        <v>900000</v>
      </c>
      <c r="E181" s="1080">
        <f>+SUM(H181,K181,N181,Q181,T181,W181,Z181,AC181,AF181,AI181,AL181,AO181)</f>
        <v>677700</v>
      </c>
      <c r="F181" s="1173">
        <v>120</v>
      </c>
      <c r="G181" s="1174">
        <v>48000</v>
      </c>
      <c r="H181" s="1101">
        <v>36144</v>
      </c>
      <c r="I181" s="1173">
        <v>127.5</v>
      </c>
      <c r="J181" s="1174">
        <v>51000</v>
      </c>
      <c r="K181" s="1101">
        <v>38403</v>
      </c>
      <c r="L181" s="1173">
        <v>195</v>
      </c>
      <c r="M181" s="1174">
        <v>78000</v>
      </c>
      <c r="N181" s="1101">
        <v>58734</v>
      </c>
      <c r="O181" s="1173">
        <v>228.75</v>
      </c>
      <c r="P181" s="1174">
        <v>91500</v>
      </c>
      <c r="Q181" s="1101">
        <v>68899.5</v>
      </c>
      <c r="R181" s="1173">
        <v>243.75</v>
      </c>
      <c r="S181" s="1174">
        <v>97500</v>
      </c>
      <c r="T181" s="1101">
        <v>73417.5</v>
      </c>
      <c r="U181" s="1173">
        <v>225</v>
      </c>
      <c r="V181" s="1174">
        <v>90000</v>
      </c>
      <c r="W181" s="1101">
        <v>67770</v>
      </c>
      <c r="X181" s="1173">
        <v>172.5</v>
      </c>
      <c r="Y181" s="1174">
        <v>69000</v>
      </c>
      <c r="Z181" s="1101">
        <v>51957</v>
      </c>
      <c r="AA181" s="1173">
        <v>172.5</v>
      </c>
      <c r="AB181" s="1174">
        <v>69000</v>
      </c>
      <c r="AC181" s="1101">
        <v>51957</v>
      </c>
      <c r="AD181" s="1173">
        <v>195</v>
      </c>
      <c r="AE181" s="1174">
        <v>78000</v>
      </c>
      <c r="AF181" s="1101">
        <v>58734</v>
      </c>
      <c r="AG181" s="1173">
        <v>232.5</v>
      </c>
      <c r="AH181" s="1174">
        <v>93000</v>
      </c>
      <c r="AI181" s="1101">
        <v>70029</v>
      </c>
      <c r="AJ181" s="1173">
        <v>202.5</v>
      </c>
      <c r="AK181" s="1174">
        <v>81000</v>
      </c>
      <c r="AL181" s="1101">
        <v>60993</v>
      </c>
      <c r="AM181" s="1173">
        <v>135</v>
      </c>
      <c r="AN181" s="1174">
        <v>54000</v>
      </c>
      <c r="AO181" s="1101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">
      <c r="A182" s="533" t="str">
        <f t="shared" si="86"/>
        <v>Service% profit / ventes</v>
      </c>
      <c r="B182" s="543" t="s">
        <v>152</v>
      </c>
      <c r="C182" s="1172"/>
      <c r="D182" s="1183"/>
      <c r="E182" s="1175">
        <f>IF(E181=0,0,E181/D181)</f>
        <v>0.753</v>
      </c>
      <c r="F182" s="1172"/>
      <c r="G182" s="1183"/>
      <c r="H182" s="1175">
        <f>IF(H181=0,0,H181/G181)</f>
        <v>0.753</v>
      </c>
      <c r="I182" s="1172"/>
      <c r="J182" s="1183"/>
      <c r="K182" s="1175">
        <f>IF(K181=0,0,K181/J181)</f>
        <v>0.753</v>
      </c>
      <c r="L182" s="1172"/>
      <c r="M182" s="1183"/>
      <c r="N182" s="1175">
        <f>IF(N181=0,0,N181/M181)</f>
        <v>0.753</v>
      </c>
      <c r="O182" s="1172"/>
      <c r="P182" s="1183"/>
      <c r="Q182" s="1175">
        <f>IF(Q181=0,0,Q181/P181)</f>
        <v>0.753</v>
      </c>
      <c r="R182" s="1172"/>
      <c r="S182" s="1183"/>
      <c r="T182" s="1175">
        <f>IF(T181=0,0,T181/S181)</f>
        <v>0.753</v>
      </c>
      <c r="U182" s="1172"/>
      <c r="V182" s="1183"/>
      <c r="W182" s="1175">
        <f>IF(W181=0,0,W181/V181)</f>
        <v>0.753</v>
      </c>
      <c r="X182" s="1172"/>
      <c r="Y182" s="1183"/>
      <c r="Z182" s="1175">
        <f>IF(Z181=0,0,Z181/Y181)</f>
        <v>0.753</v>
      </c>
      <c r="AA182" s="1172"/>
      <c r="AB182" s="1183"/>
      <c r="AC182" s="1175">
        <f>IF(AC181=0,0,AC181/AB181)</f>
        <v>0.753</v>
      </c>
      <c r="AD182" s="1172"/>
      <c r="AE182" s="1183"/>
      <c r="AF182" s="1175">
        <f>IF(AF181=0,0,AF181/AE181)</f>
        <v>0.753</v>
      </c>
      <c r="AG182" s="1172"/>
      <c r="AH182" s="1183"/>
      <c r="AI182" s="1175">
        <f>IF(AI181=0,0,AI181/AH181)</f>
        <v>0.753</v>
      </c>
      <c r="AJ182" s="1172"/>
      <c r="AK182" s="1183"/>
      <c r="AL182" s="1175">
        <f>IF(AL181=0,0,AL181/AK181)</f>
        <v>0.753</v>
      </c>
      <c r="AM182" s="1172"/>
      <c r="AN182" s="1183"/>
      <c r="AO182" s="1175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">
      <c r="A183" s="533" t="str">
        <f t="shared" si="86"/>
        <v>Service</v>
      </c>
      <c r="B183" s="543"/>
      <c r="C183" s="1172"/>
      <c r="D183" s="1184">
        <f>IFERROR(D181/C181,0)</f>
        <v>400</v>
      </c>
      <c r="E183" s="1175"/>
      <c r="F183" s="601"/>
      <c r="G183" s="1184">
        <f>IFERROR(G181/F181,0)</f>
        <v>400</v>
      </c>
      <c r="H183" s="1175"/>
      <c r="I183" s="601"/>
      <c r="J183" s="1184">
        <f>IFERROR(J181/I181,0)</f>
        <v>400</v>
      </c>
      <c r="K183" s="1175"/>
      <c r="L183" s="601"/>
      <c r="M183" s="1184">
        <f>IFERROR(M181/L181,0)</f>
        <v>400</v>
      </c>
      <c r="N183" s="1175"/>
      <c r="O183" s="601"/>
      <c r="P183" s="1184">
        <f>IFERROR(P181/O181,0)</f>
        <v>400</v>
      </c>
      <c r="Q183" s="1175"/>
      <c r="R183" s="601"/>
      <c r="S183" s="1184">
        <f>IFERROR(S181/R181,0)</f>
        <v>400</v>
      </c>
      <c r="T183" s="1175"/>
      <c r="U183" s="601"/>
      <c r="V183" s="1184">
        <f>IFERROR(V181/U181,0)</f>
        <v>400</v>
      </c>
      <c r="W183" s="1175"/>
      <c r="X183" s="601"/>
      <c r="Y183" s="1184">
        <f>IFERROR(Y181/X181,0)</f>
        <v>400</v>
      </c>
      <c r="Z183" s="1175"/>
      <c r="AA183" s="601"/>
      <c r="AB183" s="1184">
        <f>IFERROR(AB181/AA181,0)</f>
        <v>400</v>
      </c>
      <c r="AC183" s="1175"/>
      <c r="AD183" s="601"/>
      <c r="AE183" s="1184">
        <f>IFERROR(AE181/AD181,0)</f>
        <v>400</v>
      </c>
      <c r="AF183" s="1175"/>
      <c r="AG183" s="601"/>
      <c r="AH183" s="1184">
        <f>IFERROR(AH181/AG181,0)</f>
        <v>400</v>
      </c>
      <c r="AI183" s="1175"/>
      <c r="AJ183" s="601"/>
      <c r="AK183" s="1184">
        <f>IFERROR(AK181/AJ181,0)</f>
        <v>400</v>
      </c>
      <c r="AL183" s="1175"/>
      <c r="AM183" s="601"/>
      <c r="AN183" s="1184">
        <f>IFERROR(AN181/AM181,0)</f>
        <v>400</v>
      </c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">
      <c r="A184" s="533" t="str">
        <f t="shared" si="86"/>
        <v>ServiceM/O Esthétique</v>
      </c>
      <c r="B184" s="1115" t="s">
        <v>155</v>
      </c>
      <c r="C184" s="1179">
        <f>+SUM(F184,I184,L184,O184,R184,U184,X184,AA184,AD184,AG184,AJ184,AM184)</f>
        <v>700</v>
      </c>
      <c r="D184" s="1180">
        <f>+SUM(G184,J184,M184,P184,S184,V184,Y184,AB184,AE184,AH184,AK184,AN184)</f>
        <v>192499.99999999997</v>
      </c>
      <c r="E184" s="1117">
        <f>+SUM(H184,K184,N184,Q184,T184,W184,Z184,AC184,AF184,AI184,AL184,AO184)</f>
        <v>137830</v>
      </c>
      <c r="F184" s="1173">
        <v>20.983322632420176</v>
      </c>
      <c r="G184" s="1182">
        <v>5770.413723915548</v>
      </c>
      <c r="H184" s="1118">
        <v>4131.6162263235319</v>
      </c>
      <c r="I184" s="1173">
        <v>23.524942245939503</v>
      </c>
      <c r="J184" s="1182">
        <v>6469.359117633363</v>
      </c>
      <c r="K184" s="1118">
        <v>4632.0611282254877</v>
      </c>
      <c r="L184" s="1173">
        <v>54.587665516052915</v>
      </c>
      <c r="M184" s="1182">
        <v>15011.60801691455</v>
      </c>
      <c r="N184" s="1118">
        <v>10748.311340110817</v>
      </c>
      <c r="O184" s="1173">
        <v>142.88902874757514</v>
      </c>
      <c r="P184" s="1182">
        <v>39294.482905583158</v>
      </c>
      <c r="Q184" s="1118">
        <v>28134.849760397541</v>
      </c>
      <c r="R184" s="1173">
        <v>86.637975781755884</v>
      </c>
      <c r="S184" s="1182">
        <v>23825.443339982867</v>
      </c>
      <c r="T184" s="1118">
        <v>17059.017431427732</v>
      </c>
      <c r="U184" s="1173">
        <v>49.211234672511686</v>
      </c>
      <c r="V184" s="1182">
        <v>13533.089534940711</v>
      </c>
      <c r="W184" s="1118">
        <v>9689.6921070175486</v>
      </c>
      <c r="X184" s="1173">
        <v>40.200570145555119</v>
      </c>
      <c r="Y184" s="1182">
        <v>11055.156790027655</v>
      </c>
      <c r="Z184" s="1118">
        <v>7915.4922616598005</v>
      </c>
      <c r="AA184" s="1173">
        <v>43.243379838003392</v>
      </c>
      <c r="AB184" s="1182">
        <v>11891.929455450931</v>
      </c>
      <c r="AC184" s="1118">
        <v>8514.6214901028652</v>
      </c>
      <c r="AD184" s="1173">
        <v>34.483411620346281</v>
      </c>
      <c r="AE184" s="1182">
        <v>9482.9381955952249</v>
      </c>
      <c r="AF184" s="1118">
        <v>6789.7837480461803</v>
      </c>
      <c r="AG184" s="1173">
        <v>99.280217054376564</v>
      </c>
      <c r="AH184" s="1182">
        <v>27302.059689953552</v>
      </c>
      <c r="AI184" s="1118">
        <v>19548.274738006741</v>
      </c>
      <c r="AJ184" s="1173">
        <v>89.085568360822222</v>
      </c>
      <c r="AK184" s="1182">
        <v>24498.53129922611</v>
      </c>
      <c r="AL184" s="1118">
        <v>17540.948410245896</v>
      </c>
      <c r="AM184" s="1173">
        <v>15.872683384641206</v>
      </c>
      <c r="AN184" s="1182">
        <v>4364.9879307763313</v>
      </c>
      <c r="AO184" s="1118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">
      <c r="A185" s="533" t="str">
        <f t="shared" si="86"/>
        <v>Service% profit / ventes</v>
      </c>
      <c r="B185" s="543" t="s">
        <v>152</v>
      </c>
      <c r="C185" s="1185"/>
      <c r="D185" s="1186">
        <f>IF(C185&lt;=0,0,E185/C185)</f>
        <v>0</v>
      </c>
      <c r="E185" s="1175">
        <f>IF(E184=0,0,E184/D184)</f>
        <v>0.71600000000000008</v>
      </c>
      <c r="F185" s="1185"/>
      <c r="G185" s="1186">
        <f>IF(F185&lt;=0,0,H185/F185)</f>
        <v>0</v>
      </c>
      <c r="H185" s="1175">
        <f>IF(H184=0,0,H184/G184)</f>
        <v>0.71599999999999997</v>
      </c>
      <c r="I185" s="1185"/>
      <c r="J185" s="1186">
        <f>IF(I185&lt;=0,0,K185/I185)</f>
        <v>0</v>
      </c>
      <c r="K185" s="1175">
        <f>IF(K184=0,0,K184/J184)</f>
        <v>0.71599999999999997</v>
      </c>
      <c r="L185" s="1185"/>
      <c r="M185" s="1186">
        <f>IF(L185&lt;=0,0,N185/L185)</f>
        <v>0</v>
      </c>
      <c r="N185" s="1175">
        <f>IF(N184=0,0,N184/M184)</f>
        <v>0.71599999999999997</v>
      </c>
      <c r="O185" s="1185"/>
      <c r="P185" s="1186">
        <f>IF(O185&lt;=0,0,Q185/O185)</f>
        <v>0</v>
      </c>
      <c r="Q185" s="1175">
        <f>IF(Q184=0,0,Q184/P184)</f>
        <v>0.71599999999999997</v>
      </c>
      <c r="R185" s="1185"/>
      <c r="S185" s="1186">
        <f>IF(R185&lt;=0,0,T185/R185)</f>
        <v>0</v>
      </c>
      <c r="T185" s="1175">
        <f>IF(T184=0,0,T184/S184)</f>
        <v>0.71599999999999997</v>
      </c>
      <c r="U185" s="1185"/>
      <c r="V185" s="1186">
        <f>IF(U185&lt;=0,0,W185/U185)</f>
        <v>0</v>
      </c>
      <c r="W185" s="1175">
        <f>IF(W184=0,0,W184/V184)</f>
        <v>0.71599999999999997</v>
      </c>
      <c r="X185" s="1185"/>
      <c r="Y185" s="1186">
        <f>IF(X185&lt;=0,0,Z185/X185)</f>
        <v>0</v>
      </c>
      <c r="Z185" s="1175">
        <f>IF(Z184=0,0,Z184/Y184)</f>
        <v>0.71599999999999997</v>
      </c>
      <c r="AA185" s="1185"/>
      <c r="AB185" s="1186">
        <f>IF(AA185&lt;=0,0,AC185/AA185)</f>
        <v>0</v>
      </c>
      <c r="AC185" s="1175">
        <f>IF(AC184=0,0,AC184/AB184)</f>
        <v>0.71599999999999986</v>
      </c>
      <c r="AD185" s="1185"/>
      <c r="AE185" s="1186">
        <f>IF(AD185&lt;=0,0,AF185/AD185)</f>
        <v>0</v>
      </c>
      <c r="AF185" s="1175">
        <f>IF(AF184=0,0,AF184/AE184)</f>
        <v>0.71599999999999997</v>
      </c>
      <c r="AG185" s="1185"/>
      <c r="AH185" s="1186">
        <f>IF(AG185&lt;=0,0,AI185/AG185)</f>
        <v>0</v>
      </c>
      <c r="AI185" s="1175">
        <f>IF(AI184=0,0,AI184/AH184)</f>
        <v>0.71599999999999997</v>
      </c>
      <c r="AJ185" s="1185"/>
      <c r="AK185" s="1186">
        <f>IF(AJ185&lt;=0,0,AL185/AJ185)</f>
        <v>0</v>
      </c>
      <c r="AL185" s="1175">
        <f>IF(AL184=0,0,AL184/AK184)</f>
        <v>0.71600000000000008</v>
      </c>
      <c r="AM185" s="1185"/>
      <c r="AN185" s="1186">
        <f>IF(AM185&lt;=0,0,AO185/AM185)</f>
        <v>0</v>
      </c>
      <c r="AO185" s="1175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">
      <c r="A186" s="533" t="str">
        <f t="shared" si="86"/>
        <v>Service</v>
      </c>
      <c r="B186" s="601"/>
      <c r="C186" s="1187"/>
      <c r="D186" s="1188">
        <f>IFERROR(D184/C184,0)</f>
        <v>274.99999999999994</v>
      </c>
      <c r="E186" s="1178"/>
      <c r="F186" s="1187"/>
      <c r="G186" s="1188">
        <f>IFERROR(G184/F184,0)</f>
        <v>275</v>
      </c>
      <c r="H186" s="1178"/>
      <c r="I186" s="1187"/>
      <c r="J186" s="1188">
        <f>IFERROR(J184/I184,0)</f>
        <v>275</v>
      </c>
      <c r="K186" s="1178"/>
      <c r="L186" s="1187"/>
      <c r="M186" s="1188">
        <f>IFERROR(M184/L184,0)</f>
        <v>274.99999999999994</v>
      </c>
      <c r="N186" s="1178"/>
      <c r="O186" s="1187"/>
      <c r="P186" s="1188">
        <f>IFERROR(P184/O184,0)</f>
        <v>274.99999999999994</v>
      </c>
      <c r="Q186" s="1178"/>
      <c r="R186" s="1187"/>
      <c r="S186" s="1188">
        <f>IFERROR(S184/R184,0)</f>
        <v>275</v>
      </c>
      <c r="T186" s="1178"/>
      <c r="U186" s="1187"/>
      <c r="V186" s="1188">
        <f>IFERROR(V184/U184,0)</f>
        <v>274.99999999999994</v>
      </c>
      <c r="W186" s="1178"/>
      <c r="X186" s="1187"/>
      <c r="Y186" s="1188">
        <f>IFERROR(Y184/X184,0)</f>
        <v>274.99999999999994</v>
      </c>
      <c r="Z186" s="1178"/>
      <c r="AA186" s="1187"/>
      <c r="AB186" s="1188">
        <f>IFERROR(AB184/AA184,0)</f>
        <v>274.99999999999994</v>
      </c>
      <c r="AC186" s="1178"/>
      <c r="AD186" s="1187"/>
      <c r="AE186" s="1188">
        <f>IFERROR(AE184/AD184,0)</f>
        <v>274.99999999999994</v>
      </c>
      <c r="AF186" s="1178"/>
      <c r="AG186" s="1187"/>
      <c r="AH186" s="1188">
        <f>IFERROR(AH184/AG184,0)</f>
        <v>274.99999999999994</v>
      </c>
      <c r="AI186" s="1178"/>
      <c r="AJ186" s="1187"/>
      <c r="AK186" s="1188">
        <f>IFERROR(AK184/AJ184,0)</f>
        <v>275</v>
      </c>
      <c r="AL186" s="1178"/>
      <c r="AM186" s="1187"/>
      <c r="AN186" s="1188">
        <f>IFERROR(AN184/AM184,0)</f>
        <v>274.99999999999994</v>
      </c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2"/>
      <c r="D187" s="1099"/>
      <c r="E187" s="1080">
        <f>+SUM(H187,K187,N187,Q187,T187,W187,Z187,AC187,AF187,AI187,AL187,AO187)</f>
        <v>-34999.999999999993</v>
      </c>
      <c r="F187" s="1173"/>
      <c r="G187" s="1174"/>
      <c r="H187" s="1101">
        <v>-1830.7951959370969</v>
      </c>
      <c r="I187" s="1173"/>
      <c r="J187" s="1174"/>
      <c r="K187" s="1101">
        <v>-1874.8132070430424</v>
      </c>
      <c r="L187" s="1173"/>
      <c r="M187" s="1174"/>
      <c r="N187" s="1101">
        <v>-2571.2797690413945</v>
      </c>
      <c r="O187" s="1173"/>
      <c r="P187" s="1174"/>
      <c r="Q187" s="1101">
        <v>-3832.736398958009</v>
      </c>
      <c r="R187" s="1173"/>
      <c r="S187" s="1174"/>
      <c r="T187" s="1101">
        <v>-3785.6759724261087</v>
      </c>
      <c r="U187" s="1173"/>
      <c r="V187" s="1174"/>
      <c r="W187" s="1101">
        <v>-3154.8930150181886</v>
      </c>
      <c r="X187" s="1173"/>
      <c r="Y187" s="1174"/>
      <c r="Z187" s="1101">
        <v>-3060.0068719990777</v>
      </c>
      <c r="AA187" s="1173"/>
      <c r="AB187" s="1174"/>
      <c r="AC187" s="1101">
        <v>-2770.7048665418192</v>
      </c>
      <c r="AD187" s="1173"/>
      <c r="AE187" s="1174"/>
      <c r="AF187" s="1101">
        <v>-2624.6485717196774</v>
      </c>
      <c r="AG187" s="1173"/>
      <c r="AH187" s="1174"/>
      <c r="AI187" s="1101">
        <v>-3733.7603258023246</v>
      </c>
      <c r="AJ187" s="1173"/>
      <c r="AK187" s="1174"/>
      <c r="AL187" s="1101">
        <v>-3722.7857051702335</v>
      </c>
      <c r="AM187" s="1173"/>
      <c r="AN187" s="1174"/>
      <c r="AO187" s="1101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86"/>
        <v>ServiceSous-total M/O</v>
      </c>
      <c r="B188" s="609" t="s">
        <v>157</v>
      </c>
      <c r="C188" s="1190">
        <f t="shared" ref="C188:I188" si="87">C175+C178+C181+C184+C187</f>
        <v>7850</v>
      </c>
      <c r="D188" s="1191">
        <f t="shared" si="87"/>
        <v>2452500</v>
      </c>
      <c r="E188" s="1192">
        <f t="shared" si="87"/>
        <v>1799868</v>
      </c>
      <c r="F188" s="1190">
        <f t="shared" si="87"/>
        <v>415.88345465853916</v>
      </c>
      <c r="G188" s="1191">
        <f t="shared" si="87"/>
        <v>125458.51129641477</v>
      </c>
      <c r="H188" s="1192">
        <f t="shared" si="87"/>
        <v>91320.35328741993</v>
      </c>
      <c r="I188" s="1190">
        <f t="shared" si="87"/>
        <v>423.62688955491632</v>
      </c>
      <c r="J188" s="1191">
        <f>J175+J178+J181+J184+J187</f>
        <v>128474.07364237365</v>
      </c>
      <c r="K188" s="1192">
        <f>K175+K178+K181+K184+K187</f>
        <v>93515.128129833218</v>
      </c>
      <c r="L188" s="1190">
        <f t="shared" ref="L188:AO188" si="88">L175+L178+L181+L184+L187</f>
        <v>564.2745058517088</v>
      </c>
      <c r="M188" s="1191">
        <f t="shared" si="88"/>
        <v>179847.84887168586</v>
      </c>
      <c r="N188" s="1192">
        <f t="shared" si="88"/>
        <v>131902.15006514231</v>
      </c>
      <c r="O188" s="1190">
        <f t="shared" si="88"/>
        <v>845.01892791486114</v>
      </c>
      <c r="P188" s="1191">
        <f t="shared" si="88"/>
        <v>277033.3963837772</v>
      </c>
      <c r="Q188" s="1192">
        <f t="shared" si="88"/>
        <v>205565.78434021253</v>
      </c>
      <c r="R188" s="1190">
        <f t="shared" si="88"/>
        <v>840.44613393255838</v>
      </c>
      <c r="S188" s="1191">
        <f t="shared" si="88"/>
        <v>270515.44237338536</v>
      </c>
      <c r="T188" s="1192">
        <f t="shared" si="88"/>
        <v>199925.34862377404</v>
      </c>
      <c r="U188" s="1190">
        <f t="shared" si="88"/>
        <v>705.38384382369361</v>
      </c>
      <c r="V188" s="1191">
        <f t="shared" si="88"/>
        <v>217404.69850523898</v>
      </c>
      <c r="W188" s="1192">
        <f t="shared" si="88"/>
        <v>158576.5802716004</v>
      </c>
      <c r="X188" s="1190">
        <f t="shared" si="88"/>
        <v>701.17344832809056</v>
      </c>
      <c r="Y188" s="1191">
        <f t="shared" si="88"/>
        <v>213414.51046698316</v>
      </c>
      <c r="Z188" s="1192">
        <f t="shared" si="88"/>
        <v>156355.69889879742</v>
      </c>
      <c r="AA188" s="1190">
        <f t="shared" si="88"/>
        <v>631.82453292647892</v>
      </c>
      <c r="AB188" s="1191">
        <f t="shared" si="88"/>
        <v>189383.45457358327</v>
      </c>
      <c r="AC188" s="1192">
        <f t="shared" si="88"/>
        <v>137719.1500461284</v>
      </c>
      <c r="AD188" s="1190">
        <f t="shared" si="88"/>
        <v>589.37674045370693</v>
      </c>
      <c r="AE188" s="1191">
        <f t="shared" si="88"/>
        <v>177145.57413242862</v>
      </c>
      <c r="AF188" s="1192">
        <f t="shared" si="88"/>
        <v>128204.72708504129</v>
      </c>
      <c r="AG188" s="1190">
        <f t="shared" si="88"/>
        <v>830.56554749838358</v>
      </c>
      <c r="AH188" s="1191">
        <f t="shared" si="88"/>
        <v>266235.77270324016</v>
      </c>
      <c r="AI188" s="1192">
        <f t="shared" si="88"/>
        <v>196613.73073326808</v>
      </c>
      <c r="AJ188" s="1190">
        <f t="shared" si="88"/>
        <v>837.38201158197876</v>
      </c>
      <c r="AK188" s="1191">
        <f t="shared" si="88"/>
        <v>269074.19224147667</v>
      </c>
      <c r="AL188" s="1192">
        <f t="shared" si="88"/>
        <v>199656.78994614352</v>
      </c>
      <c r="AM188" s="1190">
        <f t="shared" si="88"/>
        <v>465.04396347508367</v>
      </c>
      <c r="AN188" s="1191">
        <f t="shared" si="88"/>
        <v>138512.52480941225</v>
      </c>
      <c r="AO188" s="1192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">
      <c r="A189" s="533" t="str">
        <f t="shared" si="86"/>
        <v>Service% protit / ventes</v>
      </c>
      <c r="B189" s="610" t="s">
        <v>158</v>
      </c>
      <c r="C189" s="1195"/>
      <c r="D189" s="1196">
        <f>IFERROR(D188/C188,0)</f>
        <v>312.42038216560508</v>
      </c>
      <c r="E189" s="1197">
        <f>IF(E188=0,0,E188/D188)</f>
        <v>0.73389113149847096</v>
      </c>
      <c r="F189" s="1195"/>
      <c r="G189" s="1196">
        <f>IFERROR(G188/F188,0)</f>
        <v>301.66747412306268</v>
      </c>
      <c r="H189" s="1197">
        <f>IF(H188=0,0,H188/G188)</f>
        <v>0.72789284954658628</v>
      </c>
      <c r="I189" s="1195"/>
      <c r="J189" s="1196">
        <f>IFERROR(J188/I188,0)</f>
        <v>303.27176298311696</v>
      </c>
      <c r="K189" s="1197">
        <f>IF(K188=0,0,K188/J188)</f>
        <v>0.72789104819814643</v>
      </c>
      <c r="L189" s="1195"/>
      <c r="M189" s="1196">
        <f>IFERROR(M188/L188,0)</f>
        <v>318.72403769194887</v>
      </c>
      <c r="N189" s="1197">
        <f>IF(N188=0,0,N188/M188)</f>
        <v>0.73340966207079372</v>
      </c>
      <c r="O189" s="1195"/>
      <c r="P189" s="1196">
        <f>IFERROR(P188/O188,0)</f>
        <v>327.84282958888866</v>
      </c>
      <c r="Q189" s="1197">
        <f>IF(Q188=0,0,Q188/P188)</f>
        <v>0.74202528295700543</v>
      </c>
      <c r="R189" s="1195"/>
      <c r="S189" s="1196">
        <f>IFERROR(S188/R188,0)</f>
        <v>321.87124367817353</v>
      </c>
      <c r="T189" s="1197">
        <f>IF(T188=0,0,T188/S188)</f>
        <v>0.73905336741487138</v>
      </c>
      <c r="U189" s="1195"/>
      <c r="V189" s="1196">
        <f>IFERROR(V188/U188,0)</f>
        <v>308.20765234251377</v>
      </c>
      <c r="W189" s="1197">
        <f>IF(W188=0,0,W188/V188)</f>
        <v>0.72940732818513143</v>
      </c>
      <c r="X189" s="1195"/>
      <c r="Y189" s="1196">
        <f>IFERROR(Y188/X188,0)</f>
        <v>304.3676439486668</v>
      </c>
      <c r="Z189" s="1197">
        <f>IF(Z188=0,0,Z188/Y188)</f>
        <v>0.73263855656612831</v>
      </c>
      <c r="AA189" s="1195"/>
      <c r="AB189" s="1196">
        <f>IFERROR(AB188/AA188,0)</f>
        <v>299.74058414034471</v>
      </c>
      <c r="AC189" s="1197">
        <f>IF(AC188=0,0,AC188/AB188)</f>
        <v>0.72719736978194605</v>
      </c>
      <c r="AD189" s="1195"/>
      <c r="AE189" s="1196">
        <f>IFERROR(AE188/AD188,0)</f>
        <v>300.5642435024846</v>
      </c>
      <c r="AF189" s="1197">
        <f>IF(AF188=0,0,AF188/AE188)</f>
        <v>0.72372526219141864</v>
      </c>
      <c r="AG189" s="1195"/>
      <c r="AH189" s="1196">
        <f>IFERROR(AH188/AG188,0)</f>
        <v>320.54757569119892</v>
      </c>
      <c r="AI189" s="1197">
        <f>IF(AI188=0,0,AI188/AH188)</f>
        <v>0.7384947887991884</v>
      </c>
      <c r="AJ189" s="1195"/>
      <c r="AK189" s="1196">
        <f>IFERROR(AK188/AJ188,0)</f>
        <v>321.32788681851758</v>
      </c>
      <c r="AL189" s="1197">
        <f>IF(AL188=0,0,AL188/AK188)</f>
        <v>0.74201389692165076</v>
      </c>
      <c r="AM189" s="1195"/>
      <c r="AN189" s="1196">
        <f>IFERROR(AN188/AM188,0)</f>
        <v>297.84823734591606</v>
      </c>
      <c r="AO189" s="1197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">
      <c r="A190" s="533" t="str">
        <f t="shared" si="86"/>
        <v>Service</v>
      </c>
      <c r="B190" s="1360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">
      <c r="A191" s="533" t="str">
        <f t="shared" si="86"/>
        <v>ServiceSous-traitement</v>
      </c>
      <c r="B191" s="61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79999.999999999985</v>
      </c>
      <c r="E191" s="1080">
        <f>+SUM(H191,K191,N191,Q191,T191,W191,Z191,AC191,AF191,AI191,AL191,AO191)</f>
        <v>12000</v>
      </c>
      <c r="F191" s="1361"/>
      <c r="G191" s="1362">
        <v>16321.296576424293</v>
      </c>
      <c r="H191" s="1363">
        <v>2448.1944864636439</v>
      </c>
      <c r="I191" s="1361"/>
      <c r="J191" s="1362">
        <v>6795.5504389399312</v>
      </c>
      <c r="K191" s="1363">
        <v>1019.3325658409897</v>
      </c>
      <c r="L191" s="1361"/>
      <c r="M191" s="1362">
        <v>4019.0559001094257</v>
      </c>
      <c r="N191" s="1363">
        <v>602.85838501641388</v>
      </c>
      <c r="O191" s="1361"/>
      <c r="P191" s="1362">
        <v>5332.2379904633999</v>
      </c>
      <c r="Q191" s="1363">
        <v>799.83569856950999</v>
      </c>
      <c r="R191" s="1361"/>
      <c r="S191" s="1362">
        <v>8801.4217942384585</v>
      </c>
      <c r="T191" s="1363">
        <v>1320.2132691357688</v>
      </c>
      <c r="U191" s="1361"/>
      <c r="V191" s="1362">
        <v>5103.5885913248239</v>
      </c>
      <c r="W191" s="1363">
        <v>765.53828869872359</v>
      </c>
      <c r="X191" s="1361"/>
      <c r="Y191" s="1362">
        <v>4944.228434961844</v>
      </c>
      <c r="Z191" s="1363">
        <v>741.63426524427655</v>
      </c>
      <c r="AA191" s="1361"/>
      <c r="AB191" s="1362">
        <v>3428.9402354335898</v>
      </c>
      <c r="AC191" s="1363">
        <v>514.34103531503843</v>
      </c>
      <c r="AD191" s="1361"/>
      <c r="AE191" s="1362">
        <v>9623.4514532862595</v>
      </c>
      <c r="AF191" s="1363">
        <v>1443.517717992939</v>
      </c>
      <c r="AG191" s="1361"/>
      <c r="AH191" s="1362">
        <v>3762.9402013339509</v>
      </c>
      <c r="AI191" s="1363">
        <v>564.44103020009265</v>
      </c>
      <c r="AJ191" s="1361"/>
      <c r="AK191" s="1362">
        <v>2756.3553115767754</v>
      </c>
      <c r="AL191" s="1363">
        <v>413.45329673651628</v>
      </c>
      <c r="AM191" s="1361"/>
      <c r="AN191" s="1362">
        <v>9110.9330719072514</v>
      </c>
      <c r="AO191" s="1363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">
      <c r="A192" s="533" t="str">
        <f t="shared" si="86"/>
        <v>Service% profit / ventes</v>
      </c>
      <c r="B192" s="611" t="s">
        <v>152</v>
      </c>
      <c r="C192" s="1172"/>
      <c r="D192" s="1183"/>
      <c r="E192" s="1175">
        <f>IF(E191=0,0,E191/D191)</f>
        <v>0.15000000000000002</v>
      </c>
      <c r="F192" s="1172"/>
      <c r="G192" s="1183"/>
      <c r="H192" s="1175">
        <f>IF(H191=0,0,H191/G191)</f>
        <v>0.15</v>
      </c>
      <c r="I192" s="1172"/>
      <c r="J192" s="1183"/>
      <c r="K192" s="1175">
        <f>IF(K191=0,0,K191/J191)</f>
        <v>0.15</v>
      </c>
      <c r="L192" s="1172"/>
      <c r="M192" s="1183"/>
      <c r="N192" s="1175">
        <f>IF(N191=0,0,N191/M191)</f>
        <v>0.15</v>
      </c>
      <c r="O192" s="1172"/>
      <c r="P192" s="1183"/>
      <c r="Q192" s="1175">
        <f>IF(Q191=0,0,Q191/P191)</f>
        <v>0.15</v>
      </c>
      <c r="R192" s="1172"/>
      <c r="S192" s="1183"/>
      <c r="T192" s="1175">
        <f>IF(T191=0,0,T191/S191)</f>
        <v>0.15</v>
      </c>
      <c r="U192" s="1172"/>
      <c r="V192" s="1183"/>
      <c r="W192" s="1175">
        <f>IF(W191=0,0,W191/V191)</f>
        <v>0.15</v>
      </c>
      <c r="X192" s="1172"/>
      <c r="Y192" s="1183"/>
      <c r="Z192" s="1175">
        <f>IF(Z191=0,0,Z191/Y191)</f>
        <v>0.15</v>
      </c>
      <c r="AA192" s="1172"/>
      <c r="AB192" s="1183"/>
      <c r="AC192" s="1175">
        <f>IF(AC191=0,0,AC191/AB191)</f>
        <v>0.15</v>
      </c>
      <c r="AD192" s="1172"/>
      <c r="AE192" s="1183"/>
      <c r="AF192" s="1175">
        <f>IF(AF191=0,0,AF191/AE191)</f>
        <v>0.15</v>
      </c>
      <c r="AG192" s="1172"/>
      <c r="AH192" s="1183"/>
      <c r="AI192" s="1175">
        <f>IF(AI191=0,0,AI191/AH191)</f>
        <v>0.15</v>
      </c>
      <c r="AJ192" s="1172"/>
      <c r="AK192" s="1183"/>
      <c r="AL192" s="1175">
        <f>IF(AL191=0,0,AL191/AK191)</f>
        <v>0.15</v>
      </c>
      <c r="AM192" s="1172"/>
      <c r="AN192" s="1183"/>
      <c r="AO192" s="1175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">
      <c r="A193" s="533" t="str">
        <f t="shared" si="86"/>
        <v>Service</v>
      </c>
      <c r="B193" s="61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">
      <c r="A194" s="533" t="str">
        <f t="shared" si="86"/>
        <v>ServiceM.O. Recond. MCPA</v>
      </c>
      <c r="B194" s="1364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365"/>
      <c r="G194" s="1366"/>
      <c r="H194" s="1367"/>
      <c r="I194" s="1365"/>
      <c r="J194" s="1366"/>
      <c r="K194" s="1367"/>
      <c r="L194" s="1365"/>
      <c r="M194" s="1366"/>
      <c r="N194" s="1367"/>
      <c r="O194" s="1365"/>
      <c r="P194" s="1366"/>
      <c r="Q194" s="1367"/>
      <c r="R194" s="1365"/>
      <c r="S194" s="1366"/>
      <c r="T194" s="1367"/>
      <c r="U194" s="1365"/>
      <c r="V194" s="1366"/>
      <c r="W194" s="1367"/>
      <c r="X194" s="1365"/>
      <c r="Y194" s="1366"/>
      <c r="Z194" s="1367"/>
      <c r="AA194" s="1365"/>
      <c r="AB194" s="1366"/>
      <c r="AC194" s="1367"/>
      <c r="AD194" s="1365"/>
      <c r="AE194" s="1366"/>
      <c r="AF194" s="1367"/>
      <c r="AG194" s="1365"/>
      <c r="AH194" s="1366"/>
      <c r="AI194" s="1367"/>
      <c r="AJ194" s="1365"/>
      <c r="AK194" s="1366"/>
      <c r="AL194" s="1367"/>
      <c r="AM194" s="1365"/>
      <c r="AN194" s="1366"/>
      <c r="AO194" s="1367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">
      <c r="A195" s="533" t="str">
        <f t="shared" si="86"/>
        <v>Service% profit / ventes</v>
      </c>
      <c r="B195" s="602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f>IF(H194=0,0,H194/G194)</f>
        <v>0</v>
      </c>
      <c r="I195" s="1176"/>
      <c r="J195" s="1206"/>
      <c r="K195" s="1178">
        <f>IF(K194=0,0,K194/J194)</f>
        <v>0</v>
      </c>
      <c r="L195" s="1176"/>
      <c r="M195" s="1206"/>
      <c r="N195" s="1178">
        <f>IF(N194=0,0,N194/M194)</f>
        <v>0</v>
      </c>
      <c r="O195" s="1176"/>
      <c r="P195" s="1206"/>
      <c r="Q195" s="1178">
        <f>IF(Q194=0,0,Q194/P194)</f>
        <v>0</v>
      </c>
      <c r="R195" s="1176"/>
      <c r="S195" s="1206"/>
      <c r="T195" s="1178">
        <f>IF(T194=0,0,T194/S194)</f>
        <v>0</v>
      </c>
      <c r="U195" s="1176"/>
      <c r="V195" s="1206"/>
      <c r="W195" s="1178">
        <f>IF(W194=0,0,W194/V194)</f>
        <v>0</v>
      </c>
      <c r="X195" s="1176"/>
      <c r="Y195" s="1206"/>
      <c r="Z195" s="1178">
        <f>IF(Z194=0,0,Z194/Y194)</f>
        <v>0</v>
      </c>
      <c r="AA195" s="1176"/>
      <c r="AB195" s="1206"/>
      <c r="AC195" s="1178">
        <f>IF(AC194=0,0,AC194/AB194)</f>
        <v>0</v>
      </c>
      <c r="AD195" s="1176"/>
      <c r="AE195" s="1206"/>
      <c r="AF195" s="1178">
        <f>IF(AF194=0,0,AF194/AE194)</f>
        <v>0</v>
      </c>
      <c r="AG195" s="1176"/>
      <c r="AH195" s="1206"/>
      <c r="AI195" s="1178">
        <f>IF(AI194=0,0,AI194/AH194)</f>
        <v>0</v>
      </c>
      <c r="AJ195" s="1176"/>
      <c r="AK195" s="1206"/>
      <c r="AL195" s="1178">
        <f>IF(AL194=0,0,AL194/AK194)</f>
        <v>0</v>
      </c>
      <c r="AM195" s="1176"/>
      <c r="AN195" s="1206"/>
      <c r="AO195" s="1178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86"/>
        <v>Service</v>
      </c>
      <c r="B196" s="1360"/>
      <c r="C196" s="1207"/>
      <c r="D196" s="1208"/>
      <c r="E196" s="1209"/>
      <c r="F196" s="1207"/>
      <c r="G196" s="1208"/>
      <c r="H196" s="1209">
        <f>H197-H181</f>
        <v>57624.547773883576</v>
      </c>
      <c r="I196" s="1207"/>
      <c r="J196" s="1208"/>
      <c r="K196" s="1209"/>
      <c r="L196" s="1207"/>
      <c r="M196" s="1208"/>
      <c r="N196" s="1209"/>
      <c r="O196" s="1207"/>
      <c r="P196" s="1208"/>
      <c r="Q196" s="1209"/>
      <c r="R196" s="1207"/>
      <c r="S196" s="1208"/>
      <c r="T196" s="1209"/>
      <c r="U196" s="1207"/>
      <c r="V196" s="1208"/>
      <c r="W196" s="1209"/>
      <c r="X196" s="1207"/>
      <c r="Y196" s="1208"/>
      <c r="Z196" s="1209"/>
      <c r="AA196" s="1207"/>
      <c r="AB196" s="1208"/>
      <c r="AC196" s="1209"/>
      <c r="AD196" s="1207"/>
      <c r="AE196" s="1208"/>
      <c r="AF196" s="1209"/>
      <c r="AG196" s="1207"/>
      <c r="AH196" s="1208"/>
      <c r="AI196" s="1209"/>
      <c r="AJ196" s="1207"/>
      <c r="AK196" s="1208"/>
      <c r="AL196" s="1209"/>
      <c r="AM196" s="1207"/>
      <c r="AN196" s="1208"/>
      <c r="AO196" s="1209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86"/>
        <v>ServiceTotal Mécanique</v>
      </c>
      <c r="B197" s="597" t="s">
        <v>161</v>
      </c>
      <c r="C197" s="1082"/>
      <c r="D197" s="1213">
        <f>D188+D191+D194</f>
        <v>2532500</v>
      </c>
      <c r="E197" s="1084">
        <f>E188+E191+E194</f>
        <v>1811868</v>
      </c>
      <c r="F197" s="1082"/>
      <c r="G197" s="1213">
        <f>G188+G191+G194</f>
        <v>141779.80787283907</v>
      </c>
      <c r="H197" s="1084">
        <f>H188+H191+H194</f>
        <v>93768.547773883576</v>
      </c>
      <c r="I197" s="1082"/>
      <c r="J197" s="1213">
        <f>J188+J191+J194</f>
        <v>135269.62408131358</v>
      </c>
      <c r="K197" s="1084">
        <f>K188+K191+K194</f>
        <v>94534.460695674206</v>
      </c>
      <c r="L197" s="1082"/>
      <c r="M197" s="1213">
        <f>M188+M191+M194</f>
        <v>183866.90477179529</v>
      </c>
      <c r="N197" s="1084">
        <f>N188+N191+N194</f>
        <v>132505.00845015873</v>
      </c>
      <c r="O197" s="1082"/>
      <c r="P197" s="1213">
        <f>P188+P191+P194</f>
        <v>282365.63437424059</v>
      </c>
      <c r="Q197" s="1084">
        <f>Q188+Q191+Q194</f>
        <v>206365.62003878204</v>
      </c>
      <c r="R197" s="1082"/>
      <c r="S197" s="1213">
        <f>S188+S191+S194</f>
        <v>279316.8641676238</v>
      </c>
      <c r="T197" s="1084">
        <f>T188+T191+T194</f>
        <v>201245.56189290981</v>
      </c>
      <c r="U197" s="1082"/>
      <c r="V197" s="1213">
        <f>V188+V191+V194</f>
        <v>222508.28709656381</v>
      </c>
      <c r="W197" s="1084">
        <f>W188+W191+W194</f>
        <v>159342.11856029913</v>
      </c>
      <c r="X197" s="1082"/>
      <c r="Y197" s="1213">
        <f>Y188+Y191+Y194</f>
        <v>218358.73890194501</v>
      </c>
      <c r="Z197" s="1084">
        <f>Z188+Z191+Z194</f>
        <v>157097.33316404169</v>
      </c>
      <c r="AA197" s="1082"/>
      <c r="AB197" s="1213">
        <f>AB188+AB191+AB194</f>
        <v>192812.39480901684</v>
      </c>
      <c r="AC197" s="1084">
        <f>AC188+AC191+AC194</f>
        <v>138233.49108144344</v>
      </c>
      <c r="AD197" s="1082"/>
      <c r="AE197" s="1213">
        <f>AE188+AE191+AE194</f>
        <v>186769.02558571487</v>
      </c>
      <c r="AF197" s="1084">
        <f>AF188+AF191+AF194</f>
        <v>129648.24480303423</v>
      </c>
      <c r="AG197" s="1082"/>
      <c r="AH197" s="1213">
        <f>AH188+AH191+AH194</f>
        <v>269998.71290457412</v>
      </c>
      <c r="AI197" s="1084">
        <f>AI188+AI191+AI194</f>
        <v>197178.17176346818</v>
      </c>
      <c r="AJ197" s="1082"/>
      <c r="AK197" s="1213">
        <f>AK188+AK191+AK194</f>
        <v>271830.54755305347</v>
      </c>
      <c r="AL197" s="1084">
        <f>AL188+AL191+AL194</f>
        <v>200070.24324288004</v>
      </c>
      <c r="AM197" s="1082"/>
      <c r="AN197" s="1213">
        <f>AN188+AN191+AN194</f>
        <v>147623.45788131951</v>
      </c>
      <c r="AO197" s="1084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86"/>
        <v>Service</v>
      </c>
      <c r="B198" s="598"/>
      <c r="C198" s="598"/>
      <c r="D198" s="1088"/>
      <c r="E198" s="1214">
        <f>IFERROR(E197/D197,0)</f>
        <v>0.71544639684106615</v>
      </c>
      <c r="F198" s="598"/>
      <c r="G198" s="1088"/>
      <c r="H198" s="1214">
        <f>IFERROR(H197/G197,0)</f>
        <v>0.66136743433863077</v>
      </c>
      <c r="I198" s="598"/>
      <c r="J198" s="1088"/>
      <c r="K198" s="1214">
        <f>IFERROR(K197/J197,0)</f>
        <v>0.69885949146164139</v>
      </c>
      <c r="L198" s="598"/>
      <c r="M198" s="1088"/>
      <c r="N198" s="1214">
        <f>IFERROR(N197/M197,0)</f>
        <v>0.72065719828490116</v>
      </c>
      <c r="O198" s="598"/>
      <c r="P198" s="1088"/>
      <c r="Q198" s="1214">
        <f>IFERROR(Q197/P197,0)</f>
        <v>0.73084538242805441</v>
      </c>
      <c r="R198" s="598"/>
      <c r="S198" s="1088"/>
      <c r="T198" s="1214">
        <f>IFERROR(T197/S197,0)</f>
        <v>0.72049198494559286</v>
      </c>
      <c r="U198" s="598"/>
      <c r="V198" s="1088"/>
      <c r="W198" s="1214">
        <f>IFERROR(W197/V197,0)</f>
        <v>0.71611768100640705</v>
      </c>
      <c r="X198" s="598"/>
      <c r="Y198" s="1088"/>
      <c r="Z198" s="1214">
        <f>IFERROR(Z197/Y197,0)</f>
        <v>0.71944605447912469</v>
      </c>
      <c r="AA198" s="598"/>
      <c r="AB198" s="1088"/>
      <c r="AC198" s="1214">
        <f>IFERROR(AC197/AB197,0)</f>
        <v>0.7169325977117057</v>
      </c>
      <c r="AD198" s="598"/>
      <c r="AE198" s="1088"/>
      <c r="AF198" s="1214">
        <f>IFERROR(AF197/AE197,0)</f>
        <v>0.69416352308126217</v>
      </c>
      <c r="AG198" s="598"/>
      <c r="AH198" s="1088"/>
      <c r="AI198" s="1214">
        <f>IFERROR(AI197/AH197,0)</f>
        <v>0.73029300637131944</v>
      </c>
      <c r="AJ198" s="598"/>
      <c r="AK198" s="1088"/>
      <c r="AL198" s="1214">
        <f>IFERROR(AL197/AK197,0)</f>
        <v>0.73601089003373366</v>
      </c>
      <c r="AM198" s="598"/>
      <c r="AN198" s="1088"/>
      <c r="AO198" s="1214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86"/>
        <v>Service</v>
      </c>
      <c r="B199" s="599"/>
      <c r="C199" s="599"/>
      <c r="D199" s="1093"/>
      <c r="E199" s="1216"/>
      <c r="F199" s="599"/>
      <c r="G199" s="1093"/>
      <c r="H199" s="1216"/>
      <c r="I199" s="599"/>
      <c r="J199" s="1093"/>
      <c r="K199" s="1216"/>
      <c r="L199" s="599"/>
      <c r="M199" s="1093"/>
      <c r="N199" s="1216"/>
      <c r="O199" s="599"/>
      <c r="P199" s="1093"/>
      <c r="Q199" s="1216"/>
      <c r="R199" s="599"/>
      <c r="S199" s="1093"/>
      <c r="T199" s="1216"/>
      <c r="U199" s="599"/>
      <c r="V199" s="1093"/>
      <c r="W199" s="1216"/>
      <c r="X199" s="599"/>
      <c r="Y199" s="1093"/>
      <c r="Z199" s="1216"/>
      <c r="AA199" s="599"/>
      <c r="AB199" s="1093"/>
      <c r="AC199" s="1216"/>
      <c r="AD199" s="599"/>
      <c r="AE199" s="1093"/>
      <c r="AF199" s="1216"/>
      <c r="AG199" s="599"/>
      <c r="AH199" s="1093"/>
      <c r="AI199" s="1216"/>
      <c r="AJ199" s="599"/>
      <c r="AK199" s="1093"/>
      <c r="AL199" s="1216"/>
      <c r="AM199" s="599"/>
      <c r="AN199" s="1093"/>
      <c r="AO199" s="1216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">
      <c r="A200" s="533" t="str">
        <f t="shared" si="86"/>
        <v>ServiceDEPENSES</v>
      </c>
      <c r="B200" s="600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">
      <c r="A201" s="533" t="str">
        <f t="shared" si="86"/>
        <v>ServiceSalaires cadres</v>
      </c>
      <c r="B201" s="612" t="s">
        <v>109</v>
      </c>
      <c r="C201" s="543"/>
      <c r="D201" s="596"/>
      <c r="E201" s="1080">
        <f t="shared" ref="E201:E231" si="89">+SUM(H201,K201,N201,Q201,T201,W201,Z201,AC201,AF201,AI201,AL201,AO201)</f>
        <v>131495.99999999997</v>
      </c>
      <c r="F201" s="543"/>
      <c r="G201" s="596"/>
      <c r="H201" s="1101">
        <v>10008.762442406567</v>
      </c>
      <c r="I201" s="543"/>
      <c r="J201" s="596"/>
      <c r="K201" s="1101">
        <v>9306.5173272567936</v>
      </c>
      <c r="L201" s="543"/>
      <c r="M201" s="596"/>
      <c r="N201" s="1101">
        <v>10722.46208258138</v>
      </c>
      <c r="O201" s="543"/>
      <c r="P201" s="596"/>
      <c r="Q201" s="1101">
        <v>11788.975925353192</v>
      </c>
      <c r="R201" s="543"/>
      <c r="S201" s="596"/>
      <c r="T201" s="1101">
        <v>11538.357832286967</v>
      </c>
      <c r="U201" s="543"/>
      <c r="V201" s="596"/>
      <c r="W201" s="1101">
        <v>11084.322729242291</v>
      </c>
      <c r="X201" s="543"/>
      <c r="Y201" s="596"/>
      <c r="Z201" s="1101">
        <v>11522.955371763124</v>
      </c>
      <c r="AA201" s="543"/>
      <c r="AB201" s="596"/>
      <c r="AC201" s="1101">
        <v>10472.296965450107</v>
      </c>
      <c r="AD201" s="543"/>
      <c r="AE201" s="596"/>
      <c r="AF201" s="1101">
        <v>10830.291555116217</v>
      </c>
      <c r="AG201" s="543"/>
      <c r="AH201" s="596"/>
      <c r="AI201" s="1101">
        <v>11782.434635909891</v>
      </c>
      <c r="AJ201" s="543"/>
      <c r="AK201" s="596"/>
      <c r="AL201" s="1101">
        <v>11814.097106150091</v>
      </c>
      <c r="AM201" s="543"/>
      <c r="AN201" s="596"/>
      <c r="AO201" s="1101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">
      <c r="A202" s="533" t="str">
        <f t="shared" si="86"/>
        <v>ServiceSalaires commis</v>
      </c>
      <c r="B202" s="614" t="s">
        <v>110</v>
      </c>
      <c r="C202" s="543"/>
      <c r="D202" s="596"/>
      <c r="E202" s="1080">
        <f t="shared" si="89"/>
        <v>56183.332500000004</v>
      </c>
      <c r="F202" s="543"/>
      <c r="G202" s="596"/>
      <c r="H202" s="1101">
        <v>3028.8632758620688</v>
      </c>
      <c r="I202" s="543"/>
      <c r="J202" s="596"/>
      <c r="K202" s="1101">
        <v>2753.5120689655168</v>
      </c>
      <c r="L202" s="543"/>
      <c r="M202" s="596"/>
      <c r="N202" s="1101">
        <v>3028.8632758620688</v>
      </c>
      <c r="O202" s="543"/>
      <c r="P202" s="596"/>
      <c r="Q202" s="1101">
        <v>5290.2845956590227</v>
      </c>
      <c r="R202" s="543"/>
      <c r="S202" s="596"/>
      <c r="T202" s="1101">
        <v>5049.8171140381583</v>
      </c>
      <c r="U202" s="543"/>
      <c r="V202" s="596"/>
      <c r="W202" s="1101">
        <v>5290.2845956590227</v>
      </c>
      <c r="X202" s="543"/>
      <c r="Y202" s="596"/>
      <c r="Z202" s="1101">
        <v>5530.752077279888</v>
      </c>
      <c r="AA202" s="543"/>
      <c r="AB202" s="596"/>
      <c r="AC202" s="1101">
        <v>5049.8171140381583</v>
      </c>
      <c r="AD202" s="543"/>
      <c r="AE202" s="596"/>
      <c r="AF202" s="1101">
        <v>5290.2845956590227</v>
      </c>
      <c r="AG202" s="543"/>
      <c r="AH202" s="596"/>
      <c r="AI202" s="1101">
        <v>5290.2845956590227</v>
      </c>
      <c r="AJ202" s="543"/>
      <c r="AK202" s="596"/>
      <c r="AL202" s="1101">
        <v>5049.8171140381583</v>
      </c>
      <c r="AM202" s="543"/>
      <c r="AN202" s="596"/>
      <c r="AO202" s="1101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">
      <c r="A203" s="533" t="str">
        <f t="shared" si="86"/>
        <v>ServiceSalaires autres</v>
      </c>
      <c r="B203" s="612" t="s">
        <v>111</v>
      </c>
      <c r="C203" s="1115"/>
      <c r="D203" s="1116"/>
      <c r="E203" s="1117">
        <f t="shared" si="89"/>
        <v>171568.75399999999</v>
      </c>
      <c r="F203" s="1115"/>
      <c r="G203" s="1116"/>
      <c r="H203" s="1118">
        <v>10116.140183908046</v>
      </c>
      <c r="I203" s="1115"/>
      <c r="J203" s="1116"/>
      <c r="K203" s="1118">
        <v>9332.8547126436788</v>
      </c>
      <c r="L203" s="1115"/>
      <c r="M203" s="1116"/>
      <c r="N203" s="1118">
        <v>17385.562322153994</v>
      </c>
      <c r="O203" s="1115"/>
      <c r="P203" s="1116"/>
      <c r="Q203" s="1118">
        <v>17385.562322153994</v>
      </c>
      <c r="R203" s="1115"/>
      <c r="S203" s="1116"/>
      <c r="T203" s="1118">
        <v>13320.387859234766</v>
      </c>
      <c r="U203" s="1115"/>
      <c r="V203" s="1116"/>
      <c r="W203" s="1118">
        <v>13883.263471579279</v>
      </c>
      <c r="X203" s="1115"/>
      <c r="Y203" s="1116"/>
      <c r="Z203" s="1118">
        <v>14446.139083923792</v>
      </c>
      <c r="AA203" s="1115"/>
      <c r="AB203" s="1116"/>
      <c r="AC203" s="1118">
        <v>13320.387859234766</v>
      </c>
      <c r="AD203" s="1115"/>
      <c r="AE203" s="1116"/>
      <c r="AF203" s="1118">
        <v>13883.263471579279</v>
      </c>
      <c r="AG203" s="1115"/>
      <c r="AH203" s="1116"/>
      <c r="AI203" s="1118">
        <v>17385.562322153994</v>
      </c>
      <c r="AJ203" s="1115"/>
      <c r="AK203" s="1116"/>
      <c r="AL203" s="1118">
        <v>16663.491307510631</v>
      </c>
      <c r="AM203" s="1115"/>
      <c r="AN203" s="1116"/>
      <c r="AO203" s="1118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">
      <c r="A204" s="533" t="str">
        <f t="shared" si="86"/>
        <v>ServiceSalaires spécialistes</v>
      </c>
      <c r="B204" s="612" t="s">
        <v>112</v>
      </c>
      <c r="C204" s="543"/>
      <c r="D204" s="596"/>
      <c r="E204" s="1080">
        <f t="shared" si="89"/>
        <v>183228</v>
      </c>
      <c r="F204" s="543"/>
      <c r="G204" s="596"/>
      <c r="H204" s="1101">
        <v>15342.486590038312</v>
      </c>
      <c r="I204" s="543"/>
      <c r="J204" s="596"/>
      <c r="K204" s="1101">
        <v>14754.593869731802</v>
      </c>
      <c r="L204" s="543"/>
      <c r="M204" s="596"/>
      <c r="N204" s="1101">
        <v>15342.486590038312</v>
      </c>
      <c r="O204" s="543"/>
      <c r="P204" s="596"/>
      <c r="Q204" s="1101">
        <v>15342.486590038312</v>
      </c>
      <c r="R204" s="543"/>
      <c r="S204" s="596"/>
      <c r="T204" s="1101">
        <v>15048.540229885057</v>
      </c>
      <c r="U204" s="543"/>
      <c r="V204" s="596"/>
      <c r="W204" s="1101">
        <v>15342.486590038312</v>
      </c>
      <c r="X204" s="543"/>
      <c r="Y204" s="596"/>
      <c r="Z204" s="1101">
        <v>15636.432950191571</v>
      </c>
      <c r="AA204" s="543"/>
      <c r="AB204" s="596"/>
      <c r="AC204" s="1101">
        <v>15048.540229885057</v>
      </c>
      <c r="AD204" s="543"/>
      <c r="AE204" s="596"/>
      <c r="AF204" s="1101">
        <v>15342.486590038312</v>
      </c>
      <c r="AG204" s="543"/>
      <c r="AH204" s="596"/>
      <c r="AI204" s="1101">
        <v>15342.486590038312</v>
      </c>
      <c r="AJ204" s="543"/>
      <c r="AK204" s="596"/>
      <c r="AL204" s="1101">
        <v>15048.540229885057</v>
      </c>
      <c r="AM204" s="543"/>
      <c r="AN204" s="596"/>
      <c r="AO204" s="1101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0">
        <f t="shared" si="89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/>
      <c r="AG205" s="543"/>
      <c r="AH205" s="596"/>
      <c r="AI205" s="1101"/>
      <c r="AJ205" s="543"/>
      <c r="AK205" s="596"/>
      <c r="AL205" s="1101"/>
      <c r="AM205" s="543"/>
      <c r="AN205" s="596"/>
      <c r="AO205" s="1101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0">
        <f t="shared" si="89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/>
      <c r="AG206" s="543"/>
      <c r="AH206" s="596"/>
      <c r="AI206" s="1101"/>
      <c r="AJ206" s="543"/>
      <c r="AK206" s="596"/>
      <c r="AL206" s="1101"/>
      <c r="AM206" s="543"/>
      <c r="AN206" s="596"/>
      <c r="AO206" s="1101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0">
        <f t="shared" si="89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/>
      <c r="AG207" s="543"/>
      <c r="AH207" s="596"/>
      <c r="AI207" s="1101"/>
      <c r="AJ207" s="543"/>
      <c r="AK207" s="596"/>
      <c r="AL207" s="1101"/>
      <c r="AM207" s="543"/>
      <c r="AN207" s="596"/>
      <c r="AO207" s="1101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">
      <c r="A208" s="533" t="str">
        <f t="shared" si="86"/>
        <v>ServiceSalaires en absences</v>
      </c>
      <c r="B208" s="614" t="s">
        <v>113</v>
      </c>
      <c r="C208" s="543"/>
      <c r="D208" s="596"/>
      <c r="E208" s="1080">
        <f t="shared" si="89"/>
        <v>176235.79729799999</v>
      </c>
      <c r="F208" s="543"/>
      <c r="G208" s="596"/>
      <c r="H208" s="1101">
        <v>15784.43759929754</v>
      </c>
      <c r="I208" s="543"/>
      <c r="J208" s="596"/>
      <c r="K208" s="1101">
        <v>7735.8892014718786</v>
      </c>
      <c r="L208" s="543"/>
      <c r="M208" s="596"/>
      <c r="N208" s="1101">
        <v>10398.159478887685</v>
      </c>
      <c r="O208" s="543"/>
      <c r="P208" s="596"/>
      <c r="Q208" s="1101">
        <v>16932.502036115187</v>
      </c>
      <c r="R208" s="543"/>
      <c r="S208" s="596"/>
      <c r="T208" s="1101">
        <v>16448.72026698845</v>
      </c>
      <c r="U208" s="543"/>
      <c r="V208" s="596"/>
      <c r="W208" s="1101">
        <v>15140.286187586684</v>
      </c>
      <c r="X208" s="543"/>
      <c r="Y208" s="596"/>
      <c r="Z208" s="1101">
        <v>15093.551259504773</v>
      </c>
      <c r="AA208" s="543"/>
      <c r="AB208" s="596"/>
      <c r="AC208" s="1101">
        <v>10274.704996446939</v>
      </c>
      <c r="AD208" s="543"/>
      <c r="AE208" s="596"/>
      <c r="AF208" s="1101">
        <v>14030.637113696455</v>
      </c>
      <c r="AG208" s="543"/>
      <c r="AH208" s="596"/>
      <c r="AI208" s="1101">
        <v>16733.626691039186</v>
      </c>
      <c r="AJ208" s="543"/>
      <c r="AK208" s="596"/>
      <c r="AL208" s="1101">
        <v>12801.808514577597</v>
      </c>
      <c r="AM208" s="543"/>
      <c r="AN208" s="596"/>
      <c r="AO208" s="1101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">
      <c r="A209" s="533" t="str">
        <f t="shared" si="86"/>
        <v>ServiceDéduction à la source</v>
      </c>
      <c r="B209" s="612" t="s">
        <v>114</v>
      </c>
      <c r="C209" s="1115"/>
      <c r="D209" s="1116"/>
      <c r="E209" s="1117">
        <f t="shared" si="89"/>
        <v>169258.49735463649</v>
      </c>
      <c r="F209" s="1115"/>
      <c r="G209" s="1116"/>
      <c r="H209" s="1118">
        <v>11128.78691403523</v>
      </c>
      <c r="I209" s="1115"/>
      <c r="J209" s="1116"/>
      <c r="K209" s="1118">
        <v>10766.443734007255</v>
      </c>
      <c r="L209" s="1115"/>
      <c r="M209" s="1116"/>
      <c r="N209" s="1118">
        <v>14471.665254122036</v>
      </c>
      <c r="O209" s="1115"/>
      <c r="P209" s="1116"/>
      <c r="Q209" s="1118">
        <v>18146.230951068817</v>
      </c>
      <c r="R209" s="1115"/>
      <c r="S209" s="1116"/>
      <c r="T209" s="1118">
        <v>17472.92642702645</v>
      </c>
      <c r="U209" s="1115"/>
      <c r="V209" s="1116"/>
      <c r="W209" s="1118">
        <v>15651.90992476626</v>
      </c>
      <c r="X209" s="1115"/>
      <c r="Y209" s="1116"/>
      <c r="Z209" s="1118">
        <v>14432.283766812419</v>
      </c>
      <c r="AA209" s="1115"/>
      <c r="AB209" s="1116"/>
      <c r="AC209" s="1118">
        <v>13240.599222225435</v>
      </c>
      <c r="AD209" s="1115"/>
      <c r="AE209" s="1116"/>
      <c r="AF209" s="1118">
        <v>12540.047081119325</v>
      </c>
      <c r="AG209" s="1115"/>
      <c r="AH209" s="1116"/>
      <c r="AI209" s="1118">
        <v>15222.120391513383</v>
      </c>
      <c r="AJ209" s="1115"/>
      <c r="AK209" s="1116"/>
      <c r="AL209" s="1118">
        <v>15177.401847179624</v>
      </c>
      <c r="AM209" s="1115"/>
      <c r="AN209" s="1116"/>
      <c r="AO209" s="1118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">
      <c r="A210" s="533" t="str">
        <f t="shared" si="86"/>
        <v>ServiceBénéfices marginaux</v>
      </c>
      <c r="B210" s="615" t="s">
        <v>115</v>
      </c>
      <c r="C210" s="543"/>
      <c r="D210" s="596"/>
      <c r="E210" s="1080">
        <f t="shared" si="89"/>
        <v>123231.54614095</v>
      </c>
      <c r="F210" s="543"/>
      <c r="G210" s="596"/>
      <c r="H210" s="1101">
        <v>7608.7928308551973</v>
      </c>
      <c r="I210" s="543"/>
      <c r="J210" s="596"/>
      <c r="K210" s="1101">
        <v>7361.0574566582918</v>
      </c>
      <c r="L210" s="543"/>
      <c r="M210" s="596"/>
      <c r="N210" s="1101">
        <v>9894.3311330034339</v>
      </c>
      <c r="O210" s="543"/>
      <c r="P210" s="596"/>
      <c r="Q210" s="1101">
        <v>12406.645309508531</v>
      </c>
      <c r="R210" s="543"/>
      <c r="S210" s="596"/>
      <c r="T210" s="1101">
        <v>11946.304512700304</v>
      </c>
      <c r="U210" s="543"/>
      <c r="V210" s="596"/>
      <c r="W210" s="1101">
        <v>10701.268785599448</v>
      </c>
      <c r="X210" s="543"/>
      <c r="Y210" s="596"/>
      <c r="Z210" s="1101">
        <v>10656.79833341429</v>
      </c>
      <c r="AA210" s="543"/>
      <c r="AB210" s="596"/>
      <c r="AC210" s="1101">
        <v>9776.8584656912608</v>
      </c>
      <c r="AD210" s="543"/>
      <c r="AE210" s="596"/>
      <c r="AF210" s="1101">
        <v>9645.3862132276117</v>
      </c>
      <c r="AG210" s="543"/>
      <c r="AH210" s="596"/>
      <c r="AI210" s="1101">
        <v>12217.406192492914</v>
      </c>
      <c r="AJ210" s="543"/>
      <c r="AK210" s="596"/>
      <c r="AL210" s="1101">
        <v>12181.514699953732</v>
      </c>
      <c r="AM210" s="543"/>
      <c r="AN210" s="596"/>
      <c r="AO210" s="1101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">
      <c r="A211" s="533" t="str">
        <f t="shared" si="86"/>
        <v>ServiceCsst</v>
      </c>
      <c r="B211" s="612" t="s">
        <v>116</v>
      </c>
      <c r="C211" s="543"/>
      <c r="D211" s="596"/>
      <c r="E211" s="1080">
        <f t="shared" si="89"/>
        <v>32710.432074250006</v>
      </c>
      <c r="F211" s="543"/>
      <c r="G211" s="596"/>
      <c r="H211" s="1101">
        <v>2019.6687362508383</v>
      </c>
      <c r="I211" s="543"/>
      <c r="J211" s="596"/>
      <c r="K211" s="1101">
        <v>1953.9101591346498</v>
      </c>
      <c r="L211" s="543"/>
      <c r="M211" s="596"/>
      <c r="N211" s="1101">
        <v>2626.3392498221469</v>
      </c>
      <c r="O211" s="543"/>
      <c r="P211" s="596"/>
      <c r="Q211" s="1101">
        <v>3293.2048763050816</v>
      </c>
      <c r="R211" s="543"/>
      <c r="S211" s="596"/>
      <c r="T211" s="1101">
        <v>3171.0125737936887</v>
      </c>
      <c r="U211" s="543"/>
      <c r="V211" s="596"/>
      <c r="W211" s="1101">
        <v>2840.531801161284</v>
      </c>
      <c r="X211" s="543"/>
      <c r="Y211" s="596"/>
      <c r="Z211" s="1101">
        <v>2828.7276182952342</v>
      </c>
      <c r="AA211" s="543"/>
      <c r="AB211" s="596"/>
      <c r="AC211" s="1101">
        <v>2595.1574475561856</v>
      </c>
      <c r="AD211" s="543"/>
      <c r="AE211" s="596"/>
      <c r="AF211" s="1101">
        <v>2560.2596123951953</v>
      </c>
      <c r="AG211" s="543"/>
      <c r="AH211" s="596"/>
      <c r="AI211" s="1101">
        <v>3242.9734747137209</v>
      </c>
      <c r="AJ211" s="543"/>
      <c r="AK211" s="596"/>
      <c r="AL211" s="1101">
        <v>3233.4464804860941</v>
      </c>
      <c r="AM211" s="543"/>
      <c r="AN211" s="596"/>
      <c r="AO211" s="1101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0"/>
      <c r="E212" s="1103">
        <f t="shared" si="89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/>
      <c r="AG212" s="601"/>
      <c r="AH212" s="1120"/>
      <c r="AI212" s="1103"/>
      <c r="AJ212" s="601"/>
      <c r="AK212" s="1120"/>
      <c r="AL212" s="1103"/>
      <c r="AM212" s="601"/>
      <c r="AN212" s="1120"/>
      <c r="AO212" s="1103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">
      <c r="A213" s="533" t="str">
        <f t="shared" si="86"/>
        <v>ServiceTOTAL PERSONNEL</v>
      </c>
      <c r="B213" s="1356" t="s">
        <v>117</v>
      </c>
      <c r="C213" s="1107" t="s">
        <v>162</v>
      </c>
      <c r="D213" s="1108">
        <f>IFERROR(E213/E$197,0)</f>
        <v>0.57615254498000756</v>
      </c>
      <c r="E213" s="1109">
        <f>+SUM(E201:E212)</f>
        <v>1043912.3593678363</v>
      </c>
      <c r="F213" s="1107" t="s">
        <v>162</v>
      </c>
      <c r="G213" s="1108">
        <f>IFERROR(H213/H$197,0)</f>
        <v>0.80024635503156805</v>
      </c>
      <c r="H213" s="1109">
        <f>+SUM(H201:H212)</f>
        <v>75037.938572653788</v>
      </c>
      <c r="I213" s="1107" t="s">
        <v>162</v>
      </c>
      <c r="J213" s="1108">
        <f>IFERROR(K213/K$197,0)</f>
        <v>0.67662922133533498</v>
      </c>
      <c r="K213" s="1109">
        <f>+SUM(K201:K212)</f>
        <v>63964.778529869865</v>
      </c>
      <c r="L213" s="1107" t="s">
        <v>162</v>
      </c>
      <c r="M213" s="1108">
        <f>IFERROR(N213/N$197,0)</f>
        <v>0.63295622080593583</v>
      </c>
      <c r="N213" s="1109">
        <f>+SUM(N201:N212)</f>
        <v>83869.869386471066</v>
      </c>
      <c r="O213" s="1107" t="s">
        <v>162</v>
      </c>
      <c r="P213" s="1108">
        <f>IFERROR(Q213/Q$197,0)</f>
        <v>0.48741593966717495</v>
      </c>
      <c r="Q213" s="1109">
        <f>+SUM(Q201:Q212)</f>
        <v>100585.89260620213</v>
      </c>
      <c r="R213" s="1107" t="s">
        <v>162</v>
      </c>
      <c r="S213" s="1108">
        <f>IFERROR(T213/T$197,0)</f>
        <v>0.46707150176048406</v>
      </c>
      <c r="T213" s="1109">
        <f>+SUM(T201:T212)</f>
        <v>93996.066815953833</v>
      </c>
      <c r="U213" s="1107" t="s">
        <v>162</v>
      </c>
      <c r="V213" s="1108">
        <f>IFERROR(W213/W$197,0)</f>
        <v>0.56441043271053992</v>
      </c>
      <c r="W213" s="1109">
        <f>+SUM(W201:W212)</f>
        <v>89934.354085632585</v>
      </c>
      <c r="X213" s="1107" t="s">
        <v>162</v>
      </c>
      <c r="Y213" s="1108">
        <f>IFERROR(Z213/Z$197,0)</f>
        <v>0.57383304124617152</v>
      </c>
      <c r="Z213" s="1109">
        <f>+SUM(Z201:Z212)</f>
        <v>90147.640461185088</v>
      </c>
      <c r="AA213" s="1107" t="s">
        <v>162</v>
      </c>
      <c r="AB213" s="1108">
        <f>IFERROR(AC213/AC$197,0)</f>
        <v>0.57712759532004188</v>
      </c>
      <c r="AC213" s="1109">
        <f>+SUM(AC201:AC212)</f>
        <v>79778.362300527908</v>
      </c>
      <c r="AD213" s="1107" t="s">
        <v>162</v>
      </c>
      <c r="AE213" s="1108">
        <f>IFERROR(AF213/AF$197,0)</f>
        <v>0.64885302813496049</v>
      </c>
      <c r="AF213" s="1109">
        <f>+SUM(AF201:AF212)</f>
        <v>84122.656232831418</v>
      </c>
      <c r="AG213" s="1107" t="s">
        <v>162</v>
      </c>
      <c r="AH213" s="1108">
        <f>IFERROR(AI213/AI$197,0)</f>
        <v>0.49304085753538823</v>
      </c>
      <c r="AI213" s="1109">
        <f>+SUM(AI201:AI212)</f>
        <v>97216.894893520424</v>
      </c>
      <c r="AJ213" s="1107" t="s">
        <v>162</v>
      </c>
      <c r="AK213" s="1108">
        <f>IFERROR(AL213/AL$197,0)</f>
        <v>0.45968913622068064</v>
      </c>
      <c r="AL213" s="1109">
        <f>+SUM(AL201:AL212)</f>
        <v>91970.117299780992</v>
      </c>
      <c r="AM213" s="1107" t="s">
        <v>162</v>
      </c>
      <c r="AN213" s="1108">
        <f>IFERROR(AO213/AO$197,0)</f>
        <v>0.91567061309970121</v>
      </c>
      <c r="AO213" s="1109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">
      <c r="A214" s="533" t="str">
        <f t="shared" si="86"/>
        <v>ServicePublicité 2</v>
      </c>
      <c r="B214" s="543" t="s">
        <v>118</v>
      </c>
      <c r="C214" s="543"/>
      <c r="D214" s="596"/>
      <c r="E214" s="1080">
        <f t="shared" si="89"/>
        <v>24865.949999999997</v>
      </c>
      <c r="F214" s="543"/>
      <c r="G214" s="596"/>
      <c r="H214" s="1101">
        <v>1281.0048734642953</v>
      </c>
      <c r="I214" s="543"/>
      <c r="J214" s="596"/>
      <c r="K214" s="1101">
        <v>1541.9081544101357</v>
      </c>
      <c r="L214" s="543"/>
      <c r="M214" s="596"/>
      <c r="N214" s="1101">
        <v>1857.2591261461289</v>
      </c>
      <c r="O214" s="543"/>
      <c r="P214" s="596"/>
      <c r="Q214" s="1101">
        <v>3034.5228924559869</v>
      </c>
      <c r="R214" s="543"/>
      <c r="S214" s="596"/>
      <c r="T214" s="1101">
        <v>2601.9859422453269</v>
      </c>
      <c r="U214" s="543"/>
      <c r="V214" s="596"/>
      <c r="W214" s="1101">
        <v>1783.7595846519571</v>
      </c>
      <c r="X214" s="543"/>
      <c r="Y214" s="596"/>
      <c r="Z214" s="1101">
        <v>2129.9114389697861</v>
      </c>
      <c r="AA214" s="543"/>
      <c r="AB214" s="596"/>
      <c r="AC214" s="1101">
        <v>1682.6307341060699</v>
      </c>
      <c r="AD214" s="543"/>
      <c r="AE214" s="596"/>
      <c r="AF214" s="1101">
        <v>1354.4890372242405</v>
      </c>
      <c r="AG214" s="543"/>
      <c r="AH214" s="596"/>
      <c r="AI214" s="1101">
        <v>2827.9660902741534</v>
      </c>
      <c r="AJ214" s="543"/>
      <c r="AK214" s="596"/>
      <c r="AL214" s="1101">
        <v>3178.5106160077594</v>
      </c>
      <c r="AM214" s="543"/>
      <c r="AN214" s="596"/>
      <c r="AO214" s="1101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">
      <c r="A215" s="533" t="str">
        <f t="shared" si="86"/>
        <v>ServiceService gratuit 2</v>
      </c>
      <c r="B215" s="543" t="s">
        <v>119</v>
      </c>
      <c r="C215" s="543"/>
      <c r="D215" s="596"/>
      <c r="E215" s="1080">
        <f t="shared" si="89"/>
        <v>45000</v>
      </c>
      <c r="F215" s="543"/>
      <c r="G215" s="596"/>
      <c r="H215" s="1101">
        <v>3750</v>
      </c>
      <c r="I215" s="543"/>
      <c r="J215" s="596"/>
      <c r="K215" s="1101">
        <v>3750</v>
      </c>
      <c r="L215" s="543"/>
      <c r="M215" s="596"/>
      <c r="N215" s="1101">
        <v>3750</v>
      </c>
      <c r="O215" s="543"/>
      <c r="P215" s="596"/>
      <c r="Q215" s="1101">
        <v>3750</v>
      </c>
      <c r="R215" s="543"/>
      <c r="S215" s="596"/>
      <c r="T215" s="1101">
        <v>3750</v>
      </c>
      <c r="U215" s="543"/>
      <c r="V215" s="596"/>
      <c r="W215" s="1101">
        <v>3750</v>
      </c>
      <c r="X215" s="543"/>
      <c r="Y215" s="596"/>
      <c r="Z215" s="1101">
        <v>3750</v>
      </c>
      <c r="AA215" s="543"/>
      <c r="AB215" s="596"/>
      <c r="AC215" s="1101">
        <v>3750</v>
      </c>
      <c r="AD215" s="543"/>
      <c r="AE215" s="596"/>
      <c r="AF215" s="1101">
        <v>3750</v>
      </c>
      <c r="AG215" s="543"/>
      <c r="AH215" s="596"/>
      <c r="AI215" s="1101">
        <v>3750</v>
      </c>
      <c r="AJ215" s="543"/>
      <c r="AK215" s="596"/>
      <c r="AL215" s="1101">
        <v>3750</v>
      </c>
      <c r="AM215" s="543"/>
      <c r="AN215" s="596"/>
      <c r="AO215" s="1101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">
      <c r="A216" s="533" t="str">
        <f t="shared" si="86"/>
        <v>ServiceFrais véhicules de cie</v>
      </c>
      <c r="B216" s="601" t="s">
        <v>120</v>
      </c>
      <c r="C216" s="601"/>
      <c r="D216" s="1120"/>
      <c r="E216" s="1103">
        <f t="shared" si="89"/>
        <v>89439.000000000015</v>
      </c>
      <c r="F216" s="601"/>
      <c r="G216" s="1120"/>
      <c r="H216" s="1105">
        <v>7453.2500000000009</v>
      </c>
      <c r="I216" s="601"/>
      <c r="J216" s="1120"/>
      <c r="K216" s="1105">
        <v>7453.2500000000009</v>
      </c>
      <c r="L216" s="601"/>
      <c r="M216" s="1120"/>
      <c r="N216" s="1105">
        <v>7453.2500000000009</v>
      </c>
      <c r="O216" s="601"/>
      <c r="P216" s="1120"/>
      <c r="Q216" s="1105">
        <v>7453.2500000000009</v>
      </c>
      <c r="R216" s="601"/>
      <c r="S216" s="1120"/>
      <c r="T216" s="1105">
        <v>7453.2500000000009</v>
      </c>
      <c r="U216" s="601"/>
      <c r="V216" s="1120"/>
      <c r="W216" s="1105">
        <v>7453.2500000000009</v>
      </c>
      <c r="X216" s="601"/>
      <c r="Y216" s="1120"/>
      <c r="Z216" s="1105">
        <v>7453.2500000000009</v>
      </c>
      <c r="AA216" s="601"/>
      <c r="AB216" s="1120"/>
      <c r="AC216" s="1105">
        <v>7453.2500000000009</v>
      </c>
      <c r="AD216" s="601"/>
      <c r="AE216" s="1120"/>
      <c r="AF216" s="1105">
        <v>7453.2500000000009</v>
      </c>
      <c r="AG216" s="601"/>
      <c r="AH216" s="1120"/>
      <c r="AI216" s="1105">
        <v>7453.2500000000009</v>
      </c>
      <c r="AJ216" s="601"/>
      <c r="AK216" s="1120"/>
      <c r="AL216" s="1105">
        <v>7453.2500000000009</v>
      </c>
      <c r="AM216" s="601"/>
      <c r="AN216" s="1120"/>
      <c r="AO216" s="1105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">
      <c r="A217" s="533" t="str">
        <f t="shared" si="86"/>
        <v>ServiceInformatique</v>
      </c>
      <c r="B217" s="543" t="s">
        <v>121</v>
      </c>
      <c r="C217" s="543"/>
      <c r="D217" s="596"/>
      <c r="E217" s="1080">
        <f t="shared" si="89"/>
        <v>79636.929999999993</v>
      </c>
      <c r="F217" s="543"/>
      <c r="G217" s="596"/>
      <c r="H217" s="1101">
        <v>6636.4108333333334</v>
      </c>
      <c r="I217" s="543"/>
      <c r="J217" s="596"/>
      <c r="K217" s="1101">
        <v>6636.4108333333334</v>
      </c>
      <c r="L217" s="543"/>
      <c r="M217" s="596"/>
      <c r="N217" s="1101">
        <v>6636.4108333333334</v>
      </c>
      <c r="O217" s="543"/>
      <c r="P217" s="596"/>
      <c r="Q217" s="1101">
        <v>6636.4108333333334</v>
      </c>
      <c r="R217" s="543"/>
      <c r="S217" s="596"/>
      <c r="T217" s="1101">
        <v>6636.4108333333334</v>
      </c>
      <c r="U217" s="543"/>
      <c r="V217" s="596"/>
      <c r="W217" s="1101">
        <v>6636.4108333333334</v>
      </c>
      <c r="X217" s="543"/>
      <c r="Y217" s="596"/>
      <c r="Z217" s="1101">
        <v>6636.4108333333334</v>
      </c>
      <c r="AA217" s="543"/>
      <c r="AB217" s="596"/>
      <c r="AC217" s="1101">
        <v>6636.4108333333334</v>
      </c>
      <c r="AD217" s="543"/>
      <c r="AE217" s="596"/>
      <c r="AF217" s="1101">
        <v>6636.4108333333334</v>
      </c>
      <c r="AG217" s="543"/>
      <c r="AH217" s="596"/>
      <c r="AI217" s="1101">
        <v>6636.4108333333334</v>
      </c>
      <c r="AJ217" s="543"/>
      <c r="AK217" s="596"/>
      <c r="AL217" s="1101">
        <v>6636.4108333333334</v>
      </c>
      <c r="AM217" s="543"/>
      <c r="AN217" s="596"/>
      <c r="AO217" s="1101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">
      <c r="A218" s="533" t="str">
        <f t="shared" si="86"/>
        <v>ServiceFrais de déplacement</v>
      </c>
      <c r="B218" s="543" t="s">
        <v>122</v>
      </c>
      <c r="C218" s="543"/>
      <c r="D218" s="596"/>
      <c r="E218" s="1080">
        <f t="shared" si="89"/>
        <v>15975</v>
      </c>
      <c r="F218" s="543"/>
      <c r="G218" s="596"/>
      <c r="H218" s="1101">
        <v>1331.25</v>
      </c>
      <c r="I218" s="543"/>
      <c r="J218" s="596"/>
      <c r="K218" s="1101">
        <v>1331.25</v>
      </c>
      <c r="L218" s="543"/>
      <c r="M218" s="596"/>
      <c r="N218" s="1101">
        <v>1331.25</v>
      </c>
      <c r="O218" s="543"/>
      <c r="P218" s="596"/>
      <c r="Q218" s="1101">
        <v>1331.25</v>
      </c>
      <c r="R218" s="543"/>
      <c r="S218" s="596"/>
      <c r="T218" s="1101">
        <v>1331.25</v>
      </c>
      <c r="U218" s="543"/>
      <c r="V218" s="596"/>
      <c r="W218" s="1101">
        <v>1331.25</v>
      </c>
      <c r="X218" s="543"/>
      <c r="Y218" s="596"/>
      <c r="Z218" s="1101">
        <v>1331.25</v>
      </c>
      <c r="AA218" s="543"/>
      <c r="AB218" s="596"/>
      <c r="AC218" s="1101">
        <v>1331.25</v>
      </c>
      <c r="AD218" s="543"/>
      <c r="AE218" s="596"/>
      <c r="AF218" s="1101">
        <v>1331.25</v>
      </c>
      <c r="AG218" s="543"/>
      <c r="AH218" s="596"/>
      <c r="AI218" s="1101">
        <v>1331.25</v>
      </c>
      <c r="AJ218" s="543"/>
      <c r="AK218" s="596"/>
      <c r="AL218" s="1101">
        <v>1331.25</v>
      </c>
      <c r="AM218" s="543"/>
      <c r="AN218" s="596"/>
      <c r="AO218" s="1101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">
      <c r="A219" s="533" t="str">
        <f t="shared" si="86"/>
        <v>ServiceServices extérieurs</v>
      </c>
      <c r="B219" s="601" t="s">
        <v>123</v>
      </c>
      <c r="C219" s="601"/>
      <c r="D219" s="1120"/>
      <c r="E219" s="1103">
        <f t="shared" si="89"/>
        <v>43153.389999999992</v>
      </c>
      <c r="F219" s="601"/>
      <c r="G219" s="1120"/>
      <c r="H219" s="1105">
        <v>5550.8366666666661</v>
      </c>
      <c r="I219" s="601"/>
      <c r="J219" s="1120"/>
      <c r="K219" s="1105">
        <v>5550.8366666666661</v>
      </c>
      <c r="L219" s="601"/>
      <c r="M219" s="1120"/>
      <c r="N219" s="1105">
        <v>5550.8366666666661</v>
      </c>
      <c r="O219" s="601"/>
      <c r="P219" s="1120"/>
      <c r="Q219" s="1105">
        <v>5550.8366666666661</v>
      </c>
      <c r="R219" s="601"/>
      <c r="S219" s="1120"/>
      <c r="T219" s="1105">
        <v>5550.8366666666661</v>
      </c>
      <c r="U219" s="601"/>
      <c r="V219" s="1120"/>
      <c r="W219" s="1105">
        <v>2199.8866666666668</v>
      </c>
      <c r="X219" s="601"/>
      <c r="Y219" s="1120"/>
      <c r="Z219" s="1105">
        <v>2199.8866666666668</v>
      </c>
      <c r="AA219" s="601"/>
      <c r="AB219" s="1120"/>
      <c r="AC219" s="1105">
        <v>2199.8866666666668</v>
      </c>
      <c r="AD219" s="601"/>
      <c r="AE219" s="1120"/>
      <c r="AF219" s="1105">
        <v>2199.8866666666668</v>
      </c>
      <c r="AG219" s="601"/>
      <c r="AH219" s="1120"/>
      <c r="AI219" s="1105">
        <v>2199.8866666666668</v>
      </c>
      <c r="AJ219" s="601"/>
      <c r="AK219" s="1120"/>
      <c r="AL219" s="1105">
        <v>2199.8866666666668</v>
      </c>
      <c r="AM219" s="601"/>
      <c r="AN219" s="1120"/>
      <c r="AO219" s="1105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">
      <c r="A220" s="533" t="str">
        <f t="shared" si="86"/>
        <v>ServiceFournitures atelier</v>
      </c>
      <c r="B220" s="543" t="s">
        <v>3000</v>
      </c>
      <c r="C220" s="543"/>
      <c r="D220" s="596"/>
      <c r="E220" s="1080">
        <f t="shared" si="89"/>
        <v>0</v>
      </c>
      <c r="F220" s="543"/>
      <c r="G220" s="596"/>
      <c r="H220" s="1101"/>
      <c r="I220" s="543"/>
      <c r="J220" s="596"/>
      <c r="K220" s="1101"/>
      <c r="L220" s="543"/>
      <c r="M220" s="596"/>
      <c r="N220" s="1101"/>
      <c r="O220" s="543"/>
      <c r="P220" s="596"/>
      <c r="Q220" s="1101"/>
      <c r="R220" s="543"/>
      <c r="S220" s="596"/>
      <c r="T220" s="1101"/>
      <c r="U220" s="543"/>
      <c r="V220" s="596"/>
      <c r="W220" s="1101"/>
      <c r="X220" s="543"/>
      <c r="Y220" s="596"/>
      <c r="Z220" s="1101"/>
      <c r="AA220" s="543"/>
      <c r="AB220" s="596"/>
      <c r="AC220" s="1101"/>
      <c r="AD220" s="543"/>
      <c r="AE220" s="596"/>
      <c r="AF220" s="1101"/>
      <c r="AG220" s="543"/>
      <c r="AH220" s="596"/>
      <c r="AI220" s="1101"/>
      <c r="AJ220" s="543"/>
      <c r="AK220" s="596"/>
      <c r="AL220" s="1101"/>
      <c r="AM220" s="543"/>
      <c r="AN220" s="596"/>
      <c r="AO220" s="1101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">
      <c r="A221" s="533" t="str">
        <f t="shared" si="86"/>
        <v>ServiceFournitures autres</v>
      </c>
      <c r="B221" s="543" t="s">
        <v>124</v>
      </c>
      <c r="C221" s="543"/>
      <c r="D221" s="596"/>
      <c r="E221" s="1080">
        <f t="shared" si="89"/>
        <v>39000</v>
      </c>
      <c r="F221" s="543"/>
      <c r="G221" s="596"/>
      <c r="H221" s="1101">
        <v>3250</v>
      </c>
      <c r="I221" s="543"/>
      <c r="J221" s="596"/>
      <c r="K221" s="1101">
        <v>3250</v>
      </c>
      <c r="L221" s="543"/>
      <c r="M221" s="596"/>
      <c r="N221" s="1101">
        <v>3250</v>
      </c>
      <c r="O221" s="543"/>
      <c r="P221" s="596"/>
      <c r="Q221" s="1101">
        <v>3250</v>
      </c>
      <c r="R221" s="543"/>
      <c r="S221" s="596"/>
      <c r="T221" s="1101">
        <v>3250</v>
      </c>
      <c r="U221" s="543"/>
      <c r="V221" s="596"/>
      <c r="W221" s="1101">
        <v>3250</v>
      </c>
      <c r="X221" s="543"/>
      <c r="Y221" s="596"/>
      <c r="Z221" s="1101">
        <v>3250</v>
      </c>
      <c r="AA221" s="543"/>
      <c r="AB221" s="596"/>
      <c r="AC221" s="1101">
        <v>3250</v>
      </c>
      <c r="AD221" s="543"/>
      <c r="AE221" s="596"/>
      <c r="AF221" s="1101">
        <v>3250</v>
      </c>
      <c r="AG221" s="543"/>
      <c r="AH221" s="596"/>
      <c r="AI221" s="1101">
        <v>3250</v>
      </c>
      <c r="AJ221" s="543"/>
      <c r="AK221" s="596"/>
      <c r="AL221" s="1101">
        <v>3250</v>
      </c>
      <c r="AM221" s="543"/>
      <c r="AN221" s="596"/>
      <c r="AO221" s="1101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">
      <c r="A222" s="533" t="str">
        <f t="shared" si="86"/>
        <v>ServiceUniformes</v>
      </c>
      <c r="B222" s="543" t="s">
        <v>125</v>
      </c>
      <c r="C222" s="543"/>
      <c r="D222" s="596"/>
      <c r="E222" s="1080">
        <f t="shared" si="89"/>
        <v>15900</v>
      </c>
      <c r="F222" s="543"/>
      <c r="G222" s="596"/>
      <c r="H222" s="1101">
        <v>1325</v>
      </c>
      <c r="I222" s="543"/>
      <c r="J222" s="596"/>
      <c r="K222" s="1101">
        <v>1325</v>
      </c>
      <c r="L222" s="543"/>
      <c r="M222" s="596"/>
      <c r="N222" s="1101">
        <v>1325</v>
      </c>
      <c r="O222" s="543"/>
      <c r="P222" s="596"/>
      <c r="Q222" s="1101">
        <v>1325</v>
      </c>
      <c r="R222" s="543"/>
      <c r="S222" s="596"/>
      <c r="T222" s="1101">
        <v>1325</v>
      </c>
      <c r="U222" s="543"/>
      <c r="V222" s="596"/>
      <c r="W222" s="1101">
        <v>1325</v>
      </c>
      <c r="X222" s="543"/>
      <c r="Y222" s="596"/>
      <c r="Z222" s="1101">
        <v>1325</v>
      </c>
      <c r="AA222" s="543"/>
      <c r="AB222" s="596"/>
      <c r="AC222" s="1101">
        <v>1325</v>
      </c>
      <c r="AD222" s="543"/>
      <c r="AE222" s="596"/>
      <c r="AF222" s="1101">
        <v>1325</v>
      </c>
      <c r="AG222" s="543"/>
      <c r="AH222" s="596"/>
      <c r="AI222" s="1101">
        <v>1325</v>
      </c>
      <c r="AJ222" s="543"/>
      <c r="AK222" s="596"/>
      <c r="AL222" s="1101">
        <v>1325</v>
      </c>
      <c r="AM222" s="543"/>
      <c r="AN222" s="596"/>
      <c r="AO222" s="1101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">
      <c r="A223" s="533" t="str">
        <f t="shared" si="86"/>
        <v>ServicePapeterie</v>
      </c>
      <c r="B223" s="543" t="s">
        <v>126</v>
      </c>
      <c r="C223" s="543"/>
      <c r="D223" s="596"/>
      <c r="E223" s="1080">
        <f t="shared" si="89"/>
        <v>4350</v>
      </c>
      <c r="F223" s="543"/>
      <c r="G223" s="596"/>
      <c r="H223" s="1101">
        <v>362.5</v>
      </c>
      <c r="I223" s="543"/>
      <c r="J223" s="596"/>
      <c r="K223" s="1101">
        <v>362.5</v>
      </c>
      <c r="L223" s="543"/>
      <c r="M223" s="596"/>
      <c r="N223" s="1101">
        <v>362.5</v>
      </c>
      <c r="O223" s="543"/>
      <c r="P223" s="596"/>
      <c r="Q223" s="1101">
        <v>362.5</v>
      </c>
      <c r="R223" s="543"/>
      <c r="S223" s="596"/>
      <c r="T223" s="1101">
        <v>362.5</v>
      </c>
      <c r="U223" s="543"/>
      <c r="V223" s="596"/>
      <c r="W223" s="1101">
        <v>362.5</v>
      </c>
      <c r="X223" s="543"/>
      <c r="Y223" s="596"/>
      <c r="Z223" s="1101">
        <v>362.5</v>
      </c>
      <c r="AA223" s="543"/>
      <c r="AB223" s="596"/>
      <c r="AC223" s="1101">
        <v>362.5</v>
      </c>
      <c r="AD223" s="543"/>
      <c r="AE223" s="596"/>
      <c r="AF223" s="1101">
        <v>362.5</v>
      </c>
      <c r="AG223" s="543"/>
      <c r="AH223" s="596"/>
      <c r="AI223" s="1101">
        <v>362.5</v>
      </c>
      <c r="AJ223" s="543"/>
      <c r="AK223" s="596"/>
      <c r="AL223" s="1101">
        <v>362.5</v>
      </c>
      <c r="AM223" s="543"/>
      <c r="AN223" s="596"/>
      <c r="AO223" s="1101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">
      <c r="A224" s="533" t="str">
        <f t="shared" si="86"/>
        <v>ServiceTéléphone</v>
      </c>
      <c r="B224" s="543" t="s">
        <v>127</v>
      </c>
      <c r="C224" s="543"/>
      <c r="D224" s="596"/>
      <c r="E224" s="1080">
        <f t="shared" si="89"/>
        <v>1371</v>
      </c>
      <c r="F224" s="543"/>
      <c r="G224" s="596"/>
      <c r="H224" s="1101">
        <v>114.25</v>
      </c>
      <c r="I224" s="543"/>
      <c r="J224" s="596"/>
      <c r="K224" s="1101">
        <v>114.25</v>
      </c>
      <c r="L224" s="543"/>
      <c r="M224" s="596"/>
      <c r="N224" s="1101">
        <v>114.25</v>
      </c>
      <c r="O224" s="543"/>
      <c r="P224" s="596"/>
      <c r="Q224" s="1101">
        <v>114.25</v>
      </c>
      <c r="R224" s="543"/>
      <c r="S224" s="596"/>
      <c r="T224" s="1101">
        <v>114.25</v>
      </c>
      <c r="U224" s="543"/>
      <c r="V224" s="596"/>
      <c r="W224" s="1101">
        <v>114.25</v>
      </c>
      <c r="X224" s="543"/>
      <c r="Y224" s="596"/>
      <c r="Z224" s="1101">
        <v>114.25</v>
      </c>
      <c r="AA224" s="543"/>
      <c r="AB224" s="596"/>
      <c r="AC224" s="1101">
        <v>114.25</v>
      </c>
      <c r="AD224" s="543"/>
      <c r="AE224" s="596"/>
      <c r="AF224" s="1101">
        <v>114.25</v>
      </c>
      <c r="AG224" s="543"/>
      <c r="AH224" s="596"/>
      <c r="AI224" s="1101">
        <v>114.25</v>
      </c>
      <c r="AJ224" s="543"/>
      <c r="AK224" s="596"/>
      <c r="AL224" s="1101">
        <v>114.25</v>
      </c>
      <c r="AM224" s="543"/>
      <c r="AN224" s="596"/>
      <c r="AO224" s="1101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">
      <c r="A225" s="533" t="str">
        <f t="shared" si="86"/>
        <v>ServiceFrais postaux</v>
      </c>
      <c r="B225" s="543" t="s">
        <v>128</v>
      </c>
      <c r="C225" s="543"/>
      <c r="D225" s="596"/>
      <c r="E225" s="1080">
        <f t="shared" si="89"/>
        <v>1700.0000000000002</v>
      </c>
      <c r="F225" s="543"/>
      <c r="G225" s="596"/>
      <c r="H225" s="1101">
        <v>141.66666666666666</v>
      </c>
      <c r="I225" s="543"/>
      <c r="J225" s="596"/>
      <c r="K225" s="1101">
        <v>141.66666666666666</v>
      </c>
      <c r="L225" s="543"/>
      <c r="M225" s="596"/>
      <c r="N225" s="1101">
        <v>141.66666666666666</v>
      </c>
      <c r="O225" s="543"/>
      <c r="P225" s="596"/>
      <c r="Q225" s="1101">
        <v>141.66666666666666</v>
      </c>
      <c r="R225" s="543"/>
      <c r="S225" s="596"/>
      <c r="T225" s="1101">
        <v>141.66666666666666</v>
      </c>
      <c r="U225" s="543"/>
      <c r="V225" s="596"/>
      <c r="W225" s="1101">
        <v>141.66666666666666</v>
      </c>
      <c r="X225" s="543"/>
      <c r="Y225" s="596"/>
      <c r="Z225" s="1101">
        <v>141.66666666666666</v>
      </c>
      <c r="AA225" s="543"/>
      <c r="AB225" s="596"/>
      <c r="AC225" s="1101">
        <v>141.66666666666666</v>
      </c>
      <c r="AD225" s="543"/>
      <c r="AE225" s="596"/>
      <c r="AF225" s="1101">
        <v>141.66666666666666</v>
      </c>
      <c r="AG225" s="543"/>
      <c r="AH225" s="596"/>
      <c r="AI225" s="1101">
        <v>141.66666666666666</v>
      </c>
      <c r="AJ225" s="543"/>
      <c r="AK225" s="596"/>
      <c r="AL225" s="1101">
        <v>141.66666666666666</v>
      </c>
      <c r="AM225" s="543"/>
      <c r="AN225" s="596"/>
      <c r="AO225" s="1101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">
      <c r="A226" s="533" t="str">
        <f t="shared" si="86"/>
        <v>ServiceDivers</v>
      </c>
      <c r="B226" s="543" t="s">
        <v>129</v>
      </c>
      <c r="C226" s="543"/>
      <c r="D226" s="596"/>
      <c r="E226" s="1080">
        <f t="shared" si="89"/>
        <v>4579.9999999999991</v>
      </c>
      <c r="F226" s="543"/>
      <c r="G226" s="596"/>
      <c r="H226" s="1101">
        <v>381.66666666666663</v>
      </c>
      <c r="I226" s="543"/>
      <c r="J226" s="596"/>
      <c r="K226" s="1101">
        <v>381.66666666666663</v>
      </c>
      <c r="L226" s="543"/>
      <c r="M226" s="596"/>
      <c r="N226" s="1101">
        <v>381.66666666666663</v>
      </c>
      <c r="O226" s="543"/>
      <c r="P226" s="596"/>
      <c r="Q226" s="1101">
        <v>381.66666666666663</v>
      </c>
      <c r="R226" s="543"/>
      <c r="S226" s="596"/>
      <c r="T226" s="1101">
        <v>381.66666666666663</v>
      </c>
      <c r="U226" s="543"/>
      <c r="V226" s="596"/>
      <c r="W226" s="1101">
        <v>381.66666666666663</v>
      </c>
      <c r="X226" s="543"/>
      <c r="Y226" s="596"/>
      <c r="Z226" s="1101">
        <v>381.66666666666663</v>
      </c>
      <c r="AA226" s="543"/>
      <c r="AB226" s="596"/>
      <c r="AC226" s="1101">
        <v>381.66666666666663</v>
      </c>
      <c r="AD226" s="543"/>
      <c r="AE226" s="596"/>
      <c r="AF226" s="1101">
        <v>381.66666666666663</v>
      </c>
      <c r="AG226" s="543"/>
      <c r="AH226" s="596"/>
      <c r="AI226" s="1101">
        <v>381.66666666666663</v>
      </c>
      <c r="AJ226" s="543"/>
      <c r="AK226" s="596"/>
      <c r="AL226" s="1101">
        <v>381.66666666666663</v>
      </c>
      <c r="AM226" s="543"/>
      <c r="AN226" s="596"/>
      <c r="AO226" s="1101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">
      <c r="A227" s="533" t="str">
        <f t="shared" si="86"/>
        <v>ServiceFormation</v>
      </c>
      <c r="B227" s="543" t="s">
        <v>130</v>
      </c>
      <c r="C227" s="543"/>
      <c r="D227" s="596"/>
      <c r="E227" s="1080">
        <f t="shared" si="89"/>
        <v>21386.959999999995</v>
      </c>
      <c r="F227" s="543"/>
      <c r="G227" s="596"/>
      <c r="H227" s="1101">
        <v>1782.2466666666669</v>
      </c>
      <c r="I227" s="543"/>
      <c r="J227" s="596"/>
      <c r="K227" s="1101">
        <v>1782.2466666666669</v>
      </c>
      <c r="L227" s="543"/>
      <c r="M227" s="596"/>
      <c r="N227" s="1101">
        <v>1782.2466666666669</v>
      </c>
      <c r="O227" s="543"/>
      <c r="P227" s="596"/>
      <c r="Q227" s="1101">
        <v>1782.2466666666669</v>
      </c>
      <c r="R227" s="543"/>
      <c r="S227" s="596"/>
      <c r="T227" s="1101">
        <v>1782.2466666666669</v>
      </c>
      <c r="U227" s="543"/>
      <c r="V227" s="596"/>
      <c r="W227" s="1101">
        <v>1782.2466666666669</v>
      </c>
      <c r="X227" s="543"/>
      <c r="Y227" s="596"/>
      <c r="Z227" s="1101">
        <v>1782.2466666666669</v>
      </c>
      <c r="AA227" s="543"/>
      <c r="AB227" s="596"/>
      <c r="AC227" s="1101">
        <v>1782.2466666666669</v>
      </c>
      <c r="AD227" s="543"/>
      <c r="AE227" s="596"/>
      <c r="AF227" s="1101">
        <v>1782.2466666666669</v>
      </c>
      <c r="AG227" s="543"/>
      <c r="AH227" s="596"/>
      <c r="AI227" s="1101">
        <v>1782.2466666666669</v>
      </c>
      <c r="AJ227" s="543"/>
      <c r="AK227" s="596"/>
      <c r="AL227" s="1101">
        <v>1782.2466666666669</v>
      </c>
      <c r="AM227" s="543"/>
      <c r="AN227" s="596"/>
      <c r="AO227" s="1101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">
      <c r="A228" s="533" t="str">
        <f t="shared" si="86"/>
        <v>ServiceFrais bancaires</v>
      </c>
      <c r="B228" s="543" t="s">
        <v>131</v>
      </c>
      <c r="C228" s="543"/>
      <c r="D228" s="596"/>
      <c r="E228" s="1080">
        <f t="shared" si="89"/>
        <v>26375.897826086955</v>
      </c>
      <c r="F228" s="543"/>
      <c r="G228" s="596"/>
      <c r="H228" s="1101">
        <v>1406.3259711543212</v>
      </c>
      <c r="I228" s="543"/>
      <c r="J228" s="596"/>
      <c r="K228" s="1101">
        <v>1475.3702162380764</v>
      </c>
      <c r="L228" s="543"/>
      <c r="M228" s="596"/>
      <c r="N228" s="1101">
        <v>2269.8906323363303</v>
      </c>
      <c r="O228" s="543"/>
      <c r="P228" s="596"/>
      <c r="Q228" s="1101">
        <v>2684.1591111734192</v>
      </c>
      <c r="R228" s="543"/>
      <c r="S228" s="596"/>
      <c r="T228" s="1101">
        <v>2992.2953230599892</v>
      </c>
      <c r="U228" s="543"/>
      <c r="V228" s="596"/>
      <c r="W228" s="1101">
        <v>2486.3898395045694</v>
      </c>
      <c r="X228" s="543"/>
      <c r="Y228" s="596"/>
      <c r="Z228" s="1101">
        <v>2012.4223827598689</v>
      </c>
      <c r="AA228" s="543"/>
      <c r="AB228" s="596"/>
      <c r="AC228" s="1101">
        <v>2015.0715153840281</v>
      </c>
      <c r="AD228" s="543"/>
      <c r="AE228" s="596"/>
      <c r="AF228" s="1101">
        <v>2390.5491143270133</v>
      </c>
      <c r="AG228" s="543"/>
      <c r="AH228" s="596"/>
      <c r="AI228" s="1101">
        <v>2640.6998288338841</v>
      </c>
      <c r="AJ228" s="543"/>
      <c r="AK228" s="596"/>
      <c r="AL228" s="1101">
        <v>2417.9519016212621</v>
      </c>
      <c r="AM228" s="543"/>
      <c r="AN228" s="596"/>
      <c r="AO228" s="1101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0">
        <f t="shared" si="89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/>
      <c r="AG229" s="543"/>
      <c r="AH229" s="596"/>
      <c r="AI229" s="1080"/>
      <c r="AJ229" s="543"/>
      <c r="AK229" s="596"/>
      <c r="AL229" s="1080"/>
      <c r="AM229" s="543"/>
      <c r="AN229" s="596"/>
      <c r="AO229" s="1080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0">
        <f t="shared" si="89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/>
      <c r="AG230" s="543"/>
      <c r="AH230" s="596"/>
      <c r="AI230" s="1080"/>
      <c r="AJ230" s="543"/>
      <c r="AK230" s="596"/>
      <c r="AL230" s="1080"/>
      <c r="AM230" s="543"/>
      <c r="AN230" s="596"/>
      <c r="AO230" s="1080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0">
        <f t="shared" si="89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/>
      <c r="AG231" s="543"/>
      <c r="AH231" s="596"/>
      <c r="AI231" s="1080"/>
      <c r="AJ231" s="543"/>
      <c r="AK231" s="596"/>
      <c r="AL231" s="1080"/>
      <c r="AM231" s="543"/>
      <c r="AN231" s="596"/>
      <c r="AO231" s="1080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">
      <c r="A232" s="533" t="str">
        <f t="shared" si="86"/>
        <v>ServiceTOTAL SEMI-FIXES</v>
      </c>
      <c r="B232" s="1356" t="s">
        <v>132</v>
      </c>
      <c r="C232" s="1107" t="s">
        <v>162</v>
      </c>
      <c r="D232" s="1108">
        <f>IFERROR(E232/E$197,0)</f>
        <v>0.2277948105635107</v>
      </c>
      <c r="E232" s="1109">
        <f>+SUM(E214:E231)</f>
        <v>412734.127826087</v>
      </c>
      <c r="F232" s="1107" t="s">
        <v>162</v>
      </c>
      <c r="G232" s="1108">
        <f>IFERROR(H232/H$197,0)</f>
        <v>0.37076833511867358</v>
      </c>
      <c r="H232" s="1109">
        <f>+SUM(H214:H231)</f>
        <v>34766.40834461862</v>
      </c>
      <c r="I232" s="1107" t="s">
        <v>162</v>
      </c>
      <c r="J232" s="1108">
        <f>IFERROR(K232/K$197,0)</f>
        <v>0.37125462622176036</v>
      </c>
      <c r="K232" s="1109">
        <f>+SUM(K214:K231)</f>
        <v>35096.355870648222</v>
      </c>
      <c r="L232" s="1107" t="s">
        <v>162</v>
      </c>
      <c r="M232" s="1108">
        <f>IFERROR(N232/N$197,0)</f>
        <v>0.27324421681842548</v>
      </c>
      <c r="N232" s="1109">
        <f>+SUM(N214:N231)</f>
        <v>36206.227258482468</v>
      </c>
      <c r="O232" s="1107" t="s">
        <v>162</v>
      </c>
      <c r="P232" s="1108">
        <f>IFERROR(Q232/Q$197,0)</f>
        <v>0.18315918851466689</v>
      </c>
      <c r="Q232" s="1109">
        <f>+SUM(Q214:Q231)</f>
        <v>37797.759503629401</v>
      </c>
      <c r="R232" s="1107" t="s">
        <v>162</v>
      </c>
      <c r="S232" s="1108">
        <f>IFERROR(T232/T$197,0)</f>
        <v>0.18720094202799212</v>
      </c>
      <c r="T232" s="1109">
        <f>+SUM(T214:T231)</f>
        <v>37673.358765305311</v>
      </c>
      <c r="U232" s="1107" t="s">
        <v>162</v>
      </c>
      <c r="V232" s="1108">
        <f>IFERROR(W232/W$197,0)</f>
        <v>0.20709073798130237</v>
      </c>
      <c r="W232" s="1109">
        <f>+SUM(W214:W231)</f>
        <v>32998.276924156526</v>
      </c>
      <c r="X232" s="1107" t="s">
        <v>162</v>
      </c>
      <c r="Y232" s="1108">
        <f>IFERROR(Z232/Z$197,0)</f>
        <v>0.20923627829764738</v>
      </c>
      <c r="Z232" s="1109">
        <f>+SUM(Z214:Z231)</f>
        <v>32870.461321729657</v>
      </c>
      <c r="AA232" s="1107" t="s">
        <v>162</v>
      </c>
      <c r="AB232" s="1108">
        <f>IFERROR(AC232/AC$197,0)</f>
        <v>0.23457289182102531</v>
      </c>
      <c r="AC232" s="1109">
        <f>+SUM(AC214:AC231)</f>
        <v>32425.829749490098</v>
      </c>
      <c r="AD232" s="1107" t="s">
        <v>162</v>
      </c>
      <c r="AE232" s="1108">
        <f>IFERROR(AF232/AF$197,0)</f>
        <v>0.25047130951047986</v>
      </c>
      <c r="AF232" s="1109">
        <f>+SUM(AF214:AF231)</f>
        <v>32473.165651551251</v>
      </c>
      <c r="AG232" s="1107" t="s">
        <v>162</v>
      </c>
      <c r="AH232" s="1108">
        <f>IFERROR(AI232/AI$197,0)</f>
        <v>0.17343092855191888</v>
      </c>
      <c r="AI232" s="1109">
        <f>+SUM(AI214:AI231)</f>
        <v>34196.793419108042</v>
      </c>
      <c r="AJ232" s="1107" t="s">
        <v>162</v>
      </c>
      <c r="AK232" s="1108">
        <f>IFERROR(AL232/AL$197,0)</f>
        <v>0.17156269448805472</v>
      </c>
      <c r="AL232" s="1109">
        <f>+SUM(AL214:AL231)</f>
        <v>34324.590017629023</v>
      </c>
      <c r="AM232" s="1107" t="s">
        <v>162</v>
      </c>
      <c r="AN232" s="1108">
        <f>IFERROR(AO232/AO$197,0)</f>
        <v>0.313164036025184</v>
      </c>
      <c r="AO232" s="1109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">
      <c r="A233" s="533" t="str">
        <f t="shared" si="86"/>
        <v>Service</v>
      </c>
      <c r="B233" s="601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">
      <c r="A234" s="533" t="str">
        <f t="shared" si="86"/>
        <v>ServiceTOTAL DES DÉPENSES</v>
      </c>
      <c r="B234" s="1357" t="s">
        <v>133</v>
      </c>
      <c r="C234" s="1107" t="s">
        <v>108</v>
      </c>
      <c r="D234" s="1164">
        <f>IFERROR(E234/E$197,0)</f>
        <v>0.80394735554351815</v>
      </c>
      <c r="E234" s="1126">
        <f>E213+E232</f>
        <v>1456646.4871939232</v>
      </c>
      <c r="F234" s="1107" t="s">
        <v>108</v>
      </c>
      <c r="G234" s="1164">
        <f>IFERROR(H234/H$197,0)</f>
        <v>1.1710146901502416</v>
      </c>
      <c r="H234" s="1126">
        <f>H213+H232</f>
        <v>109804.3469172724</v>
      </c>
      <c r="I234" s="1107" t="s">
        <v>108</v>
      </c>
      <c r="J234" s="1164">
        <f>IFERROR(K234/K$197,0)</f>
        <v>1.0478838475570953</v>
      </c>
      <c r="K234" s="1126">
        <f>K213+K232</f>
        <v>99061.134400518087</v>
      </c>
      <c r="L234" s="1107" t="s">
        <v>108</v>
      </c>
      <c r="M234" s="1164">
        <f>IFERROR(N234/N$197,0)</f>
        <v>0.90620043762436131</v>
      </c>
      <c r="N234" s="1126">
        <f>N213+N232</f>
        <v>120076.09664495353</v>
      </c>
      <c r="O234" s="1107" t="s">
        <v>108</v>
      </c>
      <c r="P234" s="1164">
        <f>IFERROR(Q234/Q$197,0)</f>
        <v>0.67057512818184184</v>
      </c>
      <c r="Q234" s="1126">
        <f>Q213+Q232</f>
        <v>138383.65210983154</v>
      </c>
      <c r="R234" s="1107" t="s">
        <v>108</v>
      </c>
      <c r="S234" s="1164">
        <f>IFERROR(T234/T$197,0)</f>
        <v>0.65427244378847615</v>
      </c>
      <c r="T234" s="1126">
        <f>T213+T232</f>
        <v>131669.42558125913</v>
      </c>
      <c r="U234" s="1107" t="s">
        <v>108</v>
      </c>
      <c r="V234" s="1164">
        <f>IFERROR(W234/W$197,0)</f>
        <v>0.77150117069184232</v>
      </c>
      <c r="W234" s="1126">
        <f>W213+W232</f>
        <v>122932.63100978911</v>
      </c>
      <c r="X234" s="1107" t="s">
        <v>108</v>
      </c>
      <c r="Y234" s="1164">
        <f>IFERROR(Z234/Z$197,0)</f>
        <v>0.78306931954381898</v>
      </c>
      <c r="Z234" s="1126">
        <f>Z213+Z232</f>
        <v>123018.10178291475</v>
      </c>
      <c r="AA234" s="1107" t="s">
        <v>108</v>
      </c>
      <c r="AB234" s="1164">
        <f>IFERROR(AC234/AC$197,0)</f>
        <v>0.81170048714106713</v>
      </c>
      <c r="AC234" s="1126">
        <f>AC213+AC232</f>
        <v>112204.192050018</v>
      </c>
      <c r="AD234" s="1107" t="s">
        <v>108</v>
      </c>
      <c r="AE234" s="1164">
        <f>IFERROR(AF234/AF$197,0)</f>
        <v>0.89932433764544029</v>
      </c>
      <c r="AF234" s="1126">
        <f>AF213+AF232</f>
        <v>116595.82188438266</v>
      </c>
      <c r="AG234" s="1107" t="s">
        <v>108</v>
      </c>
      <c r="AH234" s="1164">
        <f>IFERROR(AI234/AI$197,0)</f>
        <v>0.66647178608730717</v>
      </c>
      <c r="AI234" s="1126">
        <f>AI213+AI232</f>
        <v>131413.68831262848</v>
      </c>
      <c r="AJ234" s="1107" t="s">
        <v>108</v>
      </c>
      <c r="AK234" s="1164">
        <f>IFERROR(AL234/AL$197,0)</f>
        <v>0.63125183070873536</v>
      </c>
      <c r="AL234" s="1126">
        <f>AL213+AL232</f>
        <v>126294.70731741001</v>
      </c>
      <c r="AM234" s="1107" t="s">
        <v>108</v>
      </c>
      <c r="AN234" s="1164">
        <f>IFERROR(AO234/AO$197,0)</f>
        <v>1.2288346491248852</v>
      </c>
      <c r="AO234" s="1126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">
      <c r="A235" s="533" t="str">
        <f t="shared" si="86"/>
        <v>Service</v>
      </c>
      <c r="B235" s="5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86"/>
        <v>ServicePROFIT DÉPARTEMENTAL</v>
      </c>
      <c r="B236" s="1167" t="s">
        <v>139</v>
      </c>
      <c r="C236" s="1167"/>
      <c r="D236" s="1168"/>
      <c r="E236" s="1141">
        <f>E197-E234</f>
        <v>355221.51280607679</v>
      </c>
      <c r="F236" s="1167"/>
      <c r="G236" s="1168"/>
      <c r="H236" s="1141">
        <f>H197-H234</f>
        <v>-16035.799143388824</v>
      </c>
      <c r="I236" s="1167"/>
      <c r="J236" s="1168"/>
      <c r="K236" s="1141">
        <f>K197-K234</f>
        <v>-4526.6737048438808</v>
      </c>
      <c r="L236" s="1167"/>
      <c r="M236" s="1168"/>
      <c r="N236" s="1141">
        <f>N197-N234</f>
        <v>12428.911805205193</v>
      </c>
      <c r="O236" s="1167"/>
      <c r="P236" s="1168"/>
      <c r="Q236" s="1141">
        <f>Q197-Q234</f>
        <v>67981.9679289505</v>
      </c>
      <c r="R236" s="1167"/>
      <c r="S236" s="1168"/>
      <c r="T236" s="1141">
        <f>T197-T234</f>
        <v>69576.136311650684</v>
      </c>
      <c r="U236" s="1167"/>
      <c r="V236" s="1168"/>
      <c r="W236" s="1141">
        <f>W197-W234</f>
        <v>36409.487550510021</v>
      </c>
      <c r="X236" s="1167"/>
      <c r="Y236" s="1168"/>
      <c r="Z236" s="1141">
        <f>Z197-Z234</f>
        <v>34079.231381126941</v>
      </c>
      <c r="AA236" s="1167"/>
      <c r="AB236" s="1168"/>
      <c r="AC236" s="1141">
        <f>AC197-AC234</f>
        <v>26029.299031425442</v>
      </c>
      <c r="AD236" s="1167"/>
      <c r="AE236" s="1168"/>
      <c r="AF236" s="1141">
        <f>AF197-AF234</f>
        <v>13052.422918651573</v>
      </c>
      <c r="AG236" s="1167"/>
      <c r="AH236" s="1168"/>
      <c r="AI236" s="1141">
        <f>AI197-AI234</f>
        <v>65764.483450839703</v>
      </c>
      <c r="AJ236" s="1167"/>
      <c r="AK236" s="1168"/>
      <c r="AL236" s="1141">
        <f>AL197-AL234</f>
        <v>73775.535925470031</v>
      </c>
      <c r="AM236" s="1167"/>
      <c r="AN236" s="1168"/>
      <c r="AO236" s="1141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">
      <c r="A237" s="533"/>
      <c r="B237" s="596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">
      <c r="A238" s="533"/>
      <c r="B238" s="604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">
      <c r="A239" s="533"/>
      <c r="B239" s="605" t="str">
        <f>B4</f>
        <v>Budget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">
      <c r="A242" s="533" t="str">
        <f>+$C$239&amp;B242</f>
        <v>Carrosserie</v>
      </c>
      <c r="B242" s="5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">
      <c r="A243" s="533" t="str">
        <f t="shared" ref="A243:A291" si="90">+$C$239&amp;B243</f>
        <v>Carrosserie</v>
      </c>
      <c r="B243" s="5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">
      <c r="A244" s="533" t="str">
        <f t="shared" si="90"/>
        <v>CarrosserieM/O Sous-traitement</v>
      </c>
      <c r="B244" s="543" t="s">
        <v>164</v>
      </c>
      <c r="C244" s="1217">
        <f>+SUM(F244,I244,L244,O244,R244,U244,X244,AA244,AD244,AG244,AJ244,AM244)</f>
        <v>0</v>
      </c>
      <c r="D244" s="1218">
        <f>+SUM(G244,J244,M244,P244,S244,V244,Y244,AB244,AE244,AH244,AK244,AN244)</f>
        <v>0</v>
      </c>
      <c r="E244" s="1219">
        <f>+SUM(H244,K244,N244,Q244,T244,W244,Z244,AC244,AF244,AI244,AL244,AO244)</f>
        <v>0</v>
      </c>
      <c r="F244" s="1368"/>
      <c r="G244" s="1369">
        <v>0</v>
      </c>
      <c r="H244" s="1370">
        <v>0</v>
      </c>
      <c r="I244" s="1368"/>
      <c r="J244" s="1369">
        <v>0</v>
      </c>
      <c r="K244" s="1370">
        <v>0</v>
      </c>
      <c r="L244" s="1368"/>
      <c r="M244" s="1369">
        <v>0</v>
      </c>
      <c r="N244" s="1370">
        <v>0</v>
      </c>
      <c r="O244" s="1368"/>
      <c r="P244" s="1369">
        <v>0</v>
      </c>
      <c r="Q244" s="1370">
        <v>0</v>
      </c>
      <c r="R244" s="1368"/>
      <c r="S244" s="1369">
        <v>0</v>
      </c>
      <c r="T244" s="1370">
        <v>0</v>
      </c>
      <c r="U244" s="1368"/>
      <c r="V244" s="1369">
        <v>0</v>
      </c>
      <c r="W244" s="1370">
        <v>0</v>
      </c>
      <c r="X244" s="1368"/>
      <c r="Y244" s="1369">
        <v>0</v>
      </c>
      <c r="Z244" s="1370">
        <v>0</v>
      </c>
      <c r="AA244" s="1368"/>
      <c r="AB244" s="1369">
        <v>0</v>
      </c>
      <c r="AC244" s="1370">
        <v>0</v>
      </c>
      <c r="AD244" s="1368"/>
      <c r="AE244" s="1369">
        <v>0</v>
      </c>
      <c r="AF244" s="1370">
        <v>0</v>
      </c>
      <c r="AG244" s="1368"/>
      <c r="AH244" s="1369">
        <v>0</v>
      </c>
      <c r="AI244" s="1370">
        <v>0</v>
      </c>
      <c r="AJ244" s="1368"/>
      <c r="AK244" s="1369">
        <v>0</v>
      </c>
      <c r="AL244" s="1370">
        <v>0</v>
      </c>
      <c r="AM244" s="1368"/>
      <c r="AN244" s="1369">
        <v>0</v>
      </c>
      <c r="AO244" s="1370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">
      <c r="A245" s="533" t="str">
        <f t="shared" si="90"/>
        <v>Carrosserie% profit / ventes</v>
      </c>
      <c r="B245" s="5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f>IFERROR(H244/G244,0)</f>
        <v>0</v>
      </c>
      <c r="I245" s="1172"/>
      <c r="J245" s="596"/>
      <c r="K245" s="1175">
        <f>IFERROR(K244/J244,0)</f>
        <v>0</v>
      </c>
      <c r="L245" s="1172"/>
      <c r="M245" s="596"/>
      <c r="N245" s="1175">
        <f>IFERROR(N244/M244,0)</f>
        <v>0</v>
      </c>
      <c r="O245" s="1172"/>
      <c r="P245" s="596"/>
      <c r="Q245" s="1175">
        <f>IFERROR(Q244/P244,0)</f>
        <v>0</v>
      </c>
      <c r="R245" s="1172"/>
      <c r="S245" s="596"/>
      <c r="T245" s="1175">
        <f>IFERROR(T244/S244,0)</f>
        <v>0</v>
      </c>
      <c r="U245" s="1172"/>
      <c r="V245" s="596"/>
      <c r="W245" s="1175">
        <f>IFERROR(W244/V244,0)</f>
        <v>0</v>
      </c>
      <c r="X245" s="1172"/>
      <c r="Y245" s="596"/>
      <c r="Z245" s="1175">
        <f>IFERROR(Z244/Y244,0)</f>
        <v>0</v>
      </c>
      <c r="AA245" s="1172"/>
      <c r="AB245" s="596"/>
      <c r="AC245" s="1175">
        <f>IFERROR(AC244/AB244,0)</f>
        <v>0</v>
      </c>
      <c r="AD245" s="1172"/>
      <c r="AE245" s="596"/>
      <c r="AF245" s="1175">
        <f>IFERROR(AF244/AE244,0)</f>
        <v>0</v>
      </c>
      <c r="AG245" s="1172"/>
      <c r="AH245" s="596"/>
      <c r="AI245" s="1175">
        <f>IFERROR(AI244/AH244,0)</f>
        <v>0</v>
      </c>
      <c r="AJ245" s="1172"/>
      <c r="AK245" s="596"/>
      <c r="AL245" s="1175">
        <f>IFERROR(AL244/AK244,0)</f>
        <v>0</v>
      </c>
      <c r="AM245" s="1172"/>
      <c r="AN245" s="596"/>
      <c r="AO245" s="1175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">
      <c r="A246" s="533" t="str">
        <f t="shared" si="90"/>
        <v>Carrosserie</v>
      </c>
      <c r="B246" s="5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">
      <c r="A247" s="533" t="str">
        <f t="shared" si="90"/>
        <v>CarrosserieM/O Carrosserie</v>
      </c>
      <c r="B247" s="1115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/>
      <c r="G247" s="1182"/>
      <c r="H247" s="1118"/>
      <c r="I247" s="1181"/>
      <c r="J247" s="1182"/>
      <c r="K247" s="1118"/>
      <c r="L247" s="1181"/>
      <c r="M247" s="1182"/>
      <c r="N247" s="1118"/>
      <c r="O247" s="1181"/>
      <c r="P247" s="1182"/>
      <c r="Q247" s="1118"/>
      <c r="R247" s="1181"/>
      <c r="S247" s="1182"/>
      <c r="T247" s="1118"/>
      <c r="U247" s="1181"/>
      <c r="V247" s="1182"/>
      <c r="W247" s="1118"/>
      <c r="X247" s="1181"/>
      <c r="Y247" s="1182"/>
      <c r="Z247" s="1118"/>
      <c r="AA247" s="1181"/>
      <c r="AB247" s="1182"/>
      <c r="AC247" s="1118"/>
      <c r="AD247" s="1181"/>
      <c r="AE247" s="1182"/>
      <c r="AF247" s="1118"/>
      <c r="AG247" s="1181"/>
      <c r="AH247" s="1182"/>
      <c r="AI247" s="1118"/>
      <c r="AJ247" s="1181"/>
      <c r="AK247" s="1182"/>
      <c r="AL247" s="1118"/>
      <c r="AM247" s="1181"/>
      <c r="AN247" s="1182"/>
      <c r="AO247" s="1118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">
      <c r="A248" s="533" t="str">
        <f t="shared" si="90"/>
        <v>Carrosserie% profit / ventes</v>
      </c>
      <c r="B248" s="5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f>IFERROR(H247/G247,0)</f>
        <v>0</v>
      </c>
      <c r="I248" s="1172"/>
      <c r="J248" s="596"/>
      <c r="K248" s="1175">
        <f>IFERROR(K247/J247,0)</f>
        <v>0</v>
      </c>
      <c r="L248" s="1172"/>
      <c r="M248" s="596"/>
      <c r="N248" s="1175">
        <f>IFERROR(N247/M247,0)</f>
        <v>0</v>
      </c>
      <c r="O248" s="1172"/>
      <c r="P248" s="596"/>
      <c r="Q248" s="1175">
        <f>IFERROR(Q247/P247,0)</f>
        <v>0</v>
      </c>
      <c r="R248" s="1172"/>
      <c r="S248" s="596"/>
      <c r="T248" s="1175">
        <f>IFERROR(T247/S247,0)</f>
        <v>0</v>
      </c>
      <c r="U248" s="1172"/>
      <c r="V248" s="596"/>
      <c r="W248" s="1175">
        <f>IFERROR(W247/V247,0)</f>
        <v>0</v>
      </c>
      <c r="X248" s="1172"/>
      <c r="Y248" s="596"/>
      <c r="Z248" s="1175">
        <f>IFERROR(Z247/Y247,0)</f>
        <v>0</v>
      </c>
      <c r="AA248" s="1172"/>
      <c r="AB248" s="596"/>
      <c r="AC248" s="1175">
        <f>IFERROR(AC247/AB247,0)</f>
        <v>0</v>
      </c>
      <c r="AD248" s="1172"/>
      <c r="AE248" s="596"/>
      <c r="AF248" s="1175">
        <f>IFERROR(AF247/AE247,0)</f>
        <v>0</v>
      </c>
      <c r="AG248" s="1172"/>
      <c r="AH248" s="596"/>
      <c r="AI248" s="1175">
        <f>IFERROR(AI247/AH247,0)</f>
        <v>0</v>
      </c>
      <c r="AJ248" s="1172"/>
      <c r="AK248" s="596"/>
      <c r="AL248" s="1175">
        <f>IFERROR(AL247/AK247,0)</f>
        <v>0</v>
      </c>
      <c r="AM248" s="1172"/>
      <c r="AN248" s="596"/>
      <c r="AO248" s="1175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">
      <c r="A249" s="533" t="str">
        <f t="shared" si="90"/>
        <v>Carrosserie</v>
      </c>
      <c r="B249" s="601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">
      <c r="A250" s="533" t="str">
        <f t="shared" si="90"/>
        <v>CarrosserieM/O Esthétique Carr.</v>
      </c>
      <c r="B250" s="1115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/>
      <c r="G250" s="1182"/>
      <c r="H250" s="1118"/>
      <c r="I250" s="1181"/>
      <c r="J250" s="1182"/>
      <c r="K250" s="1118"/>
      <c r="L250" s="1181"/>
      <c r="M250" s="1182"/>
      <c r="N250" s="1118"/>
      <c r="O250" s="1181"/>
      <c r="P250" s="1182"/>
      <c r="Q250" s="1118"/>
      <c r="R250" s="1181"/>
      <c r="S250" s="1182"/>
      <c r="T250" s="1118"/>
      <c r="U250" s="1181"/>
      <c r="V250" s="1182"/>
      <c r="W250" s="1118"/>
      <c r="X250" s="1181"/>
      <c r="Y250" s="1182"/>
      <c r="Z250" s="1118"/>
      <c r="AA250" s="1181"/>
      <c r="AB250" s="1182"/>
      <c r="AC250" s="1118"/>
      <c r="AD250" s="1181"/>
      <c r="AE250" s="1182"/>
      <c r="AF250" s="1118"/>
      <c r="AG250" s="1181"/>
      <c r="AH250" s="1182"/>
      <c r="AI250" s="1118"/>
      <c r="AJ250" s="1181"/>
      <c r="AK250" s="1182"/>
      <c r="AL250" s="1118"/>
      <c r="AM250" s="1181"/>
      <c r="AN250" s="1182"/>
      <c r="AO250" s="1118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">
      <c r="A251" s="533" t="str">
        <f t="shared" si="90"/>
        <v>Carrosserie% profit / ventes</v>
      </c>
      <c r="B251" s="5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f>IFERROR(H250/G250,0)</f>
        <v>0</v>
      </c>
      <c r="I251" s="543"/>
      <c r="J251" s="596"/>
      <c r="K251" s="1175">
        <f>IFERROR(K250/J250,0)</f>
        <v>0</v>
      </c>
      <c r="L251" s="543"/>
      <c r="M251" s="596"/>
      <c r="N251" s="1175">
        <f>IFERROR(N250/M250,0)</f>
        <v>0</v>
      </c>
      <c r="O251" s="543"/>
      <c r="P251" s="596"/>
      <c r="Q251" s="1175">
        <f>IFERROR(Q250/P250,0)</f>
        <v>0</v>
      </c>
      <c r="R251" s="543"/>
      <c r="S251" s="596"/>
      <c r="T251" s="1175">
        <f>IFERROR(T250/S250,0)</f>
        <v>0</v>
      </c>
      <c r="U251" s="543"/>
      <c r="V251" s="596"/>
      <c r="W251" s="1175">
        <f>IFERROR(W250/V250,0)</f>
        <v>0</v>
      </c>
      <c r="X251" s="543"/>
      <c r="Y251" s="596"/>
      <c r="Z251" s="1175">
        <f>IFERROR(Z250/Y250,0)</f>
        <v>0</v>
      </c>
      <c r="AA251" s="543"/>
      <c r="AB251" s="596"/>
      <c r="AC251" s="1175">
        <f>IFERROR(AC250/AB250,0)</f>
        <v>0</v>
      </c>
      <c r="AD251" s="543"/>
      <c r="AE251" s="596"/>
      <c r="AF251" s="1175">
        <f>IFERROR(AF250/AE250,0)</f>
        <v>0</v>
      </c>
      <c r="AG251" s="543"/>
      <c r="AH251" s="596"/>
      <c r="AI251" s="1175">
        <f>IFERROR(AI250/AH250,0)</f>
        <v>0</v>
      </c>
      <c r="AJ251" s="543"/>
      <c r="AK251" s="596"/>
      <c r="AL251" s="1175">
        <f>IFERROR(AL250/AK250,0)</f>
        <v>0</v>
      </c>
      <c r="AM251" s="543"/>
      <c r="AN251" s="596"/>
      <c r="AO251" s="1175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90"/>
        <v>CarrosserieTotal Mécanique</v>
      </c>
      <c r="B253" s="597" t="s">
        <v>161</v>
      </c>
      <c r="C253" s="1082"/>
      <c r="D253" s="1213">
        <f>D247+D250+D244</f>
        <v>0</v>
      </c>
      <c r="E253" s="1084">
        <f>E247+E250+E244</f>
        <v>0</v>
      </c>
      <c r="F253" s="1082"/>
      <c r="G253" s="1213">
        <f>G247+G250+G244</f>
        <v>0</v>
      </c>
      <c r="H253" s="1084">
        <f>H247+H250+H244</f>
        <v>0</v>
      </c>
      <c r="I253" s="1082"/>
      <c r="J253" s="1213">
        <f>J247+J250+J244</f>
        <v>0</v>
      </c>
      <c r="K253" s="1084">
        <f>K247+K250+K244</f>
        <v>0</v>
      </c>
      <c r="L253" s="1082"/>
      <c r="M253" s="1213">
        <f>M247+M250+M244</f>
        <v>0</v>
      </c>
      <c r="N253" s="1084">
        <f>N247+N250+N244</f>
        <v>0</v>
      </c>
      <c r="O253" s="1082"/>
      <c r="P253" s="1213">
        <f>P247+P250+P244</f>
        <v>0</v>
      </c>
      <c r="Q253" s="1084">
        <f>Q247+Q250+Q244</f>
        <v>0</v>
      </c>
      <c r="R253" s="1082"/>
      <c r="S253" s="1213">
        <f>S247+S250+S244</f>
        <v>0</v>
      </c>
      <c r="T253" s="1084">
        <f>T247+T250+T244</f>
        <v>0</v>
      </c>
      <c r="U253" s="1082"/>
      <c r="V253" s="1213">
        <f>V247+V250+V244</f>
        <v>0</v>
      </c>
      <c r="W253" s="1084">
        <f>W247+W250+W244</f>
        <v>0</v>
      </c>
      <c r="X253" s="1082"/>
      <c r="Y253" s="1213">
        <f>Y247+Y250+Y244</f>
        <v>0</v>
      </c>
      <c r="Z253" s="1084">
        <f>Z247+Z250+Z244</f>
        <v>0</v>
      </c>
      <c r="AA253" s="1082"/>
      <c r="AB253" s="1213">
        <f>AB247+AB250+AB244</f>
        <v>0</v>
      </c>
      <c r="AC253" s="1084">
        <f>AC247+AC250+AC244</f>
        <v>0</v>
      </c>
      <c r="AD253" s="1082"/>
      <c r="AE253" s="1213">
        <f>AE247+AE250+AE244</f>
        <v>0</v>
      </c>
      <c r="AF253" s="1084">
        <f>AF247+AF250+AF244</f>
        <v>0</v>
      </c>
      <c r="AG253" s="1082"/>
      <c r="AH253" s="1213">
        <f>AH247+AH250+AH244</f>
        <v>0</v>
      </c>
      <c r="AI253" s="1084">
        <f>AI247+AI250+AI244</f>
        <v>0</v>
      </c>
      <c r="AJ253" s="1082"/>
      <c r="AK253" s="1213">
        <f>AK247+AK250+AK244</f>
        <v>0</v>
      </c>
      <c r="AL253" s="1084">
        <f>AL247+AL250+AL244</f>
        <v>0</v>
      </c>
      <c r="AM253" s="1082"/>
      <c r="AN253" s="1213">
        <f>AN247+AN250+AN244</f>
        <v>0</v>
      </c>
      <c r="AO253" s="1084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90"/>
        <v>Carrosserie</v>
      </c>
      <c r="B254" s="598"/>
      <c r="C254" s="598"/>
      <c r="D254" s="1088"/>
      <c r="E254" s="1214">
        <f>IFERROR(E253/D253,0)</f>
        <v>0</v>
      </c>
      <c r="F254" s="598"/>
      <c r="G254" s="1088"/>
      <c r="H254" s="1214">
        <f>IFERROR(H253/G253,0)</f>
        <v>0</v>
      </c>
      <c r="I254" s="598"/>
      <c r="J254" s="1088"/>
      <c r="K254" s="1214">
        <f>IFERROR(K253/J253,0)</f>
        <v>0</v>
      </c>
      <c r="L254" s="598"/>
      <c r="M254" s="1088"/>
      <c r="N254" s="1214">
        <f>IFERROR(N253/M253,0)</f>
        <v>0</v>
      </c>
      <c r="O254" s="598"/>
      <c r="P254" s="1088"/>
      <c r="Q254" s="1214">
        <f>IFERROR(Q253/P253,0)</f>
        <v>0</v>
      </c>
      <c r="R254" s="598"/>
      <c r="S254" s="1088"/>
      <c r="T254" s="1214">
        <f>IFERROR(T253/S253,0)</f>
        <v>0</v>
      </c>
      <c r="U254" s="598"/>
      <c r="V254" s="1088"/>
      <c r="W254" s="1214">
        <f>IFERROR(W253/V253,0)</f>
        <v>0</v>
      </c>
      <c r="X254" s="598"/>
      <c r="Y254" s="1088"/>
      <c r="Z254" s="1214">
        <f>IFERROR(Z253/Y253,0)</f>
        <v>0</v>
      </c>
      <c r="AA254" s="598"/>
      <c r="AB254" s="1088"/>
      <c r="AC254" s="1214">
        <f>IFERROR(AC253/AB253,0)</f>
        <v>0</v>
      </c>
      <c r="AD254" s="598"/>
      <c r="AE254" s="1088"/>
      <c r="AF254" s="1214">
        <f>IFERROR(AF253/AE253,0)</f>
        <v>0</v>
      </c>
      <c r="AG254" s="598"/>
      <c r="AH254" s="1088"/>
      <c r="AI254" s="1214">
        <f>IFERROR(AI253/AH253,0)</f>
        <v>0</v>
      </c>
      <c r="AJ254" s="598"/>
      <c r="AK254" s="1088"/>
      <c r="AL254" s="1214">
        <f>IFERROR(AL253/AK253,0)</f>
        <v>0</v>
      </c>
      <c r="AM254" s="598"/>
      <c r="AN254" s="1088"/>
      <c r="AO254" s="1214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">
      <c r="A256" s="533" t="str">
        <f t="shared" si="90"/>
        <v>CarrosserieDEPENSES</v>
      </c>
      <c r="B256" s="600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">
      <c r="A257" s="533" t="str">
        <f t="shared" si="90"/>
        <v>CarrosserieSalaires cadres</v>
      </c>
      <c r="B257" s="612" t="s">
        <v>109</v>
      </c>
      <c r="C257" s="543"/>
      <c r="D257" s="596"/>
      <c r="E257" s="1080">
        <f t="shared" ref="E257:E287" si="91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">
      <c r="A258" s="533" t="str">
        <f t="shared" si="90"/>
        <v>CarrosserieSalaires commis</v>
      </c>
      <c r="B258" s="614" t="s">
        <v>110</v>
      </c>
      <c r="C258" s="543"/>
      <c r="D258" s="596"/>
      <c r="E258" s="1080">
        <f t="shared" si="91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">
      <c r="A259" s="533" t="str">
        <f t="shared" si="90"/>
        <v>CarrosserieSalaires autres</v>
      </c>
      <c r="B259" s="612" t="s">
        <v>111</v>
      </c>
      <c r="C259" s="1115"/>
      <c r="D259" s="1116"/>
      <c r="E259" s="1117">
        <f t="shared" si="91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">
      <c r="A260" s="533" t="str">
        <f t="shared" si="90"/>
        <v>CarrosserieSalaires spécialistes</v>
      </c>
      <c r="B260" s="612" t="s">
        <v>112</v>
      </c>
      <c r="C260" s="543"/>
      <c r="D260" s="596"/>
      <c r="E260" s="1080">
        <f t="shared" si="91"/>
        <v>0</v>
      </c>
      <c r="F260" s="543"/>
      <c r="G260" s="596"/>
      <c r="H260" s="1101"/>
      <c r="I260" s="543"/>
      <c r="J260" s="596"/>
      <c r="K260" s="1101"/>
      <c r="L260" s="543"/>
      <c r="M260" s="596"/>
      <c r="N260" s="1101"/>
      <c r="O260" s="543"/>
      <c r="P260" s="596"/>
      <c r="Q260" s="1101"/>
      <c r="R260" s="543"/>
      <c r="S260" s="596"/>
      <c r="T260" s="1101"/>
      <c r="U260" s="543"/>
      <c r="V260" s="596"/>
      <c r="W260" s="1101"/>
      <c r="X260" s="543"/>
      <c r="Y260" s="596"/>
      <c r="Z260" s="1101"/>
      <c r="AA260" s="543"/>
      <c r="AB260" s="596"/>
      <c r="AC260" s="1101"/>
      <c r="AD260" s="543"/>
      <c r="AE260" s="596"/>
      <c r="AF260" s="1101"/>
      <c r="AG260" s="543"/>
      <c r="AH260" s="596"/>
      <c r="AI260" s="1101"/>
      <c r="AJ260" s="543"/>
      <c r="AK260" s="596"/>
      <c r="AL260" s="1101"/>
      <c r="AM260" s="543"/>
      <c r="AN260" s="596"/>
      <c r="AO260" s="1101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0">
        <f t="shared" si="91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/>
      <c r="AG261" s="543"/>
      <c r="AH261" s="596"/>
      <c r="AI261" s="1101"/>
      <c r="AJ261" s="543"/>
      <c r="AK261" s="596"/>
      <c r="AL261" s="1101"/>
      <c r="AM261" s="543"/>
      <c r="AN261" s="596"/>
      <c r="AO261" s="1101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0">
        <f t="shared" si="91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/>
      <c r="AG262" s="543"/>
      <c r="AH262" s="596"/>
      <c r="AI262" s="1101"/>
      <c r="AJ262" s="543"/>
      <c r="AK262" s="596"/>
      <c r="AL262" s="1101"/>
      <c r="AM262" s="543"/>
      <c r="AN262" s="596"/>
      <c r="AO262" s="1101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0">
        <f t="shared" si="91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/>
      <c r="AG263" s="543"/>
      <c r="AH263" s="596"/>
      <c r="AI263" s="1101"/>
      <c r="AJ263" s="543"/>
      <c r="AK263" s="596"/>
      <c r="AL263" s="1101"/>
      <c r="AM263" s="543"/>
      <c r="AN263" s="596"/>
      <c r="AO263" s="1101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">
      <c r="A264" s="533" t="str">
        <f t="shared" si="90"/>
        <v>CarrosserieSalaires en absences</v>
      </c>
      <c r="B264" s="614" t="s">
        <v>113</v>
      </c>
      <c r="C264" s="543"/>
      <c r="D264" s="596"/>
      <c r="E264" s="1080">
        <f t="shared" si="91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">
      <c r="A265" s="533" t="str">
        <f t="shared" si="90"/>
        <v>CarrosserieDéduction à la source</v>
      </c>
      <c r="B265" s="612" t="s">
        <v>114</v>
      </c>
      <c r="C265" s="1115"/>
      <c r="D265" s="1116"/>
      <c r="E265" s="1117">
        <f t="shared" si="91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">
      <c r="A266" s="533" t="str">
        <f t="shared" si="90"/>
        <v>CarrosserieBénéfices marginaux</v>
      </c>
      <c r="B266" s="615" t="s">
        <v>115</v>
      </c>
      <c r="C266" s="543"/>
      <c r="D266" s="596"/>
      <c r="E266" s="1080">
        <f t="shared" si="91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">
      <c r="A267" s="533" t="str">
        <f t="shared" si="90"/>
        <v>CarrosserieCsst</v>
      </c>
      <c r="B267" s="612" t="s">
        <v>116</v>
      </c>
      <c r="C267" s="543"/>
      <c r="D267" s="596"/>
      <c r="E267" s="1080">
        <f t="shared" si="91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0"/>
      <c r="E268" s="1103">
        <f t="shared" si="91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/>
      <c r="AG268" s="601"/>
      <c r="AH268" s="1120"/>
      <c r="AI268" s="1103"/>
      <c r="AJ268" s="601"/>
      <c r="AK268" s="1120"/>
      <c r="AL268" s="1103"/>
      <c r="AM268" s="601"/>
      <c r="AN268" s="1120"/>
      <c r="AO268" s="1103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">
      <c r="A269" s="533" t="str">
        <f t="shared" si="90"/>
        <v>CarrosserieTOTAL PERSONNEL</v>
      </c>
      <c r="B269" s="135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07" t="s">
        <v>108</v>
      </c>
      <c r="G269" s="1108">
        <f>IFERROR(H269/H$247,0)</f>
        <v>0</v>
      </c>
      <c r="H269" s="1109">
        <f>+SUM(H257:H268)</f>
        <v>0</v>
      </c>
      <c r="I269" s="1107" t="s">
        <v>108</v>
      </c>
      <c r="J269" s="1108">
        <f>IFERROR(K269/K$247,0)</f>
        <v>0</v>
      </c>
      <c r="K269" s="1109">
        <f>+SUM(K257:K268)</f>
        <v>0</v>
      </c>
      <c r="L269" s="1107" t="s">
        <v>108</v>
      </c>
      <c r="M269" s="1108">
        <f>IFERROR(N269/N$247,0)</f>
        <v>0</v>
      </c>
      <c r="N269" s="1109">
        <f>+SUM(N257:N268)</f>
        <v>0</v>
      </c>
      <c r="O269" s="1107" t="s">
        <v>108</v>
      </c>
      <c r="P269" s="1108">
        <f>IFERROR(Q269/Q$247,0)</f>
        <v>0</v>
      </c>
      <c r="Q269" s="1109">
        <f>+SUM(Q257:Q268)</f>
        <v>0</v>
      </c>
      <c r="R269" s="1107" t="s">
        <v>108</v>
      </c>
      <c r="S269" s="1108">
        <f>IFERROR(T269/T$247,0)</f>
        <v>0</v>
      </c>
      <c r="T269" s="1109">
        <f>+SUM(T257:T268)</f>
        <v>0</v>
      </c>
      <c r="U269" s="1107" t="s">
        <v>108</v>
      </c>
      <c r="V269" s="1108">
        <f>IFERROR(W269/W$247,0)</f>
        <v>0</v>
      </c>
      <c r="W269" s="1109">
        <f>+SUM(W257:W268)</f>
        <v>0</v>
      </c>
      <c r="X269" s="1107" t="s">
        <v>108</v>
      </c>
      <c r="Y269" s="1108">
        <f>IFERROR(Z269/Z$247,0)</f>
        <v>0</v>
      </c>
      <c r="Z269" s="1109">
        <f>+SUM(Z257:Z268)</f>
        <v>0</v>
      </c>
      <c r="AA269" s="1107" t="s">
        <v>108</v>
      </c>
      <c r="AB269" s="1108">
        <f>IFERROR(AC269/AC$247,0)</f>
        <v>0</v>
      </c>
      <c r="AC269" s="1109">
        <f>+SUM(AC257:AC268)</f>
        <v>0</v>
      </c>
      <c r="AD269" s="1107" t="s">
        <v>108</v>
      </c>
      <c r="AE269" s="1108">
        <f>IFERROR(AF269/AF$247,0)</f>
        <v>0</v>
      </c>
      <c r="AF269" s="1109">
        <f>+SUM(AF257:AF268)</f>
        <v>0</v>
      </c>
      <c r="AG269" s="1107" t="s">
        <v>108</v>
      </c>
      <c r="AH269" s="1108">
        <f>IFERROR(AI269/AI$247,0)</f>
        <v>0</v>
      </c>
      <c r="AI269" s="1109">
        <f>+SUM(AI257:AI268)</f>
        <v>0</v>
      </c>
      <c r="AJ269" s="1107" t="s">
        <v>108</v>
      </c>
      <c r="AK269" s="1108">
        <f>IFERROR(AL269/AL$247,0)</f>
        <v>0</v>
      </c>
      <c r="AL269" s="1109">
        <f>+SUM(AL257:AL268)</f>
        <v>0</v>
      </c>
      <c r="AM269" s="1107" t="s">
        <v>108</v>
      </c>
      <c r="AN269" s="1108">
        <f>IFERROR(AO269/AO$247,0)</f>
        <v>0</v>
      </c>
      <c r="AO269" s="1109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">
      <c r="A270" s="533" t="str">
        <f t="shared" si="90"/>
        <v>CarrosseriePublicité 2</v>
      </c>
      <c r="B270" s="1371" t="s">
        <v>118</v>
      </c>
      <c r="C270" s="543"/>
      <c r="D270" s="596"/>
      <c r="E270" s="1080">
        <f t="shared" si="91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">
      <c r="A271" s="533" t="str">
        <f t="shared" si="90"/>
        <v>CarrosserieService gratuit 2</v>
      </c>
      <c r="B271" s="612" t="s">
        <v>119</v>
      </c>
      <c r="C271" s="543"/>
      <c r="D271" s="596"/>
      <c r="E271" s="1080">
        <f t="shared" si="91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">
      <c r="A272" s="533" t="str">
        <f t="shared" si="90"/>
        <v>CarrosserieFrais véhicules de cie</v>
      </c>
      <c r="B272" s="614" t="s">
        <v>120</v>
      </c>
      <c r="C272" s="601"/>
      <c r="D272" s="1120"/>
      <c r="E272" s="1103">
        <f t="shared" si="91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">
      <c r="A273" s="533" t="str">
        <f t="shared" si="90"/>
        <v>CarrosserieInformatique</v>
      </c>
      <c r="B273" s="612" t="s">
        <v>121</v>
      </c>
      <c r="C273" s="543"/>
      <c r="D273" s="596"/>
      <c r="E273" s="1080">
        <f t="shared" si="91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">
      <c r="A274" s="533" t="str">
        <f t="shared" si="90"/>
        <v>CarrosserieFrais de déplacement</v>
      </c>
      <c r="B274" s="612" t="s">
        <v>122</v>
      </c>
      <c r="C274" s="543"/>
      <c r="D274" s="596"/>
      <c r="E274" s="1080">
        <f t="shared" si="91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">
      <c r="A275" s="533" t="str">
        <f t="shared" si="90"/>
        <v>CarrosserieServices extérieurs</v>
      </c>
      <c r="B275" s="614" t="s">
        <v>123</v>
      </c>
      <c r="C275" s="601"/>
      <c r="D275" s="1120"/>
      <c r="E275" s="1103">
        <f t="shared" si="91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">
      <c r="A276" s="533" t="str">
        <f t="shared" si="90"/>
        <v>CarrosserieFournitures atelier</v>
      </c>
      <c r="B276" s="612" t="s">
        <v>3000</v>
      </c>
      <c r="C276" s="543"/>
      <c r="D276" s="596"/>
      <c r="E276" s="1080">
        <f t="shared" si="91"/>
        <v>0</v>
      </c>
      <c r="F276" s="543"/>
      <c r="G276" s="596"/>
      <c r="H276" s="1101"/>
      <c r="I276" s="543"/>
      <c r="J276" s="596"/>
      <c r="K276" s="1101"/>
      <c r="L276" s="543"/>
      <c r="M276" s="596"/>
      <c r="N276" s="1101"/>
      <c r="O276" s="543"/>
      <c r="P276" s="596"/>
      <c r="Q276" s="1101"/>
      <c r="R276" s="543"/>
      <c r="S276" s="596"/>
      <c r="T276" s="1101"/>
      <c r="U276" s="543"/>
      <c r="V276" s="596"/>
      <c r="W276" s="1101"/>
      <c r="X276" s="543"/>
      <c r="Y276" s="596"/>
      <c r="Z276" s="1101"/>
      <c r="AA276" s="543"/>
      <c r="AB276" s="596"/>
      <c r="AC276" s="1101"/>
      <c r="AD276" s="543"/>
      <c r="AE276" s="596"/>
      <c r="AF276" s="1101"/>
      <c r="AG276" s="543"/>
      <c r="AH276" s="596"/>
      <c r="AI276" s="1101"/>
      <c r="AJ276" s="543"/>
      <c r="AK276" s="596"/>
      <c r="AL276" s="1101"/>
      <c r="AM276" s="543"/>
      <c r="AN276" s="596"/>
      <c r="AO276" s="1101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">
      <c r="A277" s="533" t="str">
        <f t="shared" si="90"/>
        <v>CarrosserieFournitures autres</v>
      </c>
      <c r="B277" s="612" t="s">
        <v>124</v>
      </c>
      <c r="C277" s="543"/>
      <c r="D277" s="596"/>
      <c r="E277" s="1080">
        <f t="shared" si="91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">
      <c r="A278" s="533" t="str">
        <f t="shared" si="90"/>
        <v>CarrosserieUniformes</v>
      </c>
      <c r="B278" s="612" t="s">
        <v>125</v>
      </c>
      <c r="C278" s="543"/>
      <c r="D278" s="596"/>
      <c r="E278" s="1080">
        <f t="shared" si="91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">
      <c r="A279" s="533" t="str">
        <f t="shared" si="90"/>
        <v>CarrosseriePapeterie</v>
      </c>
      <c r="B279" s="612" t="s">
        <v>126</v>
      </c>
      <c r="C279" s="543"/>
      <c r="D279" s="596"/>
      <c r="E279" s="1080">
        <f t="shared" si="91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">
      <c r="A280" s="533" t="str">
        <f t="shared" si="90"/>
        <v>CarrosserieTéléphone</v>
      </c>
      <c r="B280" s="612" t="s">
        <v>127</v>
      </c>
      <c r="C280" s="543"/>
      <c r="D280" s="596"/>
      <c r="E280" s="1080">
        <f t="shared" si="91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">
      <c r="A281" s="533" t="str">
        <f t="shared" si="90"/>
        <v>CarrosserieFrais postaux</v>
      </c>
      <c r="B281" s="612" t="s">
        <v>128</v>
      </c>
      <c r="C281" s="543"/>
      <c r="D281" s="596"/>
      <c r="E281" s="1080">
        <f t="shared" si="91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">
      <c r="A282" s="533" t="str">
        <f t="shared" si="90"/>
        <v>CarrosserieDivers</v>
      </c>
      <c r="B282" s="612" t="s">
        <v>129</v>
      </c>
      <c r="C282" s="543"/>
      <c r="D282" s="596"/>
      <c r="E282" s="1080">
        <f t="shared" si="91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">
      <c r="A283" s="533" t="str">
        <f t="shared" si="90"/>
        <v>CarrosserieFormation</v>
      </c>
      <c r="B283" s="612" t="s">
        <v>130</v>
      </c>
      <c r="C283" s="543"/>
      <c r="D283" s="596"/>
      <c r="E283" s="1080">
        <f t="shared" si="91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">
      <c r="A284" s="533" t="str">
        <f t="shared" si="90"/>
        <v>CarrosserieFrais bancaires</v>
      </c>
      <c r="B284" s="612" t="s">
        <v>131</v>
      </c>
      <c r="C284" s="543"/>
      <c r="D284" s="596"/>
      <c r="E284" s="1080">
        <f t="shared" si="91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0">
        <f t="shared" si="91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/>
      <c r="AG285" s="543"/>
      <c r="AH285" s="596"/>
      <c r="AI285" s="1080"/>
      <c r="AJ285" s="543"/>
      <c r="AK285" s="596"/>
      <c r="AL285" s="1080"/>
      <c r="AM285" s="543"/>
      <c r="AN285" s="596"/>
      <c r="AO285" s="1080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0">
        <f t="shared" si="91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/>
      <c r="AG286" s="543"/>
      <c r="AH286" s="596"/>
      <c r="AI286" s="1080"/>
      <c r="AJ286" s="543"/>
      <c r="AK286" s="596"/>
      <c r="AL286" s="1080"/>
      <c r="AM286" s="543"/>
      <c r="AN286" s="596"/>
      <c r="AO286" s="1080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0">
        <f t="shared" si="91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/>
      <c r="AG287" s="543"/>
      <c r="AH287" s="596"/>
      <c r="AI287" s="1080"/>
      <c r="AJ287" s="543"/>
      <c r="AK287" s="596"/>
      <c r="AL287" s="1080"/>
      <c r="AM287" s="543"/>
      <c r="AN287" s="596"/>
      <c r="AO287" s="1080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">
      <c r="A288" s="533" t="str">
        <f t="shared" si="90"/>
        <v>CarrosserieTOTAL SEMI-FIXES</v>
      </c>
      <c r="B288" s="613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29" t="s">
        <v>108</v>
      </c>
      <c r="G288" s="1130">
        <f>IFERROR(H288/H$247,0)</f>
        <v>0</v>
      </c>
      <c r="H288" s="1131">
        <f>+SUM(H270:H287)</f>
        <v>0</v>
      </c>
      <c r="I288" s="1129" t="s">
        <v>108</v>
      </c>
      <c r="J288" s="1130">
        <f>IFERROR(K288/K$247,0)</f>
        <v>0</v>
      </c>
      <c r="K288" s="1131">
        <f>+SUM(K270:K287)</f>
        <v>0</v>
      </c>
      <c r="L288" s="1129" t="s">
        <v>108</v>
      </c>
      <c r="M288" s="1130">
        <f>IFERROR(N288/N$247,0)</f>
        <v>0</v>
      </c>
      <c r="N288" s="1131">
        <f>+SUM(N270:N287)</f>
        <v>0</v>
      </c>
      <c r="O288" s="1129" t="s">
        <v>108</v>
      </c>
      <c r="P288" s="1130">
        <f>IFERROR(Q288/Q$247,0)</f>
        <v>0</v>
      </c>
      <c r="Q288" s="1131">
        <f>+SUM(Q270:Q287)</f>
        <v>0</v>
      </c>
      <c r="R288" s="1129" t="s">
        <v>108</v>
      </c>
      <c r="S288" s="1130">
        <f>IFERROR(T288/T$247,0)</f>
        <v>0</v>
      </c>
      <c r="T288" s="1131">
        <f>+SUM(T270:T287)</f>
        <v>0</v>
      </c>
      <c r="U288" s="1129" t="s">
        <v>108</v>
      </c>
      <c r="V288" s="1130">
        <f>IFERROR(W288/W$247,0)</f>
        <v>0</v>
      </c>
      <c r="W288" s="1131">
        <f>+SUM(W270:W287)</f>
        <v>0</v>
      </c>
      <c r="X288" s="1129" t="s">
        <v>108</v>
      </c>
      <c r="Y288" s="1130">
        <f>IFERROR(Z288/Z$247,0)</f>
        <v>0</v>
      </c>
      <c r="Z288" s="1131">
        <f>+SUM(Z270:Z287)</f>
        <v>0</v>
      </c>
      <c r="AA288" s="1129" t="s">
        <v>108</v>
      </c>
      <c r="AB288" s="1130">
        <f>IFERROR(AC288/AC$247,0)</f>
        <v>0</v>
      </c>
      <c r="AC288" s="1131">
        <f>+SUM(AC270:AC287)</f>
        <v>0</v>
      </c>
      <c r="AD288" s="1129" t="s">
        <v>108</v>
      </c>
      <c r="AE288" s="1130">
        <f>IFERROR(AF288/AF$247,0)</f>
        <v>0</v>
      </c>
      <c r="AF288" s="1131">
        <f>+SUM(AF270:AF287)</f>
        <v>0</v>
      </c>
      <c r="AG288" s="1129" t="s">
        <v>108</v>
      </c>
      <c r="AH288" s="1130">
        <f>IFERROR(AI288/AI$247,0)</f>
        <v>0</v>
      </c>
      <c r="AI288" s="1131">
        <f>+SUM(AI270:AI287)</f>
        <v>0</v>
      </c>
      <c r="AJ288" s="1129" t="s">
        <v>108</v>
      </c>
      <c r="AK288" s="1130">
        <f>IFERROR(AL288/AL$247,0)</f>
        <v>0</v>
      </c>
      <c r="AL288" s="1131">
        <f>+SUM(AL270:AL287)</f>
        <v>0</v>
      </c>
      <c r="AM288" s="1129" t="s">
        <v>108</v>
      </c>
      <c r="AN288" s="1130">
        <f>IFERROR(AO288/AO$247,0)</f>
        <v>0</v>
      </c>
      <c r="AO288" s="1131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">
      <c r="A289" s="533" t="str">
        <f t="shared" si="90"/>
        <v>Carrosserie</v>
      </c>
      <c r="B289" s="601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">
      <c r="A290" s="533" t="str">
        <f t="shared" si="90"/>
        <v>CarrosserieTOTAL DES DÉPENSES</v>
      </c>
      <c r="B290" s="1357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07" t="s">
        <v>108</v>
      </c>
      <c r="G290" s="1164">
        <f>IFERROR(H290/H$247,0)</f>
        <v>0</v>
      </c>
      <c r="H290" s="1126">
        <f>H269+H288</f>
        <v>0</v>
      </c>
      <c r="I290" s="1107" t="s">
        <v>108</v>
      </c>
      <c r="J290" s="1164">
        <f>IFERROR(K290/K$247,0)</f>
        <v>0</v>
      </c>
      <c r="K290" s="1126">
        <f>K269+K288</f>
        <v>0</v>
      </c>
      <c r="L290" s="1107" t="s">
        <v>108</v>
      </c>
      <c r="M290" s="1164">
        <f>IFERROR(N290/N$247,0)</f>
        <v>0</v>
      </c>
      <c r="N290" s="1126">
        <f>N269+N288</f>
        <v>0</v>
      </c>
      <c r="O290" s="1107" t="s">
        <v>108</v>
      </c>
      <c r="P290" s="1164">
        <f>IFERROR(Q290/Q$247,0)</f>
        <v>0</v>
      </c>
      <c r="Q290" s="1126">
        <f>Q269+Q288</f>
        <v>0</v>
      </c>
      <c r="R290" s="1107" t="s">
        <v>108</v>
      </c>
      <c r="S290" s="1164">
        <f>IFERROR(T290/T$247,0)</f>
        <v>0</v>
      </c>
      <c r="T290" s="1126">
        <f>T269+T288</f>
        <v>0</v>
      </c>
      <c r="U290" s="1107" t="s">
        <v>108</v>
      </c>
      <c r="V290" s="1164">
        <f>IFERROR(W290/W$247,0)</f>
        <v>0</v>
      </c>
      <c r="W290" s="1126">
        <f>W269+W288</f>
        <v>0</v>
      </c>
      <c r="X290" s="1107" t="s">
        <v>108</v>
      </c>
      <c r="Y290" s="1164">
        <f>IFERROR(Z290/Z$247,0)</f>
        <v>0</v>
      </c>
      <c r="Z290" s="1126">
        <f>Z269+Z288</f>
        <v>0</v>
      </c>
      <c r="AA290" s="1107" t="s">
        <v>108</v>
      </c>
      <c r="AB290" s="1164">
        <f>IFERROR(AC290/AC$247,0)</f>
        <v>0</v>
      </c>
      <c r="AC290" s="1126">
        <f>AC269+AC288</f>
        <v>0</v>
      </c>
      <c r="AD290" s="1107" t="s">
        <v>108</v>
      </c>
      <c r="AE290" s="1164">
        <f>IFERROR(AF290/AF$247,0)</f>
        <v>0</v>
      </c>
      <c r="AF290" s="1126">
        <f>AF269+AF288</f>
        <v>0</v>
      </c>
      <c r="AG290" s="1107" t="s">
        <v>108</v>
      </c>
      <c r="AH290" s="1164">
        <f>IFERROR(AI290/AI$247,0)</f>
        <v>0</v>
      </c>
      <c r="AI290" s="1126">
        <f>AI269+AI288</f>
        <v>0</v>
      </c>
      <c r="AJ290" s="1107" t="s">
        <v>108</v>
      </c>
      <c r="AK290" s="1164">
        <f>IFERROR(AL290/AL$247,0)</f>
        <v>0</v>
      </c>
      <c r="AL290" s="1126">
        <f>AL269+AL288</f>
        <v>0</v>
      </c>
      <c r="AM290" s="1107" t="s">
        <v>108</v>
      </c>
      <c r="AN290" s="1164">
        <f>IFERROR(AO290/AO$247,0)</f>
        <v>0</v>
      </c>
      <c r="AO290" s="1126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">
      <c r="A291" s="533" t="str">
        <f t="shared" si="90"/>
        <v>Carrosserie</v>
      </c>
      <c r="B291" s="5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7" t="s">
        <v>139</v>
      </c>
      <c r="C292" s="1167"/>
      <c r="D292" s="1168"/>
      <c r="E292" s="1141">
        <f>E253-E290</f>
        <v>0</v>
      </c>
      <c r="F292" s="1167"/>
      <c r="G292" s="1168"/>
      <c r="H292" s="1141">
        <f>H253-H290</f>
        <v>0</v>
      </c>
      <c r="I292" s="1167"/>
      <c r="J292" s="1168"/>
      <c r="K292" s="1141">
        <f>K253-K290</f>
        <v>0</v>
      </c>
      <c r="L292" s="1167"/>
      <c r="M292" s="1168"/>
      <c r="N292" s="1141">
        <f>N253-N290</f>
        <v>0</v>
      </c>
      <c r="O292" s="1167"/>
      <c r="P292" s="1168"/>
      <c r="Q292" s="1141">
        <f>Q253-Q290</f>
        <v>0</v>
      </c>
      <c r="R292" s="1167"/>
      <c r="S292" s="1168"/>
      <c r="T292" s="1141">
        <f>T253-T290</f>
        <v>0</v>
      </c>
      <c r="U292" s="1167"/>
      <c r="V292" s="1168"/>
      <c r="W292" s="1141">
        <f>W253-W290</f>
        <v>0</v>
      </c>
      <c r="X292" s="1167"/>
      <c r="Y292" s="1168"/>
      <c r="Z292" s="1141">
        <f>Z253-Z290</f>
        <v>0</v>
      </c>
      <c r="AA292" s="1167"/>
      <c r="AB292" s="1168"/>
      <c r="AC292" s="1141">
        <f>AC253-AC290</f>
        <v>0</v>
      </c>
      <c r="AD292" s="1167"/>
      <c r="AE292" s="1168"/>
      <c r="AF292" s="1141">
        <f>AF253-AF290</f>
        <v>0</v>
      </c>
      <c r="AG292" s="1167"/>
      <c r="AH292" s="1168"/>
      <c r="AI292" s="1141">
        <f>AI253-AI290</f>
        <v>0</v>
      </c>
      <c r="AJ292" s="1167"/>
      <c r="AK292" s="1168"/>
      <c r="AL292" s="1141">
        <f>AL253-AL290</f>
        <v>0</v>
      </c>
      <c r="AM292" s="1167"/>
      <c r="AN292" s="1168"/>
      <c r="AO292" s="1141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">
      <c r="A293" s="533"/>
      <c r="B293" s="596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">
      <c r="A294" s="533"/>
      <c r="B294" s="605" t="str">
        <f>B4</f>
        <v>Budget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">
      <c r="A297" s="533" t="str">
        <f>+$C$294&amp;B297</f>
        <v>Pièces</v>
      </c>
      <c r="B297" s="5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">
      <c r="A298" s="533" t="str">
        <f t="shared" ref="A298:A356" si="92">+$C$294&amp;B298</f>
        <v>PiècesPièces Ro Clients</v>
      </c>
      <c r="B298" s="543" t="s">
        <v>169</v>
      </c>
      <c r="C298" s="1172">
        <f t="shared" ref="C298:C305" si="93">+SUM(F298,I298,L298,O298,R298,U298,X298,AA298,AD298,AG298,AJ298,AM298)</f>
        <v>710000</v>
      </c>
      <c r="D298" s="1162">
        <f t="shared" ref="D298:D303" si="94">IF(C298&lt;=0,0,E298/C298)</f>
        <v>0.40200000000000008</v>
      </c>
      <c r="E298" s="1080">
        <f t="shared" ref="E298:E306" si="95">+SUM(H298,K298,N298,Q298,T298,W298,Z298,AC298,AF298,AI298,AL298,AO298)</f>
        <v>285420.00000000006</v>
      </c>
      <c r="F298" s="1173">
        <v>41494.676799288762</v>
      </c>
      <c r="G298" s="1162">
        <f t="shared" ref="G298:G303" si="96">IF(F298&lt;=0,0,H298/F298)</f>
        <v>0.40200000000000008</v>
      </c>
      <c r="H298" s="1101">
        <v>16680.860073314085</v>
      </c>
      <c r="I298" s="1173">
        <v>47515.795887929686</v>
      </c>
      <c r="J298" s="1162">
        <f t="shared" ref="J298:J303" si="97">IF(I298&lt;=0,0,K298/I298)</f>
        <v>0.40200000000000002</v>
      </c>
      <c r="K298" s="1101">
        <v>19101.349946947736</v>
      </c>
      <c r="L298" s="1173">
        <v>58219.90556231689</v>
      </c>
      <c r="M298" s="1162">
        <f t="shared" ref="M298:M303" si="98">IF(L298&lt;=0,0,N298/L298)</f>
        <v>0.40200000000000002</v>
      </c>
      <c r="N298" s="1101">
        <v>23404.40203605139</v>
      </c>
      <c r="O298" s="1173">
        <v>58760.260180270561</v>
      </c>
      <c r="P298" s="1162">
        <f t="shared" ref="P298:P303" si="99">IF(O298&lt;=0,0,Q298/O298)</f>
        <v>0.40200000000000002</v>
      </c>
      <c r="Q298" s="1101">
        <v>23621.624592468768</v>
      </c>
      <c r="R298" s="1173">
        <v>85979.673450110335</v>
      </c>
      <c r="S298" s="1162">
        <f t="shared" ref="S298:S303" si="100">IF(R298&lt;=0,0,T298/R298)</f>
        <v>0.40199999999999997</v>
      </c>
      <c r="T298" s="1101">
        <v>34563.828726944354</v>
      </c>
      <c r="U298" s="1173">
        <v>62612.649419560345</v>
      </c>
      <c r="V298" s="1162">
        <f t="shared" ref="V298:V303" si="101">IF(U298&lt;=0,0,W298/U298)</f>
        <v>0.40200000000000002</v>
      </c>
      <c r="W298" s="1101">
        <v>25170.285066663258</v>
      </c>
      <c r="X298" s="1173">
        <v>74080.040009590492</v>
      </c>
      <c r="Y298" s="1162">
        <f t="shared" ref="Y298:Y303" si="102">IF(X298&lt;=0,0,Z298/X298)</f>
        <v>0.40200000000000002</v>
      </c>
      <c r="Z298" s="1101">
        <v>29780.176083855378</v>
      </c>
      <c r="AA298" s="1173">
        <v>56223.66746373762</v>
      </c>
      <c r="AB298" s="1162">
        <f t="shared" ref="AB298:AB303" si="103">IF(AA298&lt;=0,0,AC298/AA298)</f>
        <v>0.40200000000000002</v>
      </c>
      <c r="AC298" s="1101">
        <v>22601.914320422526</v>
      </c>
      <c r="AD298" s="1173">
        <v>45423.9038577725</v>
      </c>
      <c r="AE298" s="1162">
        <f t="shared" ref="AE298:AE303" si="104">IF(AD298&lt;=0,0,AF298/AD298)</f>
        <v>0.40200000000000002</v>
      </c>
      <c r="AF298" s="1101">
        <v>18260.409350824546</v>
      </c>
      <c r="AG298" s="1173">
        <v>63445.059007840959</v>
      </c>
      <c r="AH298" s="1162">
        <f t="shared" ref="AH298:AH303" si="105">IF(AG298&lt;=0,0,AI298/AG298)</f>
        <v>0.40200000000000002</v>
      </c>
      <c r="AI298" s="1101">
        <v>25504.913721152068</v>
      </c>
      <c r="AJ298" s="1173">
        <v>74394.23753673365</v>
      </c>
      <c r="AK298" s="1162">
        <f t="shared" ref="AK298:AK303" si="106">IF(AJ298&lt;=0,0,AL298/AJ298)</f>
        <v>0.40200000000000002</v>
      </c>
      <c r="AL298" s="1101">
        <v>29906.483489766928</v>
      </c>
      <c r="AM298" s="1173">
        <v>41850.130824848275</v>
      </c>
      <c r="AN298" s="1162">
        <f t="shared" ref="AN298:AN303" si="107">IF(AM298&lt;=0,0,AO298/AM298)</f>
        <v>0.40200000000000002</v>
      </c>
      <c r="AO298" s="1101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">
      <c r="A299" s="533" t="str">
        <f t="shared" si="92"/>
        <v>PiècesPièces Ro Carrosserie</v>
      </c>
      <c r="B299" s="543" t="s">
        <v>170</v>
      </c>
      <c r="C299" s="1172">
        <f t="shared" si="93"/>
        <v>0</v>
      </c>
      <c r="D299" s="1162">
        <f t="shared" si="94"/>
        <v>0</v>
      </c>
      <c r="E299" s="1080">
        <f t="shared" si="95"/>
        <v>0</v>
      </c>
      <c r="F299" s="1173">
        <v>0</v>
      </c>
      <c r="G299" s="1162">
        <f t="shared" si="96"/>
        <v>0</v>
      </c>
      <c r="H299" s="1101">
        <v>0</v>
      </c>
      <c r="I299" s="1173">
        <v>0</v>
      </c>
      <c r="J299" s="1162">
        <f t="shared" si="97"/>
        <v>0</v>
      </c>
      <c r="K299" s="1101">
        <v>0</v>
      </c>
      <c r="L299" s="1173">
        <v>0</v>
      </c>
      <c r="M299" s="1162">
        <f t="shared" si="98"/>
        <v>0</v>
      </c>
      <c r="N299" s="1101">
        <v>0</v>
      </c>
      <c r="O299" s="1173">
        <v>0</v>
      </c>
      <c r="P299" s="1162">
        <f t="shared" si="99"/>
        <v>0</v>
      </c>
      <c r="Q299" s="1101">
        <v>0</v>
      </c>
      <c r="R299" s="1173">
        <v>0</v>
      </c>
      <c r="S299" s="1162">
        <f t="shared" si="100"/>
        <v>0</v>
      </c>
      <c r="T299" s="1101">
        <v>0</v>
      </c>
      <c r="U299" s="1173">
        <v>0</v>
      </c>
      <c r="V299" s="1162">
        <f t="shared" si="101"/>
        <v>0</v>
      </c>
      <c r="W299" s="1101">
        <v>0</v>
      </c>
      <c r="X299" s="1173">
        <v>0</v>
      </c>
      <c r="Y299" s="1162">
        <f t="shared" si="102"/>
        <v>0</v>
      </c>
      <c r="Z299" s="1101">
        <v>0</v>
      </c>
      <c r="AA299" s="1173">
        <v>0</v>
      </c>
      <c r="AB299" s="1162">
        <f t="shared" si="103"/>
        <v>0</v>
      </c>
      <c r="AC299" s="1101">
        <v>0</v>
      </c>
      <c r="AD299" s="1173">
        <v>0</v>
      </c>
      <c r="AE299" s="1162">
        <f t="shared" si="104"/>
        <v>0</v>
      </c>
      <c r="AF299" s="1101">
        <v>0</v>
      </c>
      <c r="AG299" s="1173">
        <v>0</v>
      </c>
      <c r="AH299" s="1162">
        <f t="shared" si="105"/>
        <v>0</v>
      </c>
      <c r="AI299" s="1101">
        <v>0</v>
      </c>
      <c r="AJ299" s="1173">
        <v>0</v>
      </c>
      <c r="AK299" s="1162">
        <f t="shared" si="106"/>
        <v>0</v>
      </c>
      <c r="AL299" s="1101">
        <v>0</v>
      </c>
      <c r="AM299" s="1173">
        <v>0</v>
      </c>
      <c r="AN299" s="1162">
        <f t="shared" si="107"/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">
      <c r="A300" s="533" t="str">
        <f t="shared" si="92"/>
        <v>PiècesP/A Garantie</v>
      </c>
      <c r="B300" s="543" t="s">
        <v>171</v>
      </c>
      <c r="C300" s="1172">
        <f t="shared" si="93"/>
        <v>750000.00000000012</v>
      </c>
      <c r="D300" s="1162">
        <f t="shared" si="94"/>
        <v>0.27699999999999997</v>
      </c>
      <c r="E300" s="1080">
        <f t="shared" si="95"/>
        <v>207750</v>
      </c>
      <c r="F300" s="1173">
        <v>71775.993773855589</v>
      </c>
      <c r="G300" s="1162">
        <f t="shared" si="96"/>
        <v>0.27700000000000002</v>
      </c>
      <c r="H300" s="1101">
        <v>19881.950275357998</v>
      </c>
      <c r="I300" s="1173">
        <v>44137.008539174618</v>
      </c>
      <c r="J300" s="1162">
        <f t="shared" si="97"/>
        <v>0.27700000000000002</v>
      </c>
      <c r="K300" s="1101">
        <v>12225.95136535137</v>
      </c>
      <c r="L300" s="1173">
        <v>60796.861345606754</v>
      </c>
      <c r="M300" s="1162">
        <f t="shared" si="98"/>
        <v>0.27700000000000002</v>
      </c>
      <c r="N300" s="1101">
        <v>16840.730592733071</v>
      </c>
      <c r="O300" s="1173">
        <v>46988.562159678091</v>
      </c>
      <c r="P300" s="1162">
        <f t="shared" si="99"/>
        <v>0.27700000000000002</v>
      </c>
      <c r="Q300" s="1101">
        <v>13015.831718230833</v>
      </c>
      <c r="R300" s="1173">
        <v>64248.510387844748</v>
      </c>
      <c r="S300" s="1162">
        <f t="shared" si="100"/>
        <v>0.27700000000000002</v>
      </c>
      <c r="T300" s="1101">
        <v>17796.837377432996</v>
      </c>
      <c r="U300" s="1173">
        <v>60121.74892759823</v>
      </c>
      <c r="V300" s="1162">
        <f t="shared" si="101"/>
        <v>0.27700000000000002</v>
      </c>
      <c r="W300" s="1101">
        <v>16653.724452944713</v>
      </c>
      <c r="X300" s="1173">
        <v>72746.992857298566</v>
      </c>
      <c r="Y300" s="1162">
        <f t="shared" si="102"/>
        <v>0.27700000000000002</v>
      </c>
      <c r="Z300" s="1101">
        <v>20150.917021471705</v>
      </c>
      <c r="AA300" s="1173">
        <v>69138.033126318929</v>
      </c>
      <c r="AB300" s="1162">
        <f t="shared" si="103"/>
        <v>0.27700000000000002</v>
      </c>
      <c r="AC300" s="1101">
        <v>19151.235175990347</v>
      </c>
      <c r="AD300" s="1173">
        <v>97331.8737320074</v>
      </c>
      <c r="AE300" s="1162">
        <f t="shared" si="104"/>
        <v>0.27700000000000002</v>
      </c>
      <c r="AF300" s="1101">
        <v>26960.929023766053</v>
      </c>
      <c r="AG300" s="1173">
        <v>56018.1329645812</v>
      </c>
      <c r="AH300" s="1162">
        <f t="shared" si="105"/>
        <v>0.27700000000000002</v>
      </c>
      <c r="AI300" s="1101">
        <v>15517.022831188993</v>
      </c>
      <c r="AJ300" s="1173">
        <v>63562.605015761801</v>
      </c>
      <c r="AK300" s="1162">
        <f t="shared" si="106"/>
        <v>0.27700000000000002</v>
      </c>
      <c r="AL300" s="1101">
        <v>17606.84158936602</v>
      </c>
      <c r="AM300" s="1173">
        <v>43133.677170274073</v>
      </c>
      <c r="AN300" s="1162">
        <f t="shared" si="107"/>
        <v>0.27700000000000002</v>
      </c>
      <c r="AO300" s="1101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">
      <c r="A301" s="533" t="str">
        <f t="shared" si="92"/>
        <v>PiècesVentes Internes</v>
      </c>
      <c r="B301" s="543" t="s">
        <v>172</v>
      </c>
      <c r="C301" s="1172">
        <f t="shared" si="93"/>
        <v>360000</v>
      </c>
      <c r="D301" s="1162">
        <f t="shared" si="94"/>
        <v>0.33800000000000002</v>
      </c>
      <c r="E301" s="1080">
        <f t="shared" si="95"/>
        <v>121680.00000000001</v>
      </c>
      <c r="F301" s="1173">
        <v>19200</v>
      </c>
      <c r="G301" s="1162">
        <f t="shared" si="96"/>
        <v>0.33800000000000002</v>
      </c>
      <c r="H301" s="1101">
        <v>6489.6</v>
      </c>
      <c r="I301" s="1173">
        <v>20400</v>
      </c>
      <c r="J301" s="1162">
        <f t="shared" si="97"/>
        <v>0.33800000000000002</v>
      </c>
      <c r="K301" s="1101">
        <v>6895.2000000000007</v>
      </c>
      <c r="L301" s="1173">
        <v>31200</v>
      </c>
      <c r="M301" s="1162">
        <f t="shared" si="98"/>
        <v>0.33800000000000002</v>
      </c>
      <c r="N301" s="1101">
        <v>10545.6</v>
      </c>
      <c r="O301" s="1173">
        <v>36600</v>
      </c>
      <c r="P301" s="1162">
        <f t="shared" si="99"/>
        <v>0.33800000000000002</v>
      </c>
      <c r="Q301" s="1101">
        <v>12370.800000000001</v>
      </c>
      <c r="R301" s="1173">
        <v>39000</v>
      </c>
      <c r="S301" s="1162">
        <f t="shared" si="100"/>
        <v>0.33800000000000002</v>
      </c>
      <c r="T301" s="1101">
        <v>13182</v>
      </c>
      <c r="U301" s="1173">
        <v>36000</v>
      </c>
      <c r="V301" s="1162">
        <f t="shared" si="101"/>
        <v>0.33800000000000002</v>
      </c>
      <c r="W301" s="1101">
        <v>12168</v>
      </c>
      <c r="X301" s="1173">
        <v>27600</v>
      </c>
      <c r="Y301" s="1162">
        <f t="shared" si="102"/>
        <v>0.33800000000000002</v>
      </c>
      <c r="Z301" s="1101">
        <v>9328.8000000000011</v>
      </c>
      <c r="AA301" s="1173">
        <v>27600</v>
      </c>
      <c r="AB301" s="1162">
        <f t="shared" si="103"/>
        <v>0.33800000000000002</v>
      </c>
      <c r="AC301" s="1101">
        <v>9328.8000000000011</v>
      </c>
      <c r="AD301" s="1173">
        <v>31200</v>
      </c>
      <c r="AE301" s="1162">
        <f t="shared" si="104"/>
        <v>0.33800000000000002</v>
      </c>
      <c r="AF301" s="1101">
        <v>10545.6</v>
      </c>
      <c r="AG301" s="1173">
        <v>37200</v>
      </c>
      <c r="AH301" s="1162">
        <f t="shared" si="105"/>
        <v>0.33800000000000002</v>
      </c>
      <c r="AI301" s="1101">
        <v>12573.6</v>
      </c>
      <c r="AJ301" s="1173">
        <v>32400</v>
      </c>
      <c r="AK301" s="1162">
        <f t="shared" si="106"/>
        <v>0.33800000000000002</v>
      </c>
      <c r="AL301" s="1101">
        <v>10951.2</v>
      </c>
      <c r="AM301" s="1173">
        <v>21600</v>
      </c>
      <c r="AN301" s="1162">
        <f t="shared" si="107"/>
        <v>0.33800000000000002</v>
      </c>
      <c r="AO301" s="1101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">
      <c r="A302" s="533" t="str">
        <f t="shared" si="92"/>
        <v>PiècesVentes Détails</v>
      </c>
      <c r="B302" s="543" t="s">
        <v>173</v>
      </c>
      <c r="C302" s="1172">
        <f t="shared" si="93"/>
        <v>220000.00000000003</v>
      </c>
      <c r="D302" s="1162">
        <f t="shared" si="94"/>
        <v>0.33100000000000002</v>
      </c>
      <c r="E302" s="1080">
        <f t="shared" si="95"/>
        <v>72820.000000000015</v>
      </c>
      <c r="F302" s="1173">
        <v>10970.047971542101</v>
      </c>
      <c r="G302" s="1162">
        <f t="shared" si="96"/>
        <v>0.33100000000000002</v>
      </c>
      <c r="H302" s="1101">
        <v>3631.0858785804353</v>
      </c>
      <c r="I302" s="1173">
        <v>10179.260965205265</v>
      </c>
      <c r="J302" s="1162">
        <f t="shared" si="97"/>
        <v>0.33100000000000002</v>
      </c>
      <c r="K302" s="1101">
        <v>3369.3353794829432</v>
      </c>
      <c r="L302" s="1173">
        <v>23519.653103722045</v>
      </c>
      <c r="M302" s="1162">
        <f t="shared" si="98"/>
        <v>0.33100000000000002</v>
      </c>
      <c r="N302" s="1101">
        <v>7785.0051773319974</v>
      </c>
      <c r="O302" s="1173">
        <v>18560.340886653052</v>
      </c>
      <c r="P302" s="1162">
        <f t="shared" si="99"/>
        <v>0.33100000000000002</v>
      </c>
      <c r="Q302" s="1101">
        <v>6143.4728334821602</v>
      </c>
      <c r="R302" s="1173">
        <v>20899.991942333349</v>
      </c>
      <c r="S302" s="1162">
        <f t="shared" si="100"/>
        <v>0.33100000000000002</v>
      </c>
      <c r="T302" s="1101">
        <v>6917.8973329123392</v>
      </c>
      <c r="U302" s="1173">
        <v>17894.485779004022</v>
      </c>
      <c r="V302" s="1162">
        <f t="shared" si="101"/>
        <v>0.33100000000000002</v>
      </c>
      <c r="W302" s="1101">
        <v>5923.0747928503315</v>
      </c>
      <c r="X302" s="1173">
        <v>17361.874781996583</v>
      </c>
      <c r="Y302" s="1162">
        <f t="shared" si="102"/>
        <v>0.33100000000000002</v>
      </c>
      <c r="Z302" s="1101">
        <v>5746.7805528408689</v>
      </c>
      <c r="AA302" s="1173">
        <v>17077.439521491629</v>
      </c>
      <c r="AB302" s="1162">
        <f t="shared" si="103"/>
        <v>0.33100000000000002</v>
      </c>
      <c r="AC302" s="1101">
        <v>5652.6324816137294</v>
      </c>
      <c r="AD302" s="1173">
        <v>20736.276499888663</v>
      </c>
      <c r="AE302" s="1162">
        <f t="shared" si="104"/>
        <v>0.33100000000000002</v>
      </c>
      <c r="AF302" s="1101">
        <v>6863.7075214631477</v>
      </c>
      <c r="AG302" s="1173">
        <v>28994.357906880719</v>
      </c>
      <c r="AH302" s="1162">
        <f t="shared" si="105"/>
        <v>0.33100000000000002</v>
      </c>
      <c r="AI302" s="1101">
        <v>9597.1324671775183</v>
      </c>
      <c r="AJ302" s="1173">
        <v>19909.949121593691</v>
      </c>
      <c r="AK302" s="1162">
        <f t="shared" si="106"/>
        <v>0.33100000000000002</v>
      </c>
      <c r="AL302" s="1101">
        <v>6590.1931592475121</v>
      </c>
      <c r="AM302" s="1173">
        <v>13896.321519688905</v>
      </c>
      <c r="AN302" s="1162">
        <f t="shared" si="107"/>
        <v>0.33100000000000002</v>
      </c>
      <c r="AO302" s="1101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">
      <c r="A303" s="533" t="str">
        <f t="shared" si="92"/>
        <v>PiècesVentes de Gros</v>
      </c>
      <c r="B303" s="543" t="s">
        <v>174</v>
      </c>
      <c r="C303" s="1172">
        <f t="shared" si="93"/>
        <v>1200000</v>
      </c>
      <c r="D303" s="1162">
        <f t="shared" si="94"/>
        <v>0.2</v>
      </c>
      <c r="E303" s="1080">
        <f t="shared" si="95"/>
        <v>240000</v>
      </c>
      <c r="F303" s="1173">
        <v>90000</v>
      </c>
      <c r="G303" s="1162">
        <f t="shared" si="96"/>
        <v>0.2</v>
      </c>
      <c r="H303" s="1101">
        <v>18000</v>
      </c>
      <c r="I303" s="1173">
        <v>93600</v>
      </c>
      <c r="J303" s="1162">
        <f t="shared" si="97"/>
        <v>0.2</v>
      </c>
      <c r="K303" s="1101">
        <v>18720</v>
      </c>
      <c r="L303" s="1173">
        <v>92400</v>
      </c>
      <c r="M303" s="1162">
        <f t="shared" si="98"/>
        <v>0.2</v>
      </c>
      <c r="N303" s="1101">
        <v>18480</v>
      </c>
      <c r="O303" s="1173">
        <v>87000</v>
      </c>
      <c r="P303" s="1162">
        <f t="shared" si="99"/>
        <v>0.2</v>
      </c>
      <c r="Q303" s="1101">
        <v>17400</v>
      </c>
      <c r="R303" s="1173">
        <v>93000</v>
      </c>
      <c r="S303" s="1162">
        <f t="shared" si="100"/>
        <v>0.2</v>
      </c>
      <c r="T303" s="1101">
        <v>18600</v>
      </c>
      <c r="U303" s="1173">
        <v>98400</v>
      </c>
      <c r="V303" s="1162">
        <f t="shared" si="101"/>
        <v>0.2</v>
      </c>
      <c r="W303" s="1101">
        <v>19680</v>
      </c>
      <c r="X303" s="1173">
        <v>110400</v>
      </c>
      <c r="Y303" s="1162">
        <f t="shared" si="102"/>
        <v>0.2</v>
      </c>
      <c r="Z303" s="1101">
        <v>22080</v>
      </c>
      <c r="AA303" s="1173">
        <v>106800</v>
      </c>
      <c r="AB303" s="1162">
        <f t="shared" si="103"/>
        <v>0.2</v>
      </c>
      <c r="AC303" s="1101">
        <v>21360</v>
      </c>
      <c r="AD303" s="1173">
        <v>103200</v>
      </c>
      <c r="AE303" s="1162">
        <f t="shared" si="104"/>
        <v>0.2</v>
      </c>
      <c r="AF303" s="1101">
        <v>20640</v>
      </c>
      <c r="AG303" s="1173">
        <v>110400</v>
      </c>
      <c r="AH303" s="1162">
        <f t="shared" si="105"/>
        <v>0.2</v>
      </c>
      <c r="AI303" s="1101">
        <v>22080</v>
      </c>
      <c r="AJ303" s="1173">
        <v>120000</v>
      </c>
      <c r="AK303" s="1162">
        <f t="shared" si="106"/>
        <v>0.2</v>
      </c>
      <c r="AL303" s="1101">
        <v>24000</v>
      </c>
      <c r="AM303" s="1173">
        <v>94800</v>
      </c>
      <c r="AN303" s="1162">
        <f t="shared" si="107"/>
        <v>0.2</v>
      </c>
      <c r="AO303" s="1101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2">
        <f t="shared" si="93"/>
        <v>0</v>
      </c>
      <c r="D304" s="1162">
        <f>IF(C304&lt;=0,0,E304/C304)</f>
        <v>0</v>
      </c>
      <c r="E304" s="1080">
        <f t="shared" si="95"/>
        <v>0</v>
      </c>
      <c r="F304" s="1173"/>
      <c r="G304" s="1162">
        <f>IF(F304&lt;=0,0,H304/F304)</f>
        <v>0</v>
      </c>
      <c r="H304" s="1101"/>
      <c r="I304" s="1173"/>
      <c r="J304" s="1162">
        <f>IF(I304&lt;=0,0,K304/I304)</f>
        <v>0</v>
      </c>
      <c r="K304" s="1101"/>
      <c r="L304" s="1173"/>
      <c r="M304" s="1162">
        <f>IF(L304&lt;=0,0,N304/L304)</f>
        <v>0</v>
      </c>
      <c r="N304" s="1101"/>
      <c r="O304" s="1173"/>
      <c r="P304" s="1162">
        <f>IF(O304&lt;=0,0,Q304/O304)</f>
        <v>0</v>
      </c>
      <c r="Q304" s="1101"/>
      <c r="R304" s="1173"/>
      <c r="S304" s="1162">
        <f>IF(R304&lt;=0,0,T304/R304)</f>
        <v>0</v>
      </c>
      <c r="T304" s="1101"/>
      <c r="U304" s="1173"/>
      <c r="V304" s="1162">
        <f>IF(U304&lt;=0,0,W304/U304)</f>
        <v>0</v>
      </c>
      <c r="W304" s="1101"/>
      <c r="X304" s="1173"/>
      <c r="Y304" s="1162">
        <f>IF(X304&lt;=0,0,Z304/X304)</f>
        <v>0</v>
      </c>
      <c r="Z304" s="1101"/>
      <c r="AA304" s="1173"/>
      <c r="AB304" s="1162">
        <f>IF(AA304&lt;=0,0,AC304/AA304)</f>
        <v>0</v>
      </c>
      <c r="AC304" s="1101"/>
      <c r="AD304" s="1173"/>
      <c r="AE304" s="1162">
        <f>IF(AD304&lt;=0,0,AF304/AD304)</f>
        <v>0</v>
      </c>
      <c r="AF304" s="1101"/>
      <c r="AG304" s="1173"/>
      <c r="AH304" s="1162">
        <f>IF(AG304&lt;=0,0,AI304/AG304)</f>
        <v>0</v>
      </c>
      <c r="AI304" s="1101"/>
      <c r="AJ304" s="1173"/>
      <c r="AK304" s="1162">
        <f>IF(AJ304&lt;=0,0,AL304/AJ304)</f>
        <v>0</v>
      </c>
      <c r="AL304" s="1101"/>
      <c r="AM304" s="1173"/>
      <c r="AN304" s="1162">
        <f>IF(AM304&lt;=0,0,AO304/AM304)</f>
        <v>0</v>
      </c>
      <c r="AO304" s="1101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">
      <c r="A305" s="533" t="str">
        <f t="shared" si="92"/>
        <v>PiècesEscomptes</v>
      </c>
      <c r="B305" s="543" t="s">
        <v>175</v>
      </c>
      <c r="C305" s="1172">
        <f t="shared" si="93"/>
        <v>0</v>
      </c>
      <c r="D305" s="1162">
        <f>IF(C305&lt;=0,0,E305/C305)</f>
        <v>0</v>
      </c>
      <c r="E305" s="1080">
        <f t="shared" si="95"/>
        <v>120000</v>
      </c>
      <c r="F305" s="1173"/>
      <c r="G305" s="1162">
        <f>IF(F305&lt;=0,0,H305/F305)</f>
        <v>0</v>
      </c>
      <c r="H305" s="1101">
        <v>8645.9525386920905</v>
      </c>
      <c r="I305" s="1173"/>
      <c r="J305" s="1162">
        <f>IF(I305&lt;=0,0,K305/I305)</f>
        <v>0</v>
      </c>
      <c r="K305" s="1101">
        <v>7993.7801997151691</v>
      </c>
      <c r="L305" s="1173"/>
      <c r="M305" s="1162">
        <f>IF(L305&lt;=0,0,N305/L305)</f>
        <v>0</v>
      </c>
      <c r="N305" s="1101">
        <v>9856.9044448757668</v>
      </c>
      <c r="O305" s="1173"/>
      <c r="P305" s="1162">
        <f>IF(O305&lt;=0,0,Q305/O305)</f>
        <v>0</v>
      </c>
      <c r="Q305" s="1101">
        <v>9181.8208602445065</v>
      </c>
      <c r="R305" s="1173"/>
      <c r="S305" s="1162">
        <f>IF(R305&lt;=0,0,T305/R305)</f>
        <v>0</v>
      </c>
      <c r="T305" s="1101">
        <v>11226.969473344014</v>
      </c>
      <c r="U305" s="1173"/>
      <c r="V305" s="1162">
        <f>IF(U305&lt;=0,0,W305/U305)</f>
        <v>0</v>
      </c>
      <c r="W305" s="1101">
        <v>10186.254967635654</v>
      </c>
      <c r="X305" s="1173"/>
      <c r="Y305" s="1162">
        <f>IF(X305&lt;=0,0,Z305/X305)</f>
        <v>0</v>
      </c>
      <c r="Z305" s="1101">
        <v>11192.181764773542</v>
      </c>
      <c r="AA305" s="1173"/>
      <c r="AB305" s="1162">
        <f>IF(AA305&lt;=0,0,AC305/AA305)</f>
        <v>0</v>
      </c>
      <c r="AC305" s="1101">
        <v>10253.301485612896</v>
      </c>
      <c r="AD305" s="1173"/>
      <c r="AE305" s="1162">
        <f>IF(AD305&lt;=0,0,AF305/AD305)</f>
        <v>0</v>
      </c>
      <c r="AF305" s="1101">
        <v>11033.039040358095</v>
      </c>
      <c r="AG305" s="1173"/>
      <c r="AH305" s="1162">
        <f>IF(AG305&lt;=0,0,AI305/AG305)</f>
        <v>0</v>
      </c>
      <c r="AI305" s="1101">
        <v>10965.094439974178</v>
      </c>
      <c r="AJ305" s="1173"/>
      <c r="AK305" s="1162">
        <f>IF(AJ305&lt;=0,0,AL305/AJ305)</f>
        <v>0</v>
      </c>
      <c r="AL305" s="1101">
        <v>11491.362654595896</v>
      </c>
      <c r="AM305" s="1173"/>
      <c r="AN305" s="1162">
        <f>IF(AM305&lt;=0,0,AO305/AM305)</f>
        <v>0</v>
      </c>
      <c r="AO305" s="1101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">
      <c r="A306" s="533" t="str">
        <f t="shared" si="92"/>
        <v>PiècesRectif. Inventaire</v>
      </c>
      <c r="B306" s="601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95"/>
        <v>10000</v>
      </c>
      <c r="F306" s="1173"/>
      <c r="G306" s="1162">
        <f>IF(F306&lt;=0,0,H306/F306)</f>
        <v>0</v>
      </c>
      <c r="H306" s="1101">
        <v>0</v>
      </c>
      <c r="I306" s="1173"/>
      <c r="J306" s="1162">
        <f>IF(I306&lt;=0,0,K306/I306)</f>
        <v>0</v>
      </c>
      <c r="K306" s="1101">
        <v>0</v>
      </c>
      <c r="L306" s="1173"/>
      <c r="M306" s="1162">
        <f>IF(L306&lt;=0,0,N306/L306)</f>
        <v>0</v>
      </c>
      <c r="N306" s="1101">
        <v>0</v>
      </c>
      <c r="O306" s="1173"/>
      <c r="P306" s="1162">
        <f>IF(O306&lt;=0,0,Q306/O306)</f>
        <v>0</v>
      </c>
      <c r="Q306" s="1101">
        <v>0</v>
      </c>
      <c r="R306" s="1173"/>
      <c r="S306" s="1162">
        <f>IF(R306&lt;=0,0,T306/R306)</f>
        <v>0</v>
      </c>
      <c r="T306" s="1101">
        <v>0</v>
      </c>
      <c r="U306" s="1173"/>
      <c r="V306" s="1162">
        <f>IF(U306&lt;=0,0,W306/U306)</f>
        <v>0</v>
      </c>
      <c r="W306" s="1101">
        <v>0</v>
      </c>
      <c r="X306" s="1173"/>
      <c r="Y306" s="1162">
        <f>IF(X306&lt;=0,0,Z306/X306)</f>
        <v>0</v>
      </c>
      <c r="Z306" s="1101">
        <v>0</v>
      </c>
      <c r="AA306" s="1173"/>
      <c r="AB306" s="1162">
        <f>IF(AA306&lt;=0,0,AC306/AA306)</f>
        <v>0</v>
      </c>
      <c r="AC306" s="1101">
        <v>0</v>
      </c>
      <c r="AD306" s="1173"/>
      <c r="AE306" s="1162">
        <f>IF(AD306&lt;=0,0,AF306/AD306)</f>
        <v>0</v>
      </c>
      <c r="AF306" s="1101">
        <v>0</v>
      </c>
      <c r="AG306" s="1173"/>
      <c r="AH306" s="1162">
        <f>IF(AG306&lt;=0,0,AI306/AG306)</f>
        <v>0</v>
      </c>
      <c r="AI306" s="1101">
        <v>0</v>
      </c>
      <c r="AJ306" s="1173"/>
      <c r="AK306" s="1162">
        <f>IF(AJ306&lt;=0,0,AL306/AJ306)</f>
        <v>0</v>
      </c>
      <c r="AL306" s="1101">
        <v>0</v>
      </c>
      <c r="AM306" s="1173"/>
      <c r="AN306" s="1162">
        <f>IF(AM306&lt;=0,0,AO306/AM306)</f>
        <v>0</v>
      </c>
      <c r="AO306" s="1101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">
      <c r="A307" s="533" t="str">
        <f t="shared" si="92"/>
        <v>PiècesSous-total Pièces</v>
      </c>
      <c r="B307" s="607" t="s">
        <v>177</v>
      </c>
      <c r="C307" s="1210">
        <f>SUM(C298:C306)</f>
        <v>3240000</v>
      </c>
      <c r="D307" s="1223">
        <f>IF(C307&lt;=0,0,E307/C307)</f>
        <v>0.32644135802469137</v>
      </c>
      <c r="E307" s="1212">
        <f>SUM(E298:E306)</f>
        <v>1057670</v>
      </c>
      <c r="F307" s="1210">
        <f>SUM(F298:F306)</f>
        <v>233440.71854468645</v>
      </c>
      <c r="G307" s="1223">
        <f>IF(F307&lt;=0,0,H307/F307)</f>
        <v>0.31412449902953626</v>
      </c>
      <c r="H307" s="1212">
        <f>SUM(H298:H306)</f>
        <v>73329.448765944602</v>
      </c>
      <c r="I307" s="1210">
        <f>SUM(I298:I306)</f>
        <v>215832.06539230957</v>
      </c>
      <c r="J307" s="1223">
        <f>IF(I307&lt;=0,0,K307/I307)</f>
        <v>0.31647575983365006</v>
      </c>
      <c r="K307" s="1212">
        <f>SUM(K298:K306)</f>
        <v>68305.616891497222</v>
      </c>
      <c r="L307" s="1210">
        <f>SUM(L298:L306)</f>
        <v>266136.42001164571</v>
      </c>
      <c r="M307" s="1223">
        <f>IF(L307&lt;=0,0,N307/L307)</f>
        <v>0.32657177190250419</v>
      </c>
      <c r="N307" s="1212">
        <f>SUM(N298:N306)</f>
        <v>86912.642250992212</v>
      </c>
      <c r="O307" s="1210">
        <f>SUM(O298:O306)</f>
        <v>247909.1632266017</v>
      </c>
      <c r="P307" s="1223">
        <f>IF(O307&lt;=0,0,Q307/O307)</f>
        <v>0.32969152467235596</v>
      </c>
      <c r="Q307" s="1212">
        <f>SUM(Q298:Q306)</f>
        <v>81733.550004426274</v>
      </c>
      <c r="R307" s="1210">
        <f>SUM(R298:R306)</f>
        <v>303128.17578028841</v>
      </c>
      <c r="S307" s="1223">
        <f>IF(R307&lt;=0,0,T307/R307)</f>
        <v>0.33743987224986022</v>
      </c>
      <c r="T307" s="1212">
        <f>SUM(T298:T306)</f>
        <v>102287.5329106337</v>
      </c>
      <c r="U307" s="1210">
        <f>SUM(U298:U306)</f>
        <v>275028.88412616262</v>
      </c>
      <c r="V307" s="1223">
        <f>IF(U307&lt;=0,0,W307/U307)</f>
        <v>0.32644331000124704</v>
      </c>
      <c r="W307" s="1212">
        <f>SUM(W298:W306)</f>
        <v>89781.339280093962</v>
      </c>
      <c r="X307" s="1210">
        <f>SUM(X298:X306)</f>
        <v>302188.90764888562</v>
      </c>
      <c r="Y307" s="1223">
        <f>IF(X307&lt;=0,0,Z307/X307)</f>
        <v>0.32522323928955083</v>
      </c>
      <c r="Z307" s="1212">
        <f>SUM(Z298:Z306)</f>
        <v>98278.855422941502</v>
      </c>
      <c r="AA307" s="1210">
        <f>SUM(AA298:AA306)</f>
        <v>276839.14011154819</v>
      </c>
      <c r="AB307" s="1223">
        <f>IF(AA307&lt;=0,0,AC307/AA307)</f>
        <v>0.31913075379457201</v>
      </c>
      <c r="AC307" s="1212">
        <f>SUM(AC298:AC306)</f>
        <v>88347.883463639504</v>
      </c>
      <c r="AD307" s="1210">
        <f>SUM(AD298:AD306)</f>
        <v>297892.05408966856</v>
      </c>
      <c r="AE307" s="1223">
        <f>IF(AD307&lt;=0,0,AF307/AD307)</f>
        <v>0.31656999118219342</v>
      </c>
      <c r="AF307" s="1212">
        <f>SUM(AF298:AF306)</f>
        <v>94303.684936411853</v>
      </c>
      <c r="AG307" s="1210">
        <f>SUM(AG298:AG306)</f>
        <v>296057.54987930285</v>
      </c>
      <c r="AH307" s="1223">
        <f>IF(AG307&lt;=0,0,AI307/AG307)</f>
        <v>0.32506437852615855</v>
      </c>
      <c r="AI307" s="1212">
        <f>SUM(AI298:AI306)</f>
        <v>96237.763459492766</v>
      </c>
      <c r="AJ307" s="1210">
        <f>SUM(AJ298:AJ306)</f>
        <v>310266.79167408915</v>
      </c>
      <c r="AK307" s="1223">
        <f>IF(AJ307&lt;=0,0,AL307/AJ307)</f>
        <v>0.32406330162008479</v>
      </c>
      <c r="AL307" s="1212">
        <f>SUM(AL298:AL306)</f>
        <v>100546.08089297636</v>
      </c>
      <c r="AM307" s="1210">
        <f>SUM(AM298:AM306)</f>
        <v>215280.12951481127</v>
      </c>
      <c r="AN307" s="1223">
        <f>IF(AM307&lt;=0,0,AO307/AM307)</f>
        <v>0.36048659899942542</v>
      </c>
      <c r="AO307" s="1212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">
      <c r="A308" s="533" t="str">
        <f t="shared" si="92"/>
        <v>Pièces</v>
      </c>
      <c r="B308" s="5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">
      <c r="A309" s="533" t="str">
        <f t="shared" si="92"/>
        <v>Pièces</v>
      </c>
      <c r="B309" s="601"/>
      <c r="C309" s="601"/>
      <c r="D309" s="1120"/>
      <c r="E309" s="1224"/>
      <c r="F309" s="601"/>
      <c r="G309" s="1120"/>
      <c r="H309" s="1224"/>
      <c r="I309" s="601"/>
      <c r="J309" s="1120"/>
      <c r="K309" s="1224"/>
      <c r="L309" s="601"/>
      <c r="M309" s="1120"/>
      <c r="N309" s="1224"/>
      <c r="O309" s="601"/>
      <c r="P309" s="1120"/>
      <c r="Q309" s="1224"/>
      <c r="R309" s="601"/>
      <c r="S309" s="1120"/>
      <c r="T309" s="1224"/>
      <c r="U309" s="601"/>
      <c r="V309" s="1120"/>
      <c r="W309" s="1224"/>
      <c r="X309" s="601"/>
      <c r="Y309" s="1120"/>
      <c r="Z309" s="1224"/>
      <c r="AA309" s="601"/>
      <c r="AB309" s="1120"/>
      <c r="AC309" s="1224"/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">
      <c r="A310" s="533" t="str">
        <f t="shared" si="92"/>
        <v>PiècesVentes Pneus</v>
      </c>
      <c r="B310" s="543" t="s">
        <v>178</v>
      </c>
      <c r="C310" s="1172">
        <f>+SUM(F310,I310,L310,O310,R310,U310,X310,AA310,AD310,AG310,AJ310,AM310)</f>
        <v>1000000</v>
      </c>
      <c r="D310" s="1162">
        <f>IF(C310&lt;=0,0,E310/C310)</f>
        <v>0.25</v>
      </c>
      <c r="E310" s="1080">
        <f>+SUM(H310,K310,N310,Q310,T310,W310,Z310,AC310,AF310,AI310,AL310,AO310)</f>
        <v>250000</v>
      </c>
      <c r="F310" s="1173">
        <v>27888.509118583268</v>
      </c>
      <c r="G310" s="1162">
        <f>IF(F310&lt;=0,0,H310/F310)</f>
        <v>0.25</v>
      </c>
      <c r="H310" s="1101">
        <v>6972.127279645817</v>
      </c>
      <c r="I310" s="1173">
        <v>40882.305295066268</v>
      </c>
      <c r="J310" s="1162">
        <f>IF(I310&lt;=0,0,K310/I310)</f>
        <v>0.25</v>
      </c>
      <c r="K310" s="1101">
        <v>10220.576323766567</v>
      </c>
      <c r="L310" s="1173">
        <v>56160.543719829118</v>
      </c>
      <c r="M310" s="1162">
        <f>IF(L310&lt;=0,0,N310/L310)</f>
        <v>0.25</v>
      </c>
      <c r="N310" s="1101">
        <v>14040.13592995728</v>
      </c>
      <c r="O310" s="1173">
        <v>136970.64724717833</v>
      </c>
      <c r="P310" s="1162">
        <f>IF(O310&lt;=0,0,Q310/O310)</f>
        <v>0.25</v>
      </c>
      <c r="Q310" s="1101">
        <v>34242.661811794584</v>
      </c>
      <c r="R310" s="1173">
        <v>102985.32632503513</v>
      </c>
      <c r="S310" s="1162">
        <f>IF(R310&lt;=0,0,T310/R310)</f>
        <v>0.25</v>
      </c>
      <c r="T310" s="1101">
        <v>25746.331581258783</v>
      </c>
      <c r="U310" s="1173">
        <v>56890.669252708096</v>
      </c>
      <c r="V310" s="1162">
        <f>IF(U310&lt;=0,0,W310/U310)</f>
        <v>0.25</v>
      </c>
      <c r="W310" s="1101">
        <v>14222.667313177024</v>
      </c>
      <c r="X310" s="1173">
        <v>59316.085231414167</v>
      </c>
      <c r="Y310" s="1162">
        <f>IF(X310&lt;=0,0,Z310/X310)</f>
        <v>0.25</v>
      </c>
      <c r="Z310" s="1101">
        <v>14829.021307853542</v>
      </c>
      <c r="AA310" s="1173">
        <v>54675.73415991768</v>
      </c>
      <c r="AB310" s="1162">
        <f>IF(AA310&lt;=0,0,AC310/AA310)</f>
        <v>0.25</v>
      </c>
      <c r="AC310" s="1101">
        <v>13668.93353997942</v>
      </c>
      <c r="AD310" s="1173">
        <v>74412.379774359084</v>
      </c>
      <c r="AE310" s="1162">
        <f>IF(AD310&lt;=0,0,AF310/AD310)</f>
        <v>0.25</v>
      </c>
      <c r="AF310" s="1101">
        <v>18603.094943589771</v>
      </c>
      <c r="AG310" s="1173">
        <v>111370.71191205121</v>
      </c>
      <c r="AH310" s="1162">
        <f>IF(AG310&lt;=0,0,AI310/AG310)</f>
        <v>0.25</v>
      </c>
      <c r="AI310" s="1101">
        <v>27842.677978012802</v>
      </c>
      <c r="AJ310" s="1173">
        <v>211083.56283020967</v>
      </c>
      <c r="AK310" s="1162">
        <f>IF(AJ310&lt;=0,0,AL310/AJ310)</f>
        <v>0.25</v>
      </c>
      <c r="AL310" s="1101">
        <v>52770.890707552418</v>
      </c>
      <c r="AM310" s="1173">
        <v>67363.525133647956</v>
      </c>
      <c r="AN310" s="1162">
        <f>IF(AM310&lt;=0,0,AO310/AM310)</f>
        <v>0.25</v>
      </c>
      <c r="AO310" s="1101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">
      <c r="A311" s="533" t="str">
        <f t="shared" si="92"/>
        <v>PiècesHuiles et Graisse</v>
      </c>
      <c r="B311" s="601" t="s">
        <v>179</v>
      </c>
      <c r="C311" s="1172">
        <f>+SUM(F311,I311,L311,O311,R311,U311,X311,AA311,AD311,AG311,AJ311,AM311)</f>
        <v>144999.99999999997</v>
      </c>
      <c r="D311" s="1162">
        <f>IF(C311&lt;=0,0,E311/C311)</f>
        <v>0.35500000000000009</v>
      </c>
      <c r="E311" s="1080">
        <f>+SUM(H311,K311,N311,Q311,T311,W311,Z311,AC311,AF311,AI311,AL311,AO311)</f>
        <v>51475</v>
      </c>
      <c r="F311" s="1173">
        <v>7948.248549961877</v>
      </c>
      <c r="G311" s="1162">
        <f>IF(F311&lt;=0,0,H311/F311)</f>
        <v>0.35499999999999998</v>
      </c>
      <c r="H311" s="1101">
        <v>2821.628235236466</v>
      </c>
      <c r="I311" s="1173">
        <v>8581.8600354346272</v>
      </c>
      <c r="J311" s="1162">
        <f>IF(I311&lt;=0,0,K311/I311)</f>
        <v>0.35499999999999998</v>
      </c>
      <c r="K311" s="1101">
        <v>3046.5603125792927</v>
      </c>
      <c r="L311" s="1173">
        <v>10208.865524205887</v>
      </c>
      <c r="M311" s="1162">
        <f>IF(L311&lt;=0,0,N311/L311)</f>
        <v>0.35499999999999998</v>
      </c>
      <c r="N311" s="1101">
        <v>3624.1472610930896</v>
      </c>
      <c r="O311" s="1173">
        <v>13197.26526131521</v>
      </c>
      <c r="P311" s="1162">
        <f>IF(O311&lt;=0,0,Q311/O311)</f>
        <v>0.35499999999999998</v>
      </c>
      <c r="Q311" s="1101">
        <v>4685.0291677668993</v>
      </c>
      <c r="R311" s="1173">
        <v>16426.070922696214</v>
      </c>
      <c r="S311" s="1162">
        <f>IF(R311&lt;=0,0,T311/R311)</f>
        <v>0.35499999999999998</v>
      </c>
      <c r="T311" s="1101">
        <v>5831.2551775571555</v>
      </c>
      <c r="U311" s="1173">
        <v>11981.6619210884</v>
      </c>
      <c r="V311" s="1162">
        <f>IF(U311&lt;=0,0,W311/U311)</f>
        <v>0.35500000000000004</v>
      </c>
      <c r="W311" s="1101">
        <v>4253.4899819863822</v>
      </c>
      <c r="X311" s="1173">
        <v>14554.58235482435</v>
      </c>
      <c r="Y311" s="1162">
        <f>IF(X311&lt;=0,0,Z311/X311)</f>
        <v>0.35499999999999998</v>
      </c>
      <c r="Z311" s="1101">
        <v>5166.8767359626436</v>
      </c>
      <c r="AA311" s="1173">
        <v>13953.938808466866</v>
      </c>
      <c r="AB311" s="1162">
        <f>IF(AA311&lt;=0,0,AC311/AA311)</f>
        <v>0.35499999999999998</v>
      </c>
      <c r="AC311" s="1101">
        <v>4953.6482770057373</v>
      </c>
      <c r="AD311" s="1173">
        <v>10199.314163600156</v>
      </c>
      <c r="AE311" s="1162">
        <f>IF(AD311&lt;=0,0,AF311/AD311)</f>
        <v>0.35499999999999998</v>
      </c>
      <c r="AF311" s="1101">
        <v>3620.7565280780555</v>
      </c>
      <c r="AG311" s="1173">
        <v>14694.60625097837</v>
      </c>
      <c r="AH311" s="1162">
        <f>IF(AG311&lt;=0,0,AI311/AG311)</f>
        <v>0.35499999999999998</v>
      </c>
      <c r="AI311" s="1101">
        <v>5216.585219097321</v>
      </c>
      <c r="AJ311" s="1173">
        <v>14022.71281563298</v>
      </c>
      <c r="AK311" s="1162">
        <f>IF(AJ311&lt;=0,0,AL311/AJ311)</f>
        <v>0.35499999999999998</v>
      </c>
      <c r="AL311" s="1101">
        <v>4978.063049549708</v>
      </c>
      <c r="AM311" s="1173">
        <v>9230.8733917950685</v>
      </c>
      <c r="AN311" s="1162">
        <f>IF(AM311&lt;=0,0,AO311/AM311)</f>
        <v>0.35499999999999998</v>
      </c>
      <c r="AO311" s="1101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">
      <c r="A312" s="533" t="str">
        <f t="shared" si="92"/>
        <v>PiècesSous-total Pièces et Acc.</v>
      </c>
      <c r="B312" s="607" t="s">
        <v>180</v>
      </c>
      <c r="C312" s="1210">
        <f>C307+C310+C311</f>
        <v>4385000</v>
      </c>
      <c r="D312" s="1223">
        <f>IF(C312&lt;=0,0,E312/C312)</f>
        <v>0.30995324971493726</v>
      </c>
      <c r="E312" s="1212">
        <f>E307+E310+E311</f>
        <v>1359145</v>
      </c>
      <c r="F312" s="1210">
        <f>F307+F310+F311</f>
        <v>269277.47621323157</v>
      </c>
      <c r="G312" s="1223">
        <f>IF(F312&lt;=0,0,H312/F312)</f>
        <v>0.30868977773322742</v>
      </c>
      <c r="H312" s="1212">
        <f>H307+H310+H311</f>
        <v>83123.204280826889</v>
      </c>
      <c r="I312" s="1210">
        <f>I307+I310+I311</f>
        <v>265296.23072281049</v>
      </c>
      <c r="J312" s="1223">
        <f>IF(I312&lt;=0,0,K312/I312)</f>
        <v>0.30747799659872577</v>
      </c>
      <c r="K312" s="1212">
        <f>K307+K310+K311</f>
        <v>81572.753527843088</v>
      </c>
      <c r="L312" s="1210">
        <f>L307+L310+L311</f>
        <v>332505.82925568073</v>
      </c>
      <c r="M312" s="1223">
        <f>IF(L312&lt;=0,0,N312/L312)</f>
        <v>0.31451155510909268</v>
      </c>
      <c r="N312" s="1212">
        <f>N307+N310+N311</f>
        <v>104576.92544204259</v>
      </c>
      <c r="O312" s="1210">
        <f>O307+O310+O311</f>
        <v>398077.07573509525</v>
      </c>
      <c r="P312" s="1223">
        <f>IF(O312&lt;=0,0,Q312/O312)</f>
        <v>0.30311024758502575</v>
      </c>
      <c r="Q312" s="1212">
        <f>Q307+Q310+Q311</f>
        <v>120661.24098398777</v>
      </c>
      <c r="R312" s="1210">
        <f>R307+R310+R311</f>
        <v>422539.57302801975</v>
      </c>
      <c r="S312" s="1223">
        <f>IF(R312&lt;=0,0,T312/R312)</f>
        <v>0.31681084616557953</v>
      </c>
      <c r="T312" s="1212">
        <f>T307+T310+T311</f>
        <v>133865.11966944963</v>
      </c>
      <c r="U312" s="1210">
        <f>U307+U310+U311</f>
        <v>343901.21529995912</v>
      </c>
      <c r="V312" s="1223">
        <f>IF(U312&lt;=0,0,W312/U312)</f>
        <v>0.31479242223913778</v>
      </c>
      <c r="W312" s="1212">
        <f>W307+W310+W311</f>
        <v>108257.49657525736</v>
      </c>
      <c r="X312" s="1210">
        <f>X307+X310+X311</f>
        <v>376059.57523512415</v>
      </c>
      <c r="Y312" s="1223">
        <f>IF(X312&lt;=0,0,Z312/X312)</f>
        <v>0.31451068196524079</v>
      </c>
      <c r="Z312" s="1212">
        <f>Z307+Z310+Z311</f>
        <v>118274.75346675768</v>
      </c>
      <c r="AA312" s="1210">
        <f>AA307+AA310+AA311</f>
        <v>345468.81307993276</v>
      </c>
      <c r="AB312" s="1223">
        <f>IF(AA312&lt;=0,0,AC312/AA312)</f>
        <v>0.30963855847640404</v>
      </c>
      <c r="AC312" s="1212">
        <f>AC307+AC310+AC311</f>
        <v>106970.46528062466</v>
      </c>
      <c r="AD312" s="1210">
        <f>AD307+AD310+AD311</f>
        <v>382503.74802762776</v>
      </c>
      <c r="AE312" s="1223">
        <f>IF(AD312&lt;=0,0,AF312/AD312)</f>
        <v>0.30464416887141987</v>
      </c>
      <c r="AF312" s="1212">
        <f>AF307+AF310+AF311</f>
        <v>116527.53640807967</v>
      </c>
      <c r="AG312" s="1210">
        <f>AG307+AG310+AG311</f>
        <v>422122.86804233241</v>
      </c>
      <c r="AH312" s="1223">
        <f>IF(AG312&lt;=0,0,AI312/AG312)</f>
        <v>0.30630187664610575</v>
      </c>
      <c r="AI312" s="1212">
        <f>AI307+AI310+AI311</f>
        <v>129297.02665660289</v>
      </c>
      <c r="AJ312" s="1210">
        <f>AJ307+AJ310+AJ311</f>
        <v>535373.06731993181</v>
      </c>
      <c r="AK312" s="1223">
        <f>IF(AJ312&lt;=0,0,AL312/AJ312)</f>
        <v>0.29567239054908129</v>
      </c>
      <c r="AL312" s="1212">
        <f>AL307+AL310+AL311</f>
        <v>158295.03465007848</v>
      </c>
      <c r="AM312" s="1210">
        <f>AM307+AM310+AM311</f>
        <v>291874.52804025431</v>
      </c>
      <c r="AN312" s="1223">
        <f>IF(AM312&lt;=0,0,AO312/AM312)</f>
        <v>0.33481319426740697</v>
      </c>
      <c r="AO312" s="1212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">
      <c r="A313" s="533" t="str">
        <f t="shared" si="92"/>
        <v>Pièces</v>
      </c>
      <c r="B313" s="5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">
      <c r="A314" s="533" t="str">
        <f t="shared" si="92"/>
        <v>Pièces</v>
      </c>
      <c r="B314" s="543"/>
      <c r="C314" s="543"/>
      <c r="D314" s="596"/>
      <c r="E314" s="1070"/>
      <c r="F314" s="543"/>
      <c r="G314" s="596"/>
      <c r="H314" s="1070"/>
      <c r="I314" s="543"/>
      <c r="J314" s="596"/>
      <c r="K314" s="1070"/>
      <c r="L314" s="543"/>
      <c r="M314" s="596"/>
      <c r="N314" s="1070"/>
      <c r="O314" s="543"/>
      <c r="P314" s="596"/>
      <c r="Q314" s="1070"/>
      <c r="R314" s="543"/>
      <c r="S314" s="596"/>
      <c r="T314" s="1070"/>
      <c r="U314" s="543"/>
      <c r="V314" s="596"/>
      <c r="W314" s="1070"/>
      <c r="X314" s="543"/>
      <c r="Y314" s="596"/>
      <c r="Z314" s="1070"/>
      <c r="AA314" s="543"/>
      <c r="AB314" s="596"/>
      <c r="AC314" s="1070"/>
      <c r="AD314" s="543"/>
      <c r="AE314" s="596"/>
      <c r="AF314" s="1070"/>
      <c r="AG314" s="543"/>
      <c r="AH314" s="596"/>
      <c r="AI314" s="1070"/>
      <c r="AJ314" s="543"/>
      <c r="AK314" s="596"/>
      <c r="AL314" s="1070"/>
      <c r="AM314" s="543"/>
      <c r="AN314" s="596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">
      <c r="A315" s="533" t="str">
        <f t="shared" si="92"/>
        <v>PiècesAutostock</v>
      </c>
      <c r="B315" s="601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/>
      <c r="G315" s="1227">
        <f>IF(F315&lt;=0,0,H315/F315)</f>
        <v>0</v>
      </c>
      <c r="H315" s="1124"/>
      <c r="I315" s="1228"/>
      <c r="J315" s="1227">
        <f>IF(I315&lt;=0,0,K315/I315)</f>
        <v>0</v>
      </c>
      <c r="K315" s="1124"/>
      <c r="L315" s="1228"/>
      <c r="M315" s="1227">
        <f>IF(L315&lt;=0,0,N315/L315)</f>
        <v>0</v>
      </c>
      <c r="N315" s="1124"/>
      <c r="O315" s="1228"/>
      <c r="P315" s="1227">
        <f>IF(O315&lt;=0,0,Q315/O315)</f>
        <v>0</v>
      </c>
      <c r="Q315" s="1124"/>
      <c r="R315" s="1228"/>
      <c r="S315" s="1227">
        <f>IF(R315&lt;=0,0,T315/R315)</f>
        <v>0</v>
      </c>
      <c r="T315" s="1124"/>
      <c r="U315" s="1228"/>
      <c r="V315" s="1227">
        <f>IF(U315&lt;=0,0,W315/U315)</f>
        <v>0</v>
      </c>
      <c r="W315" s="1124"/>
      <c r="X315" s="1228"/>
      <c r="Y315" s="1227">
        <f>IF(X315&lt;=0,0,Z315/X315)</f>
        <v>0</v>
      </c>
      <c r="Z315" s="1124"/>
      <c r="AA315" s="1228"/>
      <c r="AB315" s="1227">
        <f>IF(AA315&lt;=0,0,AC315/AA315)</f>
        <v>0</v>
      </c>
      <c r="AC315" s="1124"/>
      <c r="AD315" s="1228"/>
      <c r="AE315" s="1227">
        <f>IF(AD315&lt;=0,0,AF315/AD315)</f>
        <v>0</v>
      </c>
      <c r="AF315" s="1124"/>
      <c r="AG315" s="1228"/>
      <c r="AH315" s="1227">
        <f>IF(AG315&lt;=0,0,AI315/AG315)</f>
        <v>0</v>
      </c>
      <c r="AI315" s="1124"/>
      <c r="AJ315" s="1228"/>
      <c r="AK315" s="1227">
        <f>IF(AJ315&lt;=0,0,AL315/AJ315)</f>
        <v>0</v>
      </c>
      <c r="AL315" s="1124"/>
      <c r="AM315" s="1228"/>
      <c r="AN315" s="1227">
        <f>IF(AM315&lt;=0,0,AO315/AM315)</f>
        <v>0</v>
      </c>
      <c r="AO315" s="1124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92"/>
        <v>PiècesTotal Dépt. Pièces</v>
      </c>
      <c r="B317" s="597" t="s">
        <v>182</v>
      </c>
      <c r="C317" s="1082">
        <f>C312+C315</f>
        <v>4385000</v>
      </c>
      <c r="D317" s="1229">
        <f>IF(C317&lt;=0,0,E317/C317)</f>
        <v>0.30995324971493726</v>
      </c>
      <c r="E317" s="1084">
        <f>E312+E315</f>
        <v>1359145</v>
      </c>
      <c r="F317" s="1082">
        <f>F312+F315</f>
        <v>269277.47621323157</v>
      </c>
      <c r="G317" s="1229">
        <f>IF(F317&lt;=0,0,H317/F317)</f>
        <v>0.30868977773322742</v>
      </c>
      <c r="H317" s="1084">
        <f>H312+H315</f>
        <v>83123.204280826889</v>
      </c>
      <c r="I317" s="1082">
        <f>I312+I315</f>
        <v>265296.23072281049</v>
      </c>
      <c r="J317" s="1229">
        <f>IF(I317&lt;=0,0,K317/I317)</f>
        <v>0.30747799659872577</v>
      </c>
      <c r="K317" s="1084">
        <f>K312+K315</f>
        <v>81572.753527843088</v>
      </c>
      <c r="L317" s="1082">
        <f>L312+L315</f>
        <v>332505.82925568073</v>
      </c>
      <c r="M317" s="1229">
        <f>IF(L317&lt;=0,0,N317/L317)</f>
        <v>0.31451155510909268</v>
      </c>
      <c r="N317" s="1084">
        <f>N312+N315</f>
        <v>104576.92544204259</v>
      </c>
      <c r="O317" s="1082">
        <f>O312+O315</f>
        <v>398077.07573509525</v>
      </c>
      <c r="P317" s="1229">
        <f>IF(O317&lt;=0,0,Q317/O317)</f>
        <v>0.30311024758502575</v>
      </c>
      <c r="Q317" s="1084">
        <f>Q312+Q315</f>
        <v>120661.24098398777</v>
      </c>
      <c r="R317" s="1082">
        <f>R312+R315</f>
        <v>422539.57302801975</v>
      </c>
      <c r="S317" s="1229">
        <f>IF(R317&lt;=0,0,T317/R317)</f>
        <v>0.31681084616557953</v>
      </c>
      <c r="T317" s="1084">
        <f>T312+T315</f>
        <v>133865.11966944963</v>
      </c>
      <c r="U317" s="1082">
        <f>U312+U315</f>
        <v>343901.21529995912</v>
      </c>
      <c r="V317" s="1229">
        <f>IF(U317&lt;=0,0,W317/U317)</f>
        <v>0.31479242223913778</v>
      </c>
      <c r="W317" s="1084">
        <f>W312+W315</f>
        <v>108257.49657525736</v>
      </c>
      <c r="X317" s="1082">
        <f>X312+X315</f>
        <v>376059.57523512415</v>
      </c>
      <c r="Y317" s="1229">
        <f>IF(X317&lt;=0,0,Z317/X317)</f>
        <v>0.31451068196524079</v>
      </c>
      <c r="Z317" s="1084">
        <f>Z312+Z315</f>
        <v>118274.75346675768</v>
      </c>
      <c r="AA317" s="1082">
        <f>AA312+AA315</f>
        <v>345468.81307993276</v>
      </c>
      <c r="AB317" s="1229">
        <f>IF(AA317&lt;=0,0,AC317/AA317)</f>
        <v>0.30963855847640404</v>
      </c>
      <c r="AC317" s="1084">
        <f>AC312+AC315</f>
        <v>106970.46528062466</v>
      </c>
      <c r="AD317" s="1082">
        <f>AD312+AD315</f>
        <v>382503.74802762776</v>
      </c>
      <c r="AE317" s="1229">
        <f>IF(AD317&lt;=0,0,AF317/AD317)</f>
        <v>0.30464416887141987</v>
      </c>
      <c r="AF317" s="1084">
        <f>AF312+AF315</f>
        <v>116527.53640807967</v>
      </c>
      <c r="AG317" s="1082">
        <f>AG312+AG315</f>
        <v>422122.86804233241</v>
      </c>
      <c r="AH317" s="1229">
        <f>IF(AG317&lt;=0,0,AI317/AG317)</f>
        <v>0.30630187664610575</v>
      </c>
      <c r="AI317" s="1084">
        <f>AI312+AI315</f>
        <v>129297.02665660289</v>
      </c>
      <c r="AJ317" s="1082">
        <f>AJ312+AJ315</f>
        <v>535373.06731993181</v>
      </c>
      <c r="AK317" s="1229">
        <f>IF(AJ317&lt;=0,0,AL317/AJ317)</f>
        <v>0.29567239054908129</v>
      </c>
      <c r="AL317" s="1084">
        <f>AL312+AL315</f>
        <v>158295.03465007848</v>
      </c>
      <c r="AM317" s="1082">
        <f>AM312+AM315</f>
        <v>291874.52804025431</v>
      </c>
      <c r="AN317" s="1229">
        <f>IF(AM317&lt;=0,0,AO317/AM317)</f>
        <v>0.33481319426740697</v>
      </c>
      <c r="AO317" s="1084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92"/>
        <v>Pièces</v>
      </c>
      <c r="B318" s="1372"/>
      <c r="C318" s="1232"/>
      <c r="D318" s="1233"/>
      <c r="E318" s="1234"/>
      <c r="F318" s="1232"/>
      <c r="G318" s="1233"/>
      <c r="H318" s="1234"/>
      <c r="I318" s="1232"/>
      <c r="J318" s="1233"/>
      <c r="K318" s="1234"/>
      <c r="L318" s="1232"/>
      <c r="M318" s="1233"/>
      <c r="N318" s="1234"/>
      <c r="O318" s="1232"/>
      <c r="P318" s="1233"/>
      <c r="Q318" s="1234"/>
      <c r="R318" s="1232"/>
      <c r="S318" s="1233"/>
      <c r="T318" s="1234"/>
      <c r="U318" s="1232"/>
      <c r="V318" s="1233"/>
      <c r="W318" s="1234"/>
      <c r="X318" s="1232"/>
      <c r="Y318" s="1233"/>
      <c r="Z318" s="1234"/>
      <c r="AA318" s="1232"/>
      <c r="AB318" s="1233"/>
      <c r="AC318" s="1234"/>
      <c r="AD318" s="1232"/>
      <c r="AE318" s="1233"/>
      <c r="AF318" s="1234"/>
      <c r="AG318" s="1232"/>
      <c r="AH318" s="1233"/>
      <c r="AI318" s="1234"/>
      <c r="AJ318" s="1232"/>
      <c r="AK318" s="1233"/>
      <c r="AL318" s="1234"/>
      <c r="AM318" s="1232"/>
      <c r="AN318" s="1233"/>
      <c r="AO318" s="1234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92"/>
        <v>Pièces</v>
      </c>
      <c r="B319" s="599"/>
      <c r="C319" s="1238"/>
      <c r="D319" s="1239"/>
      <c r="E319" s="1136"/>
      <c r="F319" s="1238"/>
      <c r="G319" s="1239"/>
      <c r="H319" s="1136"/>
      <c r="I319" s="1238"/>
      <c r="J319" s="1239"/>
      <c r="K319" s="1136"/>
      <c r="L319" s="1238"/>
      <c r="M319" s="1239"/>
      <c r="N319" s="1136"/>
      <c r="O319" s="1238"/>
      <c r="P319" s="1239"/>
      <c r="Q319" s="1136"/>
      <c r="R319" s="1238"/>
      <c r="S319" s="1239"/>
      <c r="T319" s="1136"/>
      <c r="U319" s="1238"/>
      <c r="V319" s="1239"/>
      <c r="W319" s="1136"/>
      <c r="X319" s="1238"/>
      <c r="Y319" s="1239"/>
      <c r="Z319" s="1136"/>
      <c r="AA319" s="1238"/>
      <c r="AB319" s="1239"/>
      <c r="AC319" s="1136"/>
      <c r="AD319" s="1238"/>
      <c r="AE319" s="1239"/>
      <c r="AF319" s="1136"/>
      <c r="AG319" s="1238"/>
      <c r="AH319" s="1239"/>
      <c r="AI319" s="1136"/>
      <c r="AJ319" s="1238"/>
      <c r="AK319" s="1239"/>
      <c r="AL319" s="1136"/>
      <c r="AM319" s="1238"/>
      <c r="AN319" s="1239"/>
      <c r="AO319" s="1136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">
      <c r="A320" s="533" t="str">
        <f t="shared" si="92"/>
        <v>PiècesDEPENSES</v>
      </c>
      <c r="B320" s="600" t="s">
        <v>99</v>
      </c>
      <c r="C320" s="543"/>
      <c r="D320" s="596"/>
      <c r="E320" s="1070"/>
      <c r="F320" s="543"/>
      <c r="G320" s="596"/>
      <c r="H320" s="1070"/>
      <c r="I320" s="543"/>
      <c r="J320" s="596"/>
      <c r="K320" s="1070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">
      <c r="A321" s="533" t="str">
        <f t="shared" si="92"/>
        <v>PiècesSalaires cadres</v>
      </c>
      <c r="B321" s="612" t="s">
        <v>109</v>
      </c>
      <c r="C321" s="543"/>
      <c r="D321" s="596"/>
      <c r="E321" s="1080">
        <f t="shared" ref="E321:E351" si="108">+SUM(H321,K321,N321,Q321,T321,W321,Z321,AC321,AF321,AI321,AL321,AO321)</f>
        <v>53848.800000000003</v>
      </c>
      <c r="F321" s="543"/>
      <c r="G321" s="596"/>
      <c r="H321" s="1101">
        <v>4527.3187739463601</v>
      </c>
      <c r="I321" s="543"/>
      <c r="J321" s="596"/>
      <c r="K321" s="1101">
        <v>4207.9685823754789</v>
      </c>
      <c r="L321" s="543"/>
      <c r="M321" s="596"/>
      <c r="N321" s="1101">
        <v>4527.3187739463601</v>
      </c>
      <c r="O321" s="543"/>
      <c r="P321" s="596"/>
      <c r="Q321" s="1101">
        <v>4527.3187739463601</v>
      </c>
      <c r="R321" s="543"/>
      <c r="S321" s="596"/>
      <c r="T321" s="1101">
        <v>4367.6436781609191</v>
      </c>
      <c r="U321" s="543"/>
      <c r="V321" s="596"/>
      <c r="W321" s="1101">
        <v>4527.3187739463601</v>
      </c>
      <c r="X321" s="543"/>
      <c r="Y321" s="596"/>
      <c r="Z321" s="1101">
        <v>4686.9938697318012</v>
      </c>
      <c r="AA321" s="543"/>
      <c r="AB321" s="596"/>
      <c r="AC321" s="1101">
        <v>4367.6436781609191</v>
      </c>
      <c r="AD321" s="543"/>
      <c r="AE321" s="596"/>
      <c r="AF321" s="1101">
        <v>4527.3187739463601</v>
      </c>
      <c r="AG321" s="543"/>
      <c r="AH321" s="596"/>
      <c r="AI321" s="1101">
        <v>4527.3187739463601</v>
      </c>
      <c r="AJ321" s="543"/>
      <c r="AK321" s="596"/>
      <c r="AL321" s="1101">
        <v>4367.6436781609191</v>
      </c>
      <c r="AM321" s="543"/>
      <c r="AN321" s="596"/>
      <c r="AO321" s="1101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">
      <c r="A322" s="533" t="str">
        <f t="shared" si="92"/>
        <v>PiècesSalaires commis</v>
      </c>
      <c r="B322" s="614" t="s">
        <v>110</v>
      </c>
      <c r="C322" s="543"/>
      <c r="D322" s="596"/>
      <c r="E322" s="1080">
        <f t="shared" si="108"/>
        <v>28746.666000000001</v>
      </c>
      <c r="F322" s="543"/>
      <c r="G322" s="596"/>
      <c r="H322" s="1101">
        <v>2423.0906206896552</v>
      </c>
      <c r="I322" s="543"/>
      <c r="J322" s="596"/>
      <c r="K322" s="1101">
        <v>2202.8096551724138</v>
      </c>
      <c r="L322" s="543"/>
      <c r="M322" s="596"/>
      <c r="N322" s="1101">
        <v>2423.0906206896552</v>
      </c>
      <c r="O322" s="543"/>
      <c r="P322" s="596"/>
      <c r="Q322" s="1101">
        <v>2423.0906206896552</v>
      </c>
      <c r="R322" s="543"/>
      <c r="S322" s="596"/>
      <c r="T322" s="1101">
        <v>2312.9501379310345</v>
      </c>
      <c r="U322" s="543"/>
      <c r="V322" s="596"/>
      <c r="W322" s="1101">
        <v>2423.0906206896552</v>
      </c>
      <c r="X322" s="543"/>
      <c r="Y322" s="596"/>
      <c r="Z322" s="1101">
        <v>2533.2311034482759</v>
      </c>
      <c r="AA322" s="543"/>
      <c r="AB322" s="596"/>
      <c r="AC322" s="1101">
        <v>2312.9501379310345</v>
      </c>
      <c r="AD322" s="543"/>
      <c r="AE322" s="596"/>
      <c r="AF322" s="1101">
        <v>2423.0906206896552</v>
      </c>
      <c r="AG322" s="543"/>
      <c r="AH322" s="596"/>
      <c r="AI322" s="1101">
        <v>2423.0906206896552</v>
      </c>
      <c r="AJ322" s="543"/>
      <c r="AK322" s="596"/>
      <c r="AL322" s="1101">
        <v>2312.9501379310345</v>
      </c>
      <c r="AM322" s="543"/>
      <c r="AN322" s="596"/>
      <c r="AO322" s="1101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">
      <c r="A323" s="533" t="str">
        <f t="shared" si="92"/>
        <v>PiècesSalaires autres</v>
      </c>
      <c r="B323" s="612" t="s">
        <v>111</v>
      </c>
      <c r="C323" s="1115"/>
      <c r="D323" s="1116"/>
      <c r="E323" s="1117">
        <f t="shared" si="108"/>
        <v>232430</v>
      </c>
      <c r="F323" s="1115"/>
      <c r="G323" s="1116"/>
      <c r="H323" s="1118">
        <v>19692.046578082598</v>
      </c>
      <c r="I323" s="1115"/>
      <c r="J323" s="1116"/>
      <c r="K323" s="1118">
        <v>18301.300055604173</v>
      </c>
      <c r="L323" s="1115"/>
      <c r="M323" s="1116"/>
      <c r="N323" s="1118">
        <v>18811.919939529831</v>
      </c>
      <c r="O323" s="1115"/>
      <c r="P323" s="1116"/>
      <c r="Q323" s="1118">
        <v>19050.673763484407</v>
      </c>
      <c r="R323" s="1115"/>
      <c r="S323" s="1116"/>
      <c r="T323" s="1118">
        <v>18562.80479682003</v>
      </c>
      <c r="U323" s="1115"/>
      <c r="V323" s="1116"/>
      <c r="W323" s="1118">
        <v>18866.553935617525</v>
      </c>
      <c r="X323" s="1115"/>
      <c r="Y323" s="1116"/>
      <c r="Z323" s="1118">
        <v>19699.114903698384</v>
      </c>
      <c r="AA323" s="1115"/>
      <c r="AB323" s="1116"/>
      <c r="AC323" s="1118">
        <v>18163.583483204085</v>
      </c>
      <c r="AD323" s="1115"/>
      <c r="AE323" s="1116"/>
      <c r="AF323" s="1118">
        <v>20187.896837376</v>
      </c>
      <c r="AG323" s="1115"/>
      <c r="AH323" s="1116"/>
      <c r="AI323" s="1118">
        <v>20377.445756559719</v>
      </c>
      <c r="AJ323" s="1115"/>
      <c r="AK323" s="1116"/>
      <c r="AL323" s="1118">
        <v>20124.023121073529</v>
      </c>
      <c r="AM323" s="1115"/>
      <c r="AN323" s="1116"/>
      <c r="AO323" s="1118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">
      <c r="A324" s="533" t="str">
        <f t="shared" si="92"/>
        <v>PiècesSalaires spécialistes</v>
      </c>
      <c r="B324" s="612" t="s">
        <v>112</v>
      </c>
      <c r="C324" s="543"/>
      <c r="D324" s="596"/>
      <c r="E324" s="1080">
        <f t="shared" si="108"/>
        <v>0</v>
      </c>
      <c r="F324" s="543"/>
      <c r="G324" s="596"/>
      <c r="H324" s="1101"/>
      <c r="I324" s="543"/>
      <c r="J324" s="596"/>
      <c r="K324" s="1101"/>
      <c r="L324" s="543"/>
      <c r="M324" s="596"/>
      <c r="N324" s="1101"/>
      <c r="O324" s="543"/>
      <c r="P324" s="596"/>
      <c r="Q324" s="1101"/>
      <c r="R324" s="543"/>
      <c r="S324" s="596"/>
      <c r="T324" s="1101"/>
      <c r="U324" s="543"/>
      <c r="V324" s="596"/>
      <c r="W324" s="1101"/>
      <c r="X324" s="543"/>
      <c r="Y324" s="596"/>
      <c r="Z324" s="1101"/>
      <c r="AA324" s="543"/>
      <c r="AB324" s="596"/>
      <c r="AC324" s="1101"/>
      <c r="AD324" s="543"/>
      <c r="AE324" s="596"/>
      <c r="AF324" s="1101"/>
      <c r="AG324" s="543"/>
      <c r="AH324" s="596"/>
      <c r="AI324" s="1101"/>
      <c r="AJ324" s="543"/>
      <c r="AK324" s="596"/>
      <c r="AL324" s="1101"/>
      <c r="AM324" s="543"/>
      <c r="AN324" s="596"/>
      <c r="AO324" s="1101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0">
        <f t="shared" si="108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/>
      <c r="AG325" s="543"/>
      <c r="AH325" s="596"/>
      <c r="AI325" s="1101"/>
      <c r="AJ325" s="543"/>
      <c r="AK325" s="596"/>
      <c r="AL325" s="1101"/>
      <c r="AM325" s="543"/>
      <c r="AN325" s="596"/>
      <c r="AO325" s="1101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0">
        <f t="shared" si="108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/>
      <c r="AG326" s="543"/>
      <c r="AH326" s="596"/>
      <c r="AI326" s="1101"/>
      <c r="AJ326" s="543"/>
      <c r="AK326" s="596"/>
      <c r="AL326" s="1101"/>
      <c r="AM326" s="543"/>
      <c r="AN326" s="596"/>
      <c r="AO326" s="1101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0">
        <f t="shared" si="108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/>
      <c r="AG327" s="543"/>
      <c r="AH327" s="596"/>
      <c r="AI327" s="1101"/>
      <c r="AJ327" s="543"/>
      <c r="AK327" s="596"/>
      <c r="AL327" s="1101"/>
      <c r="AM327" s="543"/>
      <c r="AN327" s="596"/>
      <c r="AO327" s="1101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">
      <c r="A328" s="533" t="str">
        <f t="shared" si="92"/>
        <v>PiècesSalaires en absences</v>
      </c>
      <c r="B328" s="614" t="s">
        <v>113</v>
      </c>
      <c r="C328" s="543"/>
      <c r="D328" s="596"/>
      <c r="E328" s="1080">
        <f t="shared" si="108"/>
        <v>46889.761512000012</v>
      </c>
      <c r="F328" s="543"/>
      <c r="G328" s="596"/>
      <c r="H328" s="1101">
        <v>4984.6686967291853</v>
      </c>
      <c r="I328" s="543"/>
      <c r="J328" s="596"/>
      <c r="K328" s="1101">
        <v>2699.2581844740648</v>
      </c>
      <c r="L328" s="543"/>
      <c r="M328" s="596"/>
      <c r="N328" s="1101">
        <v>2827.1478611228995</v>
      </c>
      <c r="O328" s="543"/>
      <c r="P328" s="596"/>
      <c r="Q328" s="1101">
        <v>3886.381257879827</v>
      </c>
      <c r="R328" s="543"/>
      <c r="S328" s="596"/>
      <c r="T328" s="1101">
        <v>3799.8781941593597</v>
      </c>
      <c r="U328" s="543"/>
      <c r="V328" s="596"/>
      <c r="W328" s="1101">
        <v>3868.5216345767394</v>
      </c>
      <c r="X328" s="543"/>
      <c r="Y328" s="596"/>
      <c r="Z328" s="1101">
        <v>3988.4598224346064</v>
      </c>
      <c r="AA328" s="543"/>
      <c r="AB328" s="596"/>
      <c r="AC328" s="1101">
        <v>2725.0794509052794</v>
      </c>
      <c r="AD328" s="543"/>
      <c r="AE328" s="596"/>
      <c r="AF328" s="1101">
        <v>3996.6918960473113</v>
      </c>
      <c r="AG328" s="543"/>
      <c r="AH328" s="596"/>
      <c r="AI328" s="1101">
        <v>4015.0781412081324</v>
      </c>
      <c r="AJ328" s="543"/>
      <c r="AK328" s="596"/>
      <c r="AL328" s="1101">
        <v>2915.2420957786153</v>
      </c>
      <c r="AM328" s="543"/>
      <c r="AN328" s="596"/>
      <c r="AO328" s="1101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">
      <c r="A329" s="533" t="str">
        <f t="shared" si="92"/>
        <v>PiècesDéduction à la source</v>
      </c>
      <c r="B329" s="612" t="s">
        <v>114</v>
      </c>
      <c r="C329" s="1115"/>
      <c r="D329" s="1116"/>
      <c r="E329" s="1117">
        <f t="shared" si="108"/>
        <v>45070.386601047874</v>
      </c>
      <c r="F329" s="1115"/>
      <c r="G329" s="1116"/>
      <c r="H329" s="1118">
        <v>4053.5074183859783</v>
      </c>
      <c r="I329" s="1115"/>
      <c r="J329" s="1116"/>
      <c r="K329" s="1118">
        <v>3756.6995350927705</v>
      </c>
      <c r="L329" s="1115"/>
      <c r="M329" s="1116"/>
      <c r="N329" s="1118">
        <v>3934.690322181355</v>
      </c>
      <c r="O329" s="1115"/>
      <c r="P329" s="1116"/>
      <c r="Q329" s="1118">
        <v>3966.9220884152228</v>
      </c>
      <c r="R329" s="1115"/>
      <c r="S329" s="1116"/>
      <c r="T329" s="1118">
        <v>3846.5312265362213</v>
      </c>
      <c r="U329" s="1115"/>
      <c r="V329" s="1116"/>
      <c r="W329" s="1118">
        <v>3942.0659116531938</v>
      </c>
      <c r="X329" s="1115"/>
      <c r="Y329" s="1116"/>
      <c r="Z329" s="1118">
        <v>3804.6205497439073</v>
      </c>
      <c r="AA329" s="1115"/>
      <c r="AB329" s="1116"/>
      <c r="AC329" s="1118">
        <v>3511.7003233315454</v>
      </c>
      <c r="AD329" s="1115"/>
      <c r="AE329" s="1116"/>
      <c r="AF329" s="1118">
        <v>3662.6197363471892</v>
      </c>
      <c r="AG329" s="1115"/>
      <c r="AH329" s="1116"/>
      <c r="AI329" s="1118">
        <v>3531.8087063721837</v>
      </c>
      <c r="AJ329" s="1115"/>
      <c r="AK329" s="1116"/>
      <c r="AL329" s="1118">
        <v>3456.2148558200079</v>
      </c>
      <c r="AM329" s="1115"/>
      <c r="AN329" s="1116"/>
      <c r="AO329" s="1118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">
      <c r="A330" s="533" t="str">
        <f t="shared" si="92"/>
        <v>PiècesBénéfices marginaux</v>
      </c>
      <c r="B330" s="615" t="s">
        <v>115</v>
      </c>
      <c r="C330" s="543"/>
      <c r="D330" s="596"/>
      <c r="E330" s="1080">
        <f t="shared" si="108"/>
        <v>34812.095668000002</v>
      </c>
      <c r="F330" s="543"/>
      <c r="G330" s="596"/>
      <c r="H330" s="1101">
        <v>2942.546125939451</v>
      </c>
      <c r="I330" s="543"/>
      <c r="J330" s="596"/>
      <c r="K330" s="1101">
        <v>2727.0855884377147</v>
      </c>
      <c r="L330" s="543"/>
      <c r="M330" s="596"/>
      <c r="N330" s="1101">
        <v>2856.2937153612797</v>
      </c>
      <c r="O330" s="543"/>
      <c r="P330" s="596"/>
      <c r="Q330" s="1101">
        <v>2879.6915901088282</v>
      </c>
      <c r="R330" s="543"/>
      <c r="S330" s="596"/>
      <c r="T330" s="1101">
        <v>2792.2967422262941</v>
      </c>
      <c r="U330" s="543"/>
      <c r="V330" s="596"/>
      <c r="W330" s="1101">
        <v>2861.647846977874</v>
      </c>
      <c r="X330" s="543"/>
      <c r="Y330" s="596"/>
      <c r="Z330" s="1101">
        <v>2982.8225109992236</v>
      </c>
      <c r="AA330" s="543"/>
      <c r="AB330" s="596"/>
      <c r="AC330" s="1101">
        <v>2753.1730534919316</v>
      </c>
      <c r="AD330" s="543"/>
      <c r="AE330" s="596"/>
      <c r="AF330" s="1101">
        <v>2991.1394513502046</v>
      </c>
      <c r="AG330" s="543"/>
      <c r="AH330" s="596"/>
      <c r="AI330" s="1101">
        <v>3009.7152454302086</v>
      </c>
      <c r="AJ330" s="543"/>
      <c r="AK330" s="596"/>
      <c r="AL330" s="1101">
        <v>2945.296138003137</v>
      </c>
      <c r="AM330" s="543"/>
      <c r="AN330" s="596"/>
      <c r="AO330" s="1101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">
      <c r="A331" s="533" t="str">
        <f t="shared" si="92"/>
        <v>PiècesCsst</v>
      </c>
      <c r="B331" s="612" t="s">
        <v>116</v>
      </c>
      <c r="C331" s="543"/>
      <c r="D331" s="596"/>
      <c r="E331" s="1080">
        <f t="shared" si="108"/>
        <v>8703.0239170000004</v>
      </c>
      <c r="F331" s="543"/>
      <c r="G331" s="596"/>
      <c r="H331" s="1101">
        <v>735.63653148486276</v>
      </c>
      <c r="I331" s="543"/>
      <c r="J331" s="596"/>
      <c r="K331" s="1101">
        <v>681.77139710942868</v>
      </c>
      <c r="L331" s="543"/>
      <c r="M331" s="596"/>
      <c r="N331" s="1101">
        <v>714.07342884031993</v>
      </c>
      <c r="O331" s="543"/>
      <c r="P331" s="596"/>
      <c r="Q331" s="1101">
        <v>719.92289752720706</v>
      </c>
      <c r="R331" s="543"/>
      <c r="S331" s="596"/>
      <c r="T331" s="1101">
        <v>698.07418555657352</v>
      </c>
      <c r="U331" s="543"/>
      <c r="V331" s="596"/>
      <c r="W331" s="1101">
        <v>715.4119617444685</v>
      </c>
      <c r="X331" s="543"/>
      <c r="Y331" s="596"/>
      <c r="Z331" s="1101">
        <v>745.7056277498059</v>
      </c>
      <c r="AA331" s="543"/>
      <c r="AB331" s="596"/>
      <c r="AC331" s="1101">
        <v>688.29326337298289</v>
      </c>
      <c r="AD331" s="543"/>
      <c r="AE331" s="596"/>
      <c r="AF331" s="1101">
        <v>747.78486283755115</v>
      </c>
      <c r="AG331" s="543"/>
      <c r="AH331" s="596"/>
      <c r="AI331" s="1101">
        <v>752.42881135755215</v>
      </c>
      <c r="AJ331" s="543"/>
      <c r="AK331" s="596"/>
      <c r="AL331" s="1101">
        <v>736.32403450078425</v>
      </c>
      <c r="AM331" s="543"/>
      <c r="AN331" s="596"/>
      <c r="AO331" s="1101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0"/>
      <c r="E332" s="1103">
        <f t="shared" si="108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/>
      <c r="AG332" s="601"/>
      <c r="AH332" s="1120"/>
      <c r="AI332" s="1103"/>
      <c r="AJ332" s="601"/>
      <c r="AK332" s="1120"/>
      <c r="AL332" s="1103"/>
      <c r="AM332" s="601"/>
      <c r="AN332" s="1120"/>
      <c r="AO332" s="1103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">
      <c r="A333" s="533" t="str">
        <f t="shared" si="92"/>
        <v>PiècesTOTAL PERSONNEL</v>
      </c>
      <c r="B333" s="1356" t="s">
        <v>117</v>
      </c>
      <c r="C333" s="1107" t="s">
        <v>108</v>
      </c>
      <c r="D333" s="1108">
        <f>IFERROR(E333/E$317,0)</f>
        <v>0.33145891990777132</v>
      </c>
      <c r="E333" s="1109">
        <f>+SUM(E321:E332)</f>
        <v>450500.73369804787</v>
      </c>
      <c r="F333" s="1107" t="s">
        <v>108</v>
      </c>
      <c r="G333" s="1108">
        <f>IFERROR(H333/H$317,0)</f>
        <v>0.47349972953745428</v>
      </c>
      <c r="H333" s="1109">
        <f>+SUM(H321:H332)</f>
        <v>39358.814745258096</v>
      </c>
      <c r="I333" s="1107" t="s">
        <v>108</v>
      </c>
      <c r="J333" s="1108">
        <f>IFERROR(K333/K$317,0)</f>
        <v>0.42387796786170728</v>
      </c>
      <c r="K333" s="1109">
        <f>+SUM(K321:K332)</f>
        <v>34576.892998266041</v>
      </c>
      <c r="L333" s="1107" t="s">
        <v>108</v>
      </c>
      <c r="M333" s="1108">
        <f>IFERROR(N333/N$317,0)</f>
        <v>0.34514817211446513</v>
      </c>
      <c r="N333" s="1109">
        <f>+SUM(N321:N332)</f>
        <v>36094.5346616717</v>
      </c>
      <c r="O333" s="1107" t="s">
        <v>108</v>
      </c>
      <c r="P333" s="1108">
        <f>IFERROR(Q333/Q$317,0)</f>
        <v>0.31040623058917327</v>
      </c>
      <c r="Q333" s="1109">
        <f>+SUM(Q321:Q332)</f>
        <v>37454.000992051508</v>
      </c>
      <c r="R333" s="1107" t="s">
        <v>108</v>
      </c>
      <c r="S333" s="1108">
        <f>IFERROR(T333/T$317,0)</f>
        <v>0.27176742568357803</v>
      </c>
      <c r="T333" s="1109">
        <f>+SUM(T321:T332)</f>
        <v>36380.178961390433</v>
      </c>
      <c r="U333" s="1107" t="s">
        <v>108</v>
      </c>
      <c r="V333" s="1108">
        <f>IFERROR(W333/W$317,0)</f>
        <v>0.34366775384781123</v>
      </c>
      <c r="W333" s="1109">
        <f>+SUM(W321:W332)</f>
        <v>37204.610685205815</v>
      </c>
      <c r="X333" s="1107" t="s">
        <v>108</v>
      </c>
      <c r="Y333" s="1108">
        <f>IFERROR(Z333/Z$317,0)</f>
        <v>0.32501398025412259</v>
      </c>
      <c r="Z333" s="1109">
        <f>+SUM(Z321:Z332)</f>
        <v>38440.948387805998</v>
      </c>
      <c r="AA333" s="1107" t="s">
        <v>108</v>
      </c>
      <c r="AB333" s="1108">
        <f>IFERROR(AC333/AC$317,0)</f>
        <v>0.32272855222076657</v>
      </c>
      <c r="AC333" s="1109">
        <f>+SUM(AC321:AC332)</f>
        <v>34522.423390397773</v>
      </c>
      <c r="AD333" s="1107" t="s">
        <v>108</v>
      </c>
      <c r="AE333" s="1108">
        <f>IFERROR(AF333/AF$317,0)</f>
        <v>0.33070760239570512</v>
      </c>
      <c r="AF333" s="1109">
        <f>+SUM(AF321:AF332)</f>
        <v>38536.542178594267</v>
      </c>
      <c r="AG333" s="1107" t="s">
        <v>108</v>
      </c>
      <c r="AH333" s="1108">
        <f>IFERROR(AI333/AI$317,0)</f>
        <v>0.29882269573126896</v>
      </c>
      <c r="AI333" s="1109">
        <f>+SUM(AI321:AI332)</f>
        <v>38636.886055563817</v>
      </c>
      <c r="AJ333" s="1107" t="s">
        <v>108</v>
      </c>
      <c r="AK333" s="1108">
        <f>IFERROR(AL333/AL$317,0)</f>
        <v>0.23284175743569197</v>
      </c>
      <c r="AL333" s="1109">
        <f>+SUM(AL321:AL332)</f>
        <v>36857.694061268026</v>
      </c>
      <c r="AM333" s="1107" t="s">
        <v>108</v>
      </c>
      <c r="AN333" s="1108">
        <f>IFERROR(AO333/AO$317,0)</f>
        <v>0.43425820102544138</v>
      </c>
      <c r="AO333" s="1109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">
      <c r="A334" s="533" t="str">
        <f t="shared" si="92"/>
        <v>PiècesPublicité 2</v>
      </c>
      <c r="B334" s="1371" t="s">
        <v>118</v>
      </c>
      <c r="C334" s="543"/>
      <c r="D334" s="596"/>
      <c r="E334" s="1080">
        <f t="shared" si="108"/>
        <v>13947.05</v>
      </c>
      <c r="F334" s="543"/>
      <c r="G334" s="596"/>
      <c r="H334" s="1101">
        <v>736.24621391667176</v>
      </c>
      <c r="I334" s="543"/>
      <c r="J334" s="596"/>
      <c r="K334" s="1101">
        <v>876.73259596443188</v>
      </c>
      <c r="L334" s="543"/>
      <c r="M334" s="596"/>
      <c r="N334" s="1101">
        <v>1046.5369653607361</v>
      </c>
      <c r="O334" s="543"/>
      <c r="P334" s="596"/>
      <c r="Q334" s="1101">
        <v>1680.4482241429673</v>
      </c>
      <c r="R334" s="543"/>
      <c r="S334" s="596"/>
      <c r="T334" s="1101">
        <v>1447.5437124910734</v>
      </c>
      <c r="U334" s="543"/>
      <c r="V334" s="596"/>
      <c r="W334" s="1101">
        <v>1006.9602891715665</v>
      </c>
      <c r="X334" s="543"/>
      <c r="Y334" s="596"/>
      <c r="Z334" s="1101">
        <v>1193.3497491888591</v>
      </c>
      <c r="AA334" s="543"/>
      <c r="AB334" s="596"/>
      <c r="AC334" s="1101">
        <v>952.50629272378114</v>
      </c>
      <c r="AD334" s="543"/>
      <c r="AE334" s="596"/>
      <c r="AF334" s="1101">
        <v>775.81460978741154</v>
      </c>
      <c r="AG334" s="543"/>
      <c r="AH334" s="596"/>
      <c r="AI334" s="1101">
        <v>1569.2253306604414</v>
      </c>
      <c r="AJ334" s="543"/>
      <c r="AK334" s="596"/>
      <c r="AL334" s="1101">
        <v>1757.9800752862293</v>
      </c>
      <c r="AM334" s="543"/>
      <c r="AN334" s="596"/>
      <c r="AO334" s="1101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">
      <c r="A335" s="533" t="str">
        <f t="shared" si="92"/>
        <v>PiècesService gratuit 2</v>
      </c>
      <c r="B335" s="612" t="s">
        <v>119</v>
      </c>
      <c r="C335" s="543"/>
      <c r="D335" s="596"/>
      <c r="E335" s="1080">
        <f t="shared" si="108"/>
        <v>7500</v>
      </c>
      <c r="F335" s="543"/>
      <c r="G335" s="596"/>
      <c r="H335" s="1101">
        <v>625</v>
      </c>
      <c r="I335" s="543"/>
      <c r="J335" s="596"/>
      <c r="K335" s="1101">
        <v>625</v>
      </c>
      <c r="L335" s="543"/>
      <c r="M335" s="596"/>
      <c r="N335" s="1101">
        <v>625</v>
      </c>
      <c r="O335" s="543"/>
      <c r="P335" s="596"/>
      <c r="Q335" s="1101">
        <v>625</v>
      </c>
      <c r="R335" s="543"/>
      <c r="S335" s="596"/>
      <c r="T335" s="1101">
        <v>625</v>
      </c>
      <c r="U335" s="543"/>
      <c r="V335" s="596"/>
      <c r="W335" s="1101">
        <v>625</v>
      </c>
      <c r="X335" s="543"/>
      <c r="Y335" s="596"/>
      <c r="Z335" s="1101">
        <v>625</v>
      </c>
      <c r="AA335" s="543"/>
      <c r="AB335" s="596"/>
      <c r="AC335" s="1101">
        <v>625</v>
      </c>
      <c r="AD335" s="543"/>
      <c r="AE335" s="596"/>
      <c r="AF335" s="1101">
        <v>625</v>
      </c>
      <c r="AG335" s="543"/>
      <c r="AH335" s="596"/>
      <c r="AI335" s="1101">
        <v>625</v>
      </c>
      <c r="AJ335" s="543"/>
      <c r="AK335" s="596"/>
      <c r="AL335" s="1101">
        <v>625</v>
      </c>
      <c r="AM335" s="543"/>
      <c r="AN335" s="596"/>
      <c r="AO335" s="1101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">
      <c r="A336" s="533" t="str">
        <f t="shared" si="92"/>
        <v>PiècesFrais véhicules de cie</v>
      </c>
      <c r="B336" s="614" t="s">
        <v>120</v>
      </c>
      <c r="C336" s="601"/>
      <c r="D336" s="1120"/>
      <c r="E336" s="1103">
        <f t="shared" si="108"/>
        <v>57883.999999999993</v>
      </c>
      <c r="F336" s="601"/>
      <c r="G336" s="1120"/>
      <c r="H336" s="1105">
        <v>4823.666666666667</v>
      </c>
      <c r="I336" s="601"/>
      <c r="J336" s="1120"/>
      <c r="K336" s="1105">
        <v>4823.666666666667</v>
      </c>
      <c r="L336" s="601"/>
      <c r="M336" s="1120"/>
      <c r="N336" s="1105">
        <v>4823.666666666667</v>
      </c>
      <c r="O336" s="601"/>
      <c r="P336" s="1120"/>
      <c r="Q336" s="1105">
        <v>4823.666666666667</v>
      </c>
      <c r="R336" s="601"/>
      <c r="S336" s="1120"/>
      <c r="T336" s="1105">
        <v>4823.666666666667</v>
      </c>
      <c r="U336" s="601"/>
      <c r="V336" s="1120"/>
      <c r="W336" s="1105">
        <v>4823.666666666667</v>
      </c>
      <c r="X336" s="601"/>
      <c r="Y336" s="1120"/>
      <c r="Z336" s="1105">
        <v>4823.666666666667</v>
      </c>
      <c r="AA336" s="601"/>
      <c r="AB336" s="1120"/>
      <c r="AC336" s="1105">
        <v>4823.666666666667</v>
      </c>
      <c r="AD336" s="601"/>
      <c r="AE336" s="1120"/>
      <c r="AF336" s="1105">
        <v>4823.666666666667</v>
      </c>
      <c r="AG336" s="601"/>
      <c r="AH336" s="1120"/>
      <c r="AI336" s="1105">
        <v>4823.666666666667</v>
      </c>
      <c r="AJ336" s="601"/>
      <c r="AK336" s="1120"/>
      <c r="AL336" s="1105">
        <v>4823.666666666667</v>
      </c>
      <c r="AM336" s="601"/>
      <c r="AN336" s="1120"/>
      <c r="AO336" s="1105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">
      <c r="A337" s="533" t="str">
        <f t="shared" si="92"/>
        <v>PiècesInformatique</v>
      </c>
      <c r="B337" s="612" t="s">
        <v>121</v>
      </c>
      <c r="C337" s="543"/>
      <c r="D337" s="596"/>
      <c r="E337" s="1080">
        <f t="shared" si="108"/>
        <v>31817.704000000012</v>
      </c>
      <c r="F337" s="543"/>
      <c r="G337" s="596"/>
      <c r="H337" s="1101">
        <v>2651.4753333333338</v>
      </c>
      <c r="I337" s="543"/>
      <c r="J337" s="596"/>
      <c r="K337" s="1101">
        <v>2651.4753333333338</v>
      </c>
      <c r="L337" s="543"/>
      <c r="M337" s="596"/>
      <c r="N337" s="1101">
        <v>2651.4753333333338</v>
      </c>
      <c r="O337" s="543"/>
      <c r="P337" s="596"/>
      <c r="Q337" s="1101">
        <v>2651.4753333333338</v>
      </c>
      <c r="R337" s="543"/>
      <c r="S337" s="596"/>
      <c r="T337" s="1101">
        <v>2651.4753333333338</v>
      </c>
      <c r="U337" s="543"/>
      <c r="V337" s="596"/>
      <c r="W337" s="1101">
        <v>2651.4753333333338</v>
      </c>
      <c r="X337" s="543"/>
      <c r="Y337" s="596"/>
      <c r="Z337" s="1101">
        <v>2651.4753333333338</v>
      </c>
      <c r="AA337" s="543"/>
      <c r="AB337" s="596"/>
      <c r="AC337" s="1101">
        <v>2651.4753333333338</v>
      </c>
      <c r="AD337" s="543"/>
      <c r="AE337" s="596"/>
      <c r="AF337" s="1101">
        <v>2651.4753333333338</v>
      </c>
      <c r="AG337" s="543"/>
      <c r="AH337" s="596"/>
      <c r="AI337" s="1101">
        <v>2651.4753333333338</v>
      </c>
      <c r="AJ337" s="543"/>
      <c r="AK337" s="596"/>
      <c r="AL337" s="1101">
        <v>2651.4753333333338</v>
      </c>
      <c r="AM337" s="543"/>
      <c r="AN337" s="596"/>
      <c r="AO337" s="1101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">
      <c r="A338" s="533" t="str">
        <f t="shared" si="92"/>
        <v>PiècesFrais de déplacement</v>
      </c>
      <c r="B338" s="612" t="s">
        <v>122</v>
      </c>
      <c r="C338" s="543"/>
      <c r="D338" s="596"/>
      <c r="E338" s="1080">
        <f t="shared" si="108"/>
        <v>11980</v>
      </c>
      <c r="F338" s="543"/>
      <c r="G338" s="596"/>
      <c r="H338" s="1101">
        <v>998.33333333333326</v>
      </c>
      <c r="I338" s="543"/>
      <c r="J338" s="596"/>
      <c r="K338" s="1101">
        <v>998.33333333333326</v>
      </c>
      <c r="L338" s="543"/>
      <c r="M338" s="596"/>
      <c r="N338" s="1101">
        <v>998.33333333333326</v>
      </c>
      <c r="O338" s="543"/>
      <c r="P338" s="596"/>
      <c r="Q338" s="1101">
        <v>998.33333333333326</v>
      </c>
      <c r="R338" s="543"/>
      <c r="S338" s="596"/>
      <c r="T338" s="1101">
        <v>998.33333333333326</v>
      </c>
      <c r="U338" s="543"/>
      <c r="V338" s="596"/>
      <c r="W338" s="1101">
        <v>998.33333333333326</v>
      </c>
      <c r="X338" s="543"/>
      <c r="Y338" s="596"/>
      <c r="Z338" s="1101">
        <v>998.33333333333326</v>
      </c>
      <c r="AA338" s="543"/>
      <c r="AB338" s="596"/>
      <c r="AC338" s="1101">
        <v>998.33333333333326</v>
      </c>
      <c r="AD338" s="543"/>
      <c r="AE338" s="596"/>
      <c r="AF338" s="1101">
        <v>998.33333333333326</v>
      </c>
      <c r="AG338" s="543"/>
      <c r="AH338" s="596"/>
      <c r="AI338" s="1101">
        <v>998.33333333333326</v>
      </c>
      <c r="AJ338" s="543"/>
      <c r="AK338" s="596"/>
      <c r="AL338" s="1101">
        <v>998.33333333333326</v>
      </c>
      <c r="AM338" s="543"/>
      <c r="AN338" s="596"/>
      <c r="AO338" s="1101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">
      <c r="A339" s="533" t="str">
        <f t="shared" si="92"/>
        <v>PiècesServices extérieurs</v>
      </c>
      <c r="B339" s="614" t="s">
        <v>123</v>
      </c>
      <c r="C339" s="601"/>
      <c r="D339" s="1120"/>
      <c r="E339" s="1103">
        <f t="shared" si="108"/>
        <v>15822.912000000004</v>
      </c>
      <c r="F339" s="601"/>
      <c r="G339" s="1120"/>
      <c r="H339" s="1105">
        <v>1318.576</v>
      </c>
      <c r="I339" s="601"/>
      <c r="J339" s="1120"/>
      <c r="K339" s="1105">
        <v>1318.576</v>
      </c>
      <c r="L339" s="601"/>
      <c r="M339" s="1120"/>
      <c r="N339" s="1105">
        <v>1318.576</v>
      </c>
      <c r="O339" s="601"/>
      <c r="P339" s="1120"/>
      <c r="Q339" s="1105">
        <v>1318.576</v>
      </c>
      <c r="R339" s="601"/>
      <c r="S339" s="1120"/>
      <c r="T339" s="1105">
        <v>1318.576</v>
      </c>
      <c r="U339" s="601"/>
      <c r="V339" s="1120"/>
      <c r="W339" s="1105">
        <v>1318.576</v>
      </c>
      <c r="X339" s="601"/>
      <c r="Y339" s="1120"/>
      <c r="Z339" s="1105">
        <v>1318.576</v>
      </c>
      <c r="AA339" s="601"/>
      <c r="AB339" s="1120"/>
      <c r="AC339" s="1105">
        <v>1318.576</v>
      </c>
      <c r="AD339" s="601"/>
      <c r="AE339" s="1120"/>
      <c r="AF339" s="1105">
        <v>1318.576</v>
      </c>
      <c r="AG339" s="601"/>
      <c r="AH339" s="1120"/>
      <c r="AI339" s="1105">
        <v>1318.576</v>
      </c>
      <c r="AJ339" s="601"/>
      <c r="AK339" s="1120"/>
      <c r="AL339" s="1105">
        <v>1318.576</v>
      </c>
      <c r="AM339" s="601"/>
      <c r="AN339" s="1120"/>
      <c r="AO339" s="1105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">
      <c r="A340" s="533" t="str">
        <f t="shared" si="92"/>
        <v>PiècesFournitures atelier</v>
      </c>
      <c r="B340" s="612" t="s">
        <v>3000</v>
      </c>
      <c r="C340" s="543"/>
      <c r="D340" s="596"/>
      <c r="E340" s="1080">
        <f t="shared" si="108"/>
        <v>0</v>
      </c>
      <c r="F340" s="543"/>
      <c r="G340" s="596"/>
      <c r="H340" s="1101"/>
      <c r="I340" s="543"/>
      <c r="J340" s="596"/>
      <c r="K340" s="1101"/>
      <c r="L340" s="543"/>
      <c r="M340" s="596"/>
      <c r="N340" s="1101"/>
      <c r="O340" s="543"/>
      <c r="P340" s="596"/>
      <c r="Q340" s="1101"/>
      <c r="R340" s="543"/>
      <c r="S340" s="596"/>
      <c r="T340" s="1101"/>
      <c r="U340" s="543"/>
      <c r="V340" s="596"/>
      <c r="W340" s="1101"/>
      <c r="X340" s="543"/>
      <c r="Y340" s="596"/>
      <c r="Z340" s="1101"/>
      <c r="AA340" s="543"/>
      <c r="AB340" s="596"/>
      <c r="AC340" s="1101"/>
      <c r="AD340" s="543"/>
      <c r="AE340" s="596"/>
      <c r="AF340" s="1101"/>
      <c r="AG340" s="543"/>
      <c r="AH340" s="596"/>
      <c r="AI340" s="1101"/>
      <c r="AJ340" s="543"/>
      <c r="AK340" s="596"/>
      <c r="AL340" s="1101"/>
      <c r="AM340" s="543"/>
      <c r="AN340" s="596"/>
      <c r="AO340" s="1101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">
      <c r="A341" s="533" t="str">
        <f t="shared" si="92"/>
        <v>PiècesFournitures autres</v>
      </c>
      <c r="B341" s="612" t="s">
        <v>124</v>
      </c>
      <c r="C341" s="543"/>
      <c r="D341" s="596"/>
      <c r="E341" s="1080">
        <f t="shared" si="108"/>
        <v>180</v>
      </c>
      <c r="F341" s="543"/>
      <c r="G341" s="596"/>
      <c r="H341" s="1101">
        <v>15</v>
      </c>
      <c r="I341" s="543"/>
      <c r="J341" s="596"/>
      <c r="K341" s="1101">
        <v>15</v>
      </c>
      <c r="L341" s="543"/>
      <c r="M341" s="596"/>
      <c r="N341" s="1101">
        <v>15</v>
      </c>
      <c r="O341" s="543"/>
      <c r="P341" s="596"/>
      <c r="Q341" s="1101">
        <v>15</v>
      </c>
      <c r="R341" s="543"/>
      <c r="S341" s="596"/>
      <c r="T341" s="1101">
        <v>15</v>
      </c>
      <c r="U341" s="543"/>
      <c r="V341" s="596"/>
      <c r="W341" s="1101">
        <v>15</v>
      </c>
      <c r="X341" s="543"/>
      <c r="Y341" s="596"/>
      <c r="Z341" s="1101">
        <v>15</v>
      </c>
      <c r="AA341" s="543"/>
      <c r="AB341" s="596"/>
      <c r="AC341" s="1101">
        <v>15</v>
      </c>
      <c r="AD341" s="543"/>
      <c r="AE341" s="596"/>
      <c r="AF341" s="1101">
        <v>15</v>
      </c>
      <c r="AG341" s="543"/>
      <c r="AH341" s="596"/>
      <c r="AI341" s="1101">
        <v>15</v>
      </c>
      <c r="AJ341" s="543"/>
      <c r="AK341" s="596"/>
      <c r="AL341" s="1101">
        <v>15</v>
      </c>
      <c r="AM341" s="543"/>
      <c r="AN341" s="596"/>
      <c r="AO341" s="1101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">
      <c r="A342" s="533" t="str">
        <f t="shared" si="92"/>
        <v>PiècesUniformes</v>
      </c>
      <c r="B342" s="612" t="s">
        <v>125</v>
      </c>
      <c r="C342" s="543"/>
      <c r="D342" s="596"/>
      <c r="E342" s="1080">
        <f t="shared" si="108"/>
        <v>450</v>
      </c>
      <c r="F342" s="543"/>
      <c r="G342" s="596"/>
      <c r="H342" s="1101">
        <v>37.5</v>
      </c>
      <c r="I342" s="543"/>
      <c r="J342" s="596"/>
      <c r="K342" s="1101">
        <v>37.5</v>
      </c>
      <c r="L342" s="543"/>
      <c r="M342" s="596"/>
      <c r="N342" s="1101">
        <v>37.5</v>
      </c>
      <c r="O342" s="543"/>
      <c r="P342" s="596"/>
      <c r="Q342" s="1101">
        <v>37.5</v>
      </c>
      <c r="R342" s="543"/>
      <c r="S342" s="596"/>
      <c r="T342" s="1101">
        <v>37.5</v>
      </c>
      <c r="U342" s="543"/>
      <c r="V342" s="596"/>
      <c r="W342" s="1101">
        <v>37.5</v>
      </c>
      <c r="X342" s="543"/>
      <c r="Y342" s="596"/>
      <c r="Z342" s="1101">
        <v>37.5</v>
      </c>
      <c r="AA342" s="543"/>
      <c r="AB342" s="596"/>
      <c r="AC342" s="1101">
        <v>37.5</v>
      </c>
      <c r="AD342" s="543"/>
      <c r="AE342" s="596"/>
      <c r="AF342" s="1101">
        <v>37.5</v>
      </c>
      <c r="AG342" s="543"/>
      <c r="AH342" s="596"/>
      <c r="AI342" s="1101">
        <v>37.5</v>
      </c>
      <c r="AJ342" s="543"/>
      <c r="AK342" s="596"/>
      <c r="AL342" s="1101">
        <v>37.5</v>
      </c>
      <c r="AM342" s="543"/>
      <c r="AN342" s="596"/>
      <c r="AO342" s="1101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">
      <c r="A343" s="533" t="str">
        <f t="shared" si="92"/>
        <v>PiècesPapeterie</v>
      </c>
      <c r="B343" s="612" t="s">
        <v>126</v>
      </c>
      <c r="C343" s="543"/>
      <c r="D343" s="596"/>
      <c r="E343" s="1080">
        <f t="shared" si="108"/>
        <v>3480</v>
      </c>
      <c r="F343" s="543"/>
      <c r="G343" s="596"/>
      <c r="H343" s="1101">
        <v>290</v>
      </c>
      <c r="I343" s="543"/>
      <c r="J343" s="596"/>
      <c r="K343" s="1101">
        <v>290</v>
      </c>
      <c r="L343" s="543"/>
      <c r="M343" s="596"/>
      <c r="N343" s="1101">
        <v>290</v>
      </c>
      <c r="O343" s="543"/>
      <c r="P343" s="596"/>
      <c r="Q343" s="1101">
        <v>290</v>
      </c>
      <c r="R343" s="543"/>
      <c r="S343" s="596"/>
      <c r="T343" s="1101">
        <v>290</v>
      </c>
      <c r="U343" s="543"/>
      <c r="V343" s="596"/>
      <c r="W343" s="1101">
        <v>290</v>
      </c>
      <c r="X343" s="543"/>
      <c r="Y343" s="596"/>
      <c r="Z343" s="1101">
        <v>290</v>
      </c>
      <c r="AA343" s="543"/>
      <c r="AB343" s="596"/>
      <c r="AC343" s="1101">
        <v>290</v>
      </c>
      <c r="AD343" s="543"/>
      <c r="AE343" s="596"/>
      <c r="AF343" s="1101">
        <v>290</v>
      </c>
      <c r="AG343" s="543"/>
      <c r="AH343" s="596"/>
      <c r="AI343" s="1101">
        <v>290</v>
      </c>
      <c r="AJ343" s="543"/>
      <c r="AK343" s="596"/>
      <c r="AL343" s="1101">
        <v>290</v>
      </c>
      <c r="AM343" s="543"/>
      <c r="AN343" s="596"/>
      <c r="AO343" s="1101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">
      <c r="A344" s="533" t="str">
        <f t="shared" si="92"/>
        <v>PiècesTéléphone</v>
      </c>
      <c r="B344" s="612" t="s">
        <v>127</v>
      </c>
      <c r="C344" s="543"/>
      <c r="D344" s="596"/>
      <c r="E344" s="1080">
        <f t="shared" si="108"/>
        <v>1365.5999999999997</v>
      </c>
      <c r="F344" s="543"/>
      <c r="G344" s="596"/>
      <c r="H344" s="1101">
        <v>113.8</v>
      </c>
      <c r="I344" s="543"/>
      <c r="J344" s="596"/>
      <c r="K344" s="1101">
        <v>113.8</v>
      </c>
      <c r="L344" s="543"/>
      <c r="M344" s="596"/>
      <c r="N344" s="1101">
        <v>113.8</v>
      </c>
      <c r="O344" s="543"/>
      <c r="P344" s="596"/>
      <c r="Q344" s="1101">
        <v>113.8</v>
      </c>
      <c r="R344" s="543"/>
      <c r="S344" s="596"/>
      <c r="T344" s="1101">
        <v>113.8</v>
      </c>
      <c r="U344" s="543"/>
      <c r="V344" s="596"/>
      <c r="W344" s="1101">
        <v>113.8</v>
      </c>
      <c r="X344" s="543"/>
      <c r="Y344" s="596"/>
      <c r="Z344" s="1101">
        <v>113.8</v>
      </c>
      <c r="AA344" s="543"/>
      <c r="AB344" s="596"/>
      <c r="AC344" s="1101">
        <v>113.8</v>
      </c>
      <c r="AD344" s="543"/>
      <c r="AE344" s="596"/>
      <c r="AF344" s="1101">
        <v>113.8</v>
      </c>
      <c r="AG344" s="543"/>
      <c r="AH344" s="596"/>
      <c r="AI344" s="1101">
        <v>113.8</v>
      </c>
      <c r="AJ344" s="543"/>
      <c r="AK344" s="596"/>
      <c r="AL344" s="1101">
        <v>113.8</v>
      </c>
      <c r="AM344" s="543"/>
      <c r="AN344" s="596"/>
      <c r="AO344" s="1101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">
      <c r="A345" s="533" t="str">
        <f t="shared" si="92"/>
        <v>PiècesFrais postaux</v>
      </c>
      <c r="B345" s="612" t="s">
        <v>128</v>
      </c>
      <c r="C345" s="543"/>
      <c r="D345" s="596"/>
      <c r="E345" s="1080">
        <f t="shared" si="108"/>
        <v>28460.000000000011</v>
      </c>
      <c r="F345" s="543"/>
      <c r="G345" s="596"/>
      <c r="H345" s="1101">
        <v>2371.666666666667</v>
      </c>
      <c r="I345" s="543"/>
      <c r="J345" s="596"/>
      <c r="K345" s="1101">
        <v>2371.666666666667</v>
      </c>
      <c r="L345" s="543"/>
      <c r="M345" s="596"/>
      <c r="N345" s="1101">
        <v>2371.666666666667</v>
      </c>
      <c r="O345" s="543"/>
      <c r="P345" s="596"/>
      <c r="Q345" s="1101">
        <v>2371.666666666667</v>
      </c>
      <c r="R345" s="543"/>
      <c r="S345" s="596"/>
      <c r="T345" s="1101">
        <v>2371.666666666667</v>
      </c>
      <c r="U345" s="543"/>
      <c r="V345" s="596"/>
      <c r="W345" s="1101">
        <v>2371.666666666667</v>
      </c>
      <c r="X345" s="543"/>
      <c r="Y345" s="596"/>
      <c r="Z345" s="1101">
        <v>2371.666666666667</v>
      </c>
      <c r="AA345" s="543"/>
      <c r="AB345" s="596"/>
      <c r="AC345" s="1101">
        <v>2371.666666666667</v>
      </c>
      <c r="AD345" s="543"/>
      <c r="AE345" s="596"/>
      <c r="AF345" s="1101">
        <v>2371.666666666667</v>
      </c>
      <c r="AG345" s="543"/>
      <c r="AH345" s="596"/>
      <c r="AI345" s="1101">
        <v>2371.666666666667</v>
      </c>
      <c r="AJ345" s="543"/>
      <c r="AK345" s="596"/>
      <c r="AL345" s="1101">
        <v>2371.666666666667</v>
      </c>
      <c r="AM345" s="543"/>
      <c r="AN345" s="596"/>
      <c r="AO345" s="1101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">
      <c r="A346" s="533" t="str">
        <f t="shared" si="92"/>
        <v>PiècesDivers</v>
      </c>
      <c r="B346" s="612" t="s">
        <v>129</v>
      </c>
      <c r="C346" s="543"/>
      <c r="D346" s="596"/>
      <c r="E346" s="1080">
        <f t="shared" si="108"/>
        <v>3664.0000000000005</v>
      </c>
      <c r="F346" s="543"/>
      <c r="G346" s="596"/>
      <c r="H346" s="1101">
        <v>305.33333333333331</v>
      </c>
      <c r="I346" s="543"/>
      <c r="J346" s="596"/>
      <c r="K346" s="1101">
        <v>305.33333333333331</v>
      </c>
      <c r="L346" s="543"/>
      <c r="M346" s="596"/>
      <c r="N346" s="1101">
        <v>305.33333333333331</v>
      </c>
      <c r="O346" s="543"/>
      <c r="P346" s="596"/>
      <c r="Q346" s="1101">
        <v>305.33333333333331</v>
      </c>
      <c r="R346" s="543"/>
      <c r="S346" s="596"/>
      <c r="T346" s="1101">
        <v>305.33333333333331</v>
      </c>
      <c r="U346" s="543"/>
      <c r="V346" s="596"/>
      <c r="W346" s="1101">
        <v>305.33333333333331</v>
      </c>
      <c r="X346" s="543"/>
      <c r="Y346" s="596"/>
      <c r="Z346" s="1101">
        <v>305.33333333333331</v>
      </c>
      <c r="AA346" s="543"/>
      <c r="AB346" s="596"/>
      <c r="AC346" s="1101">
        <v>305.33333333333331</v>
      </c>
      <c r="AD346" s="543"/>
      <c r="AE346" s="596"/>
      <c r="AF346" s="1101">
        <v>305.33333333333331</v>
      </c>
      <c r="AG346" s="543"/>
      <c r="AH346" s="596"/>
      <c r="AI346" s="1101">
        <v>305.33333333333331</v>
      </c>
      <c r="AJ346" s="543"/>
      <c r="AK346" s="596"/>
      <c r="AL346" s="1101">
        <v>305.33333333333331</v>
      </c>
      <c r="AM346" s="543"/>
      <c r="AN346" s="596"/>
      <c r="AO346" s="1101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">
      <c r="A347" s="533" t="str">
        <f t="shared" si="92"/>
        <v>PiècesFormation</v>
      </c>
      <c r="B347" s="612" t="s">
        <v>130</v>
      </c>
      <c r="C347" s="543"/>
      <c r="D347" s="596"/>
      <c r="E347" s="1080">
        <f t="shared" si="108"/>
        <v>1829.5680000000002</v>
      </c>
      <c r="F347" s="543"/>
      <c r="G347" s="596"/>
      <c r="H347" s="1101">
        <v>152.46400000000006</v>
      </c>
      <c r="I347" s="543"/>
      <c r="J347" s="596"/>
      <c r="K347" s="1101">
        <v>152.46400000000006</v>
      </c>
      <c r="L347" s="543"/>
      <c r="M347" s="596"/>
      <c r="N347" s="1101">
        <v>152.46400000000006</v>
      </c>
      <c r="O347" s="543"/>
      <c r="P347" s="596"/>
      <c r="Q347" s="1101">
        <v>152.46400000000006</v>
      </c>
      <c r="R347" s="543"/>
      <c r="S347" s="596"/>
      <c r="T347" s="1101">
        <v>152.46400000000006</v>
      </c>
      <c r="U347" s="543"/>
      <c r="V347" s="596"/>
      <c r="W347" s="1101">
        <v>152.46400000000006</v>
      </c>
      <c r="X347" s="543"/>
      <c r="Y347" s="596"/>
      <c r="Z347" s="1101">
        <v>152.46400000000006</v>
      </c>
      <c r="AA347" s="543"/>
      <c r="AB347" s="596"/>
      <c r="AC347" s="1101">
        <v>152.46400000000006</v>
      </c>
      <c r="AD347" s="543"/>
      <c r="AE347" s="596"/>
      <c r="AF347" s="1101">
        <v>152.46400000000006</v>
      </c>
      <c r="AG347" s="543"/>
      <c r="AH347" s="596"/>
      <c r="AI347" s="1101">
        <v>152.46400000000006</v>
      </c>
      <c r="AJ347" s="543"/>
      <c r="AK347" s="596"/>
      <c r="AL347" s="1101">
        <v>152.46400000000006</v>
      </c>
      <c r="AM347" s="543"/>
      <c r="AN347" s="596"/>
      <c r="AO347" s="1101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">
      <c r="A348" s="533" t="str">
        <f t="shared" si="92"/>
        <v>PiècesFrais bancaires</v>
      </c>
      <c r="B348" s="612" t="s">
        <v>131</v>
      </c>
      <c r="C348" s="543"/>
      <c r="D348" s="596"/>
      <c r="E348" s="1080">
        <f t="shared" si="108"/>
        <v>21100.718260869569</v>
      </c>
      <c r="F348" s="543"/>
      <c r="G348" s="596"/>
      <c r="H348" s="1101">
        <v>1125.0607769234571</v>
      </c>
      <c r="I348" s="543"/>
      <c r="J348" s="596"/>
      <c r="K348" s="1101">
        <v>1180.2961729904614</v>
      </c>
      <c r="L348" s="543"/>
      <c r="M348" s="596"/>
      <c r="N348" s="1101">
        <v>1815.9125058690643</v>
      </c>
      <c r="O348" s="543"/>
      <c r="P348" s="596"/>
      <c r="Q348" s="1101">
        <v>2147.3272889387354</v>
      </c>
      <c r="R348" s="543"/>
      <c r="S348" s="596"/>
      <c r="T348" s="1101">
        <v>2393.836258447991</v>
      </c>
      <c r="U348" s="543"/>
      <c r="V348" s="596"/>
      <c r="W348" s="1101">
        <v>1989.1118716036556</v>
      </c>
      <c r="X348" s="543"/>
      <c r="Y348" s="596"/>
      <c r="Z348" s="1101">
        <v>1609.9379062078954</v>
      </c>
      <c r="AA348" s="543"/>
      <c r="AB348" s="596"/>
      <c r="AC348" s="1101">
        <v>1612.0572123072227</v>
      </c>
      <c r="AD348" s="543"/>
      <c r="AE348" s="596"/>
      <c r="AF348" s="1101">
        <v>1912.4392914616108</v>
      </c>
      <c r="AG348" s="543"/>
      <c r="AH348" s="596"/>
      <c r="AI348" s="1101">
        <v>2112.559863067107</v>
      </c>
      <c r="AJ348" s="543"/>
      <c r="AK348" s="596"/>
      <c r="AL348" s="1101">
        <v>1934.3615212970096</v>
      </c>
      <c r="AM348" s="543"/>
      <c r="AN348" s="596"/>
      <c r="AO348" s="1101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0">
        <f t="shared" si="108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/>
      <c r="AG349" s="543"/>
      <c r="AH349" s="596"/>
      <c r="AI349" s="1080"/>
      <c r="AJ349" s="543"/>
      <c r="AK349" s="596"/>
      <c r="AL349" s="1080"/>
      <c r="AM349" s="543"/>
      <c r="AN349" s="596"/>
      <c r="AO349" s="1080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0">
        <f t="shared" si="108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/>
      <c r="AG350" s="543"/>
      <c r="AH350" s="596"/>
      <c r="AI350" s="1080"/>
      <c r="AJ350" s="543"/>
      <c r="AK350" s="596"/>
      <c r="AL350" s="1080"/>
      <c r="AM350" s="543"/>
      <c r="AN350" s="596"/>
      <c r="AO350" s="1080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0">
        <f t="shared" si="108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/>
      <c r="AG351" s="543"/>
      <c r="AH351" s="596"/>
      <c r="AI351" s="1080"/>
      <c r="AJ351" s="543"/>
      <c r="AK351" s="596"/>
      <c r="AL351" s="1080"/>
      <c r="AM351" s="543"/>
      <c r="AN351" s="596"/>
      <c r="AO351" s="1080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">
      <c r="A352" s="533" t="str">
        <f t="shared" si="92"/>
        <v>PiècesTOTAL SEMI-FIXES</v>
      </c>
      <c r="B352" s="1356" t="s">
        <v>132</v>
      </c>
      <c r="C352" s="1107" t="s">
        <v>108</v>
      </c>
      <c r="D352" s="1108">
        <f>IFERROR(E352/E$317,0)</f>
        <v>0.14676988272838407</v>
      </c>
      <c r="E352" s="1109">
        <f>+SUM(E334:E351)</f>
        <v>199481.55226086956</v>
      </c>
      <c r="F352" s="1107" t="s">
        <v>108</v>
      </c>
      <c r="G352" s="1108">
        <f>IFERROR(H352/H$317,0)</f>
        <v>0.18724160670696702</v>
      </c>
      <c r="H352" s="1109">
        <f>+SUM(H334:H351)</f>
        <v>15564.122324173466</v>
      </c>
      <c r="I352" s="1107" t="s">
        <v>108</v>
      </c>
      <c r="J352" s="1108">
        <f>IFERROR(K352/K$317,0)</f>
        <v>0.1931998543718271</v>
      </c>
      <c r="K352" s="1109">
        <f>+SUM(K334:K351)</f>
        <v>15759.844102288229</v>
      </c>
      <c r="L352" s="1107" t="s">
        <v>108</v>
      </c>
      <c r="M352" s="1108">
        <f>IFERROR(N352/N$317,0)</f>
        <v>0.15840267568148908</v>
      </c>
      <c r="N352" s="1109">
        <f>+SUM(N334:N351)</f>
        <v>16565.264804563136</v>
      </c>
      <c r="O352" s="1107" t="s">
        <v>108</v>
      </c>
      <c r="P352" s="1108">
        <f>IFERROR(Q352/Q$317,0)</f>
        <v>0.14528767235819676</v>
      </c>
      <c r="Q352" s="1109">
        <f>+SUM(Q334:Q351)</f>
        <v>17530.590846415038</v>
      </c>
      <c r="R352" s="1107" t="s">
        <v>108</v>
      </c>
      <c r="S352" s="1108">
        <f>IFERROR(T352/T$317,0)</f>
        <v>0.13105875038691123</v>
      </c>
      <c r="T352" s="1109">
        <f>+SUM(T334:T351)</f>
        <v>17544.195304272398</v>
      </c>
      <c r="U352" s="1107" t="s">
        <v>108</v>
      </c>
      <c r="V352" s="1108">
        <f>IFERROR(W352/W$317,0)</f>
        <v>0.15425155783553515</v>
      </c>
      <c r="W352" s="1109">
        <f>+SUM(W334:W351)</f>
        <v>16698.88749410856</v>
      </c>
      <c r="X352" s="1107" t="s">
        <v>108</v>
      </c>
      <c r="Y352" s="1108">
        <f>IFERROR(Z352/Z$317,0)</f>
        <v>0.13955728086441793</v>
      </c>
      <c r="Z352" s="1109">
        <f>+SUM(Z334:Z351)</f>
        <v>16506.10298873009</v>
      </c>
      <c r="AA352" s="1107" t="s">
        <v>108</v>
      </c>
      <c r="AB352" s="1108">
        <f>IFERROR(AC352/AC$317,0)</f>
        <v>0.15207355409447598</v>
      </c>
      <c r="AC352" s="1109">
        <f>+SUM(AC334:AC351)</f>
        <v>16267.378838364339</v>
      </c>
      <c r="AD352" s="1107" t="s">
        <v>108</v>
      </c>
      <c r="AE352" s="1108">
        <f>IFERROR(AF352/AF$317,0)</f>
        <v>0.14066262567485163</v>
      </c>
      <c r="AF352" s="1109">
        <f>+SUM(AF334:AF351)</f>
        <v>16391.069234582355</v>
      </c>
      <c r="AG352" s="1107" t="s">
        <v>108</v>
      </c>
      <c r="AH352" s="1108">
        <f>IFERROR(AI352/AI$317,0)</f>
        <v>0.13445475875661286</v>
      </c>
      <c r="AI352" s="1109">
        <f>+SUM(AI334:AI351)</f>
        <v>17384.600527060884</v>
      </c>
      <c r="AJ352" s="1107" t="s">
        <v>108</v>
      </c>
      <c r="AK352" s="1108">
        <f>IFERROR(AL352/AL$317,0)</f>
        <v>0.10989073010640989</v>
      </c>
      <c r="AL352" s="1109">
        <f>+SUM(AL334:AL351)</f>
        <v>17395.156929916575</v>
      </c>
      <c r="AM352" s="1107" t="s">
        <v>108</v>
      </c>
      <c r="AN352" s="1108">
        <f>IFERROR(AO352/AO$317,0)</f>
        <v>0.16244146102076978</v>
      </c>
      <c r="AO352" s="1109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">
      <c r="A353" s="533" t="str">
        <f t="shared" si="92"/>
        <v>Pièces</v>
      </c>
      <c r="B353" s="601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">
      <c r="A354" s="533" t="str">
        <f t="shared" si="92"/>
        <v>PiècesTOTAL DES DÉPENSES</v>
      </c>
      <c r="B354" s="1357" t="s">
        <v>133</v>
      </c>
      <c r="C354" s="1107" t="s">
        <v>108</v>
      </c>
      <c r="D354" s="1164">
        <f>IFERROR(E354/E$317,0)</f>
        <v>0.47822880263615541</v>
      </c>
      <c r="E354" s="1126">
        <f>E333+E352</f>
        <v>649982.28595891746</v>
      </c>
      <c r="F354" s="1107" t="s">
        <v>108</v>
      </c>
      <c r="G354" s="1164">
        <f>IFERROR(H354/H$317,0)</f>
        <v>0.66074133624442133</v>
      </c>
      <c r="H354" s="1126">
        <f>H333+H352</f>
        <v>54922.937069431558</v>
      </c>
      <c r="I354" s="1107" t="s">
        <v>108</v>
      </c>
      <c r="J354" s="1164">
        <f>IFERROR(K354/K$317,0)</f>
        <v>0.61707782223353436</v>
      </c>
      <c r="K354" s="1126">
        <f>K333+K352</f>
        <v>50336.737100554266</v>
      </c>
      <c r="L354" s="1107" t="s">
        <v>108</v>
      </c>
      <c r="M354" s="1164">
        <f>IFERROR(N354/N$317,0)</f>
        <v>0.50355084779595416</v>
      </c>
      <c r="N354" s="1126">
        <f>N333+N352</f>
        <v>52659.799466234836</v>
      </c>
      <c r="O354" s="1107" t="s">
        <v>108</v>
      </c>
      <c r="P354" s="1164">
        <f>IFERROR(Q354/Q$317,0)</f>
        <v>0.45569390294737</v>
      </c>
      <c r="Q354" s="1126">
        <f>Q333+Q352</f>
        <v>54984.591838466542</v>
      </c>
      <c r="R354" s="1107" t="s">
        <v>108</v>
      </c>
      <c r="S354" s="1164">
        <f>IFERROR(T354/T$317,0)</f>
        <v>0.40282617607048926</v>
      </c>
      <c r="T354" s="1126">
        <f>T333+T352</f>
        <v>53924.374265662831</v>
      </c>
      <c r="U354" s="1107" t="s">
        <v>108</v>
      </c>
      <c r="V354" s="1164">
        <f>IFERROR(W354/W$317,0)</f>
        <v>0.49791931168334636</v>
      </c>
      <c r="W354" s="1126">
        <f>W333+W352</f>
        <v>53903.498179314374</v>
      </c>
      <c r="X354" s="1107" t="s">
        <v>108</v>
      </c>
      <c r="Y354" s="1164">
        <f>IFERROR(Z354/Z$317,0)</f>
        <v>0.46457126111854052</v>
      </c>
      <c r="Z354" s="1126">
        <f>Z333+Z352</f>
        <v>54947.051376536088</v>
      </c>
      <c r="AA354" s="1107" t="s">
        <v>108</v>
      </c>
      <c r="AB354" s="1164">
        <f>IFERROR(AC354/AC$317,0)</f>
        <v>0.47480210631524256</v>
      </c>
      <c r="AC354" s="1126">
        <f>AC333+AC352</f>
        <v>50789.802228762113</v>
      </c>
      <c r="AD354" s="1107" t="s">
        <v>108</v>
      </c>
      <c r="AE354" s="1164">
        <f>IFERROR(AF354/AF$317,0)</f>
        <v>0.47137022807055678</v>
      </c>
      <c r="AF354" s="1126">
        <f>AF333+AF352</f>
        <v>54927.611413176623</v>
      </c>
      <c r="AG354" s="1107" t="s">
        <v>108</v>
      </c>
      <c r="AH354" s="1164">
        <f>IFERROR(AI354/AI$317,0)</f>
        <v>0.4332774544878818</v>
      </c>
      <c r="AI354" s="1126">
        <f>AI333+AI352</f>
        <v>56021.486582624697</v>
      </c>
      <c r="AJ354" s="1107" t="s">
        <v>108</v>
      </c>
      <c r="AK354" s="1164">
        <f>IFERROR(AL354/AL$317,0)</f>
        <v>0.34273248754210184</v>
      </c>
      <c r="AL354" s="1126">
        <f>AL333+AL352</f>
        <v>54252.850991184605</v>
      </c>
      <c r="AM354" s="1107" t="s">
        <v>108</v>
      </c>
      <c r="AN354" s="1164">
        <f>IFERROR(AO354/AO$317,0)</f>
        <v>0.59669966204621117</v>
      </c>
      <c r="AO354" s="1126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">
      <c r="A355" s="533" t="str">
        <f t="shared" si="92"/>
        <v>Pièces</v>
      </c>
      <c r="B355" s="5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92"/>
        <v>PiècesPROFIT DÉPARTEMENTAL</v>
      </c>
      <c r="B356" s="1167" t="s">
        <v>139</v>
      </c>
      <c r="C356" s="1167"/>
      <c r="D356" s="1168"/>
      <c r="E356" s="1141">
        <f>E317-E354</f>
        <v>709162.71404108254</v>
      </c>
      <c r="F356" s="1167"/>
      <c r="G356" s="1168"/>
      <c r="H356" s="1141">
        <f>H317-H354</f>
        <v>28200.26721139533</v>
      </c>
      <c r="I356" s="1167"/>
      <c r="J356" s="1168"/>
      <c r="K356" s="1141">
        <f>K317-K354</f>
        <v>31236.016427288821</v>
      </c>
      <c r="L356" s="1167"/>
      <c r="M356" s="1168"/>
      <c r="N356" s="1141">
        <f>N317-N354</f>
        <v>51917.12597580775</v>
      </c>
      <c r="O356" s="1167"/>
      <c r="P356" s="1168"/>
      <c r="Q356" s="1141">
        <f>Q317-Q354</f>
        <v>65676.649145521224</v>
      </c>
      <c r="R356" s="1167"/>
      <c r="S356" s="1168"/>
      <c r="T356" s="1141">
        <f>T317-T354</f>
        <v>79940.745403786801</v>
      </c>
      <c r="U356" s="1167"/>
      <c r="V356" s="1168"/>
      <c r="W356" s="1141">
        <f>W317-W354</f>
        <v>54353.998395942988</v>
      </c>
      <c r="X356" s="1167"/>
      <c r="Y356" s="1168"/>
      <c r="Z356" s="1141">
        <f>Z317-Z354</f>
        <v>63327.702090221595</v>
      </c>
      <c r="AA356" s="1167"/>
      <c r="AB356" s="1168"/>
      <c r="AC356" s="1141">
        <f>AC317-AC354</f>
        <v>56180.663051862546</v>
      </c>
      <c r="AD356" s="1167"/>
      <c r="AE356" s="1168"/>
      <c r="AF356" s="1141">
        <f>AF317-AF354</f>
        <v>61599.924994903049</v>
      </c>
      <c r="AG356" s="1167"/>
      <c r="AH356" s="1168"/>
      <c r="AI356" s="1141">
        <f>AI317-AI354</f>
        <v>73275.540073978191</v>
      </c>
      <c r="AJ356" s="1167"/>
      <c r="AK356" s="1168"/>
      <c r="AL356" s="1141">
        <f>AL317-AL354</f>
        <v>104042.18365889387</v>
      </c>
      <c r="AM356" s="1167"/>
      <c r="AN356" s="1168"/>
      <c r="AO356" s="1141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">
      <c r="A357" s="533"/>
      <c r="B357" s="608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">
      <c r="A358" s="533"/>
      <c r="B358" s="608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2"/>
      <c r="G363" s="1229">
        <f>IF(F363&lt;=0,0,H363/F363)</f>
        <v>0</v>
      </c>
      <c r="H363" s="1084"/>
      <c r="I363" s="1082"/>
      <c r="J363" s="1229">
        <f>IF(I363&lt;=0,0,K363/I363)</f>
        <v>0</v>
      </c>
      <c r="K363" s="1084"/>
      <c r="L363" s="1082"/>
      <c r="M363" s="1229">
        <f>IF(L363&lt;=0,0,N363/L363)</f>
        <v>0</v>
      </c>
      <c r="N363" s="1084"/>
      <c r="O363" s="1082"/>
      <c r="P363" s="1229">
        <f>IF(O363&lt;=0,0,Q363/O363)</f>
        <v>0</v>
      </c>
      <c r="Q363" s="1084"/>
      <c r="R363" s="1082"/>
      <c r="S363" s="1229">
        <f>IF(R363&lt;=0,0,T363/R363)</f>
        <v>0</v>
      </c>
      <c r="T363" s="1084"/>
      <c r="U363" s="1082"/>
      <c r="V363" s="1229">
        <f>IF(U363&lt;=0,0,W363/U363)</f>
        <v>0</v>
      </c>
      <c r="W363" s="1084"/>
      <c r="X363" s="1082"/>
      <c r="Y363" s="1229">
        <f>IF(X363&lt;=0,0,Z363/X363)</f>
        <v>0</v>
      </c>
      <c r="Z363" s="1084"/>
      <c r="AA363" s="1082"/>
      <c r="AB363" s="1229">
        <f>IF(AA363&lt;=0,0,AC363/AA363)</f>
        <v>0</v>
      </c>
      <c r="AC363" s="1084"/>
      <c r="AD363" s="1082"/>
      <c r="AE363" s="1229">
        <f>IF(AD363&lt;=0,0,AF363/AD363)</f>
        <v>0</v>
      </c>
      <c r="AF363" s="1084"/>
      <c r="AG363" s="1082"/>
      <c r="AH363" s="1229">
        <f>IF(AG363&lt;=0,0,AI363/AG363)</f>
        <v>0</v>
      </c>
      <c r="AI363" s="1084"/>
      <c r="AJ363" s="1082"/>
      <c r="AK363" s="1229">
        <f>IF(AJ363&lt;=0,0,AL363/AJ363)</f>
        <v>0</v>
      </c>
      <c r="AL363" s="1084"/>
      <c r="AM363" s="1082"/>
      <c r="AN363" s="1229">
        <f>IF(AM363&lt;=0,0,AO363/AM363)</f>
        <v>0</v>
      </c>
      <c r="AO363" s="1084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2"/>
      <c r="C364" s="1232"/>
      <c r="D364" s="1233"/>
      <c r="E364" s="1234"/>
      <c r="F364" s="1232"/>
      <c r="G364" s="1233"/>
      <c r="H364" s="1234"/>
      <c r="I364" s="1232"/>
      <c r="J364" s="1233"/>
      <c r="K364" s="1234"/>
      <c r="L364" s="1232"/>
      <c r="M364" s="1233"/>
      <c r="N364" s="1234"/>
      <c r="O364" s="1232"/>
      <c r="P364" s="1233"/>
      <c r="Q364" s="1234"/>
      <c r="R364" s="1232"/>
      <c r="S364" s="1233"/>
      <c r="T364" s="1234"/>
      <c r="U364" s="1232"/>
      <c r="V364" s="1233"/>
      <c r="W364" s="1234"/>
      <c r="X364" s="1232"/>
      <c r="Y364" s="1233"/>
      <c r="Z364" s="1234"/>
      <c r="AA364" s="1232"/>
      <c r="AB364" s="1233"/>
      <c r="AC364" s="1234"/>
      <c r="AD364" s="1232"/>
      <c r="AE364" s="1233"/>
      <c r="AF364" s="1234"/>
      <c r="AG364" s="1232"/>
      <c r="AH364" s="1233"/>
      <c r="AI364" s="1234"/>
      <c r="AJ364" s="1232"/>
      <c r="AK364" s="1233"/>
      <c r="AL364" s="1234"/>
      <c r="AM364" s="1232"/>
      <c r="AN364" s="1233"/>
      <c r="AO364" s="1234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238">
        <f>+F363</f>
        <v>0</v>
      </c>
      <c r="G365" s="1239">
        <f>IF(F365&lt;=0,0,H365/F365)</f>
        <v>0</v>
      </c>
      <c r="H365" s="1136">
        <f>+H363</f>
        <v>0</v>
      </c>
      <c r="I365" s="1238">
        <f>+I363</f>
        <v>0</v>
      </c>
      <c r="J365" s="1239">
        <f>IF(I365&lt;=0,0,K365/I365)</f>
        <v>0</v>
      </c>
      <c r="K365" s="1136">
        <f>+K363</f>
        <v>0</v>
      </c>
      <c r="L365" s="1238">
        <f>+L363</f>
        <v>0</v>
      </c>
      <c r="M365" s="1239">
        <f>IF(L365&lt;=0,0,N365/L365)</f>
        <v>0</v>
      </c>
      <c r="N365" s="1136">
        <f>+N363</f>
        <v>0</v>
      </c>
      <c r="O365" s="1238">
        <f>+O363</f>
        <v>0</v>
      </c>
      <c r="P365" s="1239">
        <f>IF(O365&lt;=0,0,Q365/O365)</f>
        <v>0</v>
      </c>
      <c r="Q365" s="1136">
        <f>+Q363</f>
        <v>0</v>
      </c>
      <c r="R365" s="1238">
        <f>+R363</f>
        <v>0</v>
      </c>
      <c r="S365" s="1239">
        <f>IF(R365&lt;=0,0,T365/R365)</f>
        <v>0</v>
      </c>
      <c r="T365" s="1136">
        <f>+T363</f>
        <v>0</v>
      </c>
      <c r="U365" s="1238">
        <f>+U363</f>
        <v>0</v>
      </c>
      <c r="V365" s="1239">
        <f>IF(U365&lt;=0,0,W365/U365)</f>
        <v>0</v>
      </c>
      <c r="W365" s="1136">
        <f>+W363</f>
        <v>0</v>
      </c>
      <c r="X365" s="1238">
        <f>+X363</f>
        <v>0</v>
      </c>
      <c r="Y365" s="1239">
        <f>IF(X365&lt;=0,0,Z365/X365)</f>
        <v>0</v>
      </c>
      <c r="Z365" s="1136">
        <f>+Z363</f>
        <v>0</v>
      </c>
      <c r="AA365" s="1238">
        <f>+AA363</f>
        <v>0</v>
      </c>
      <c r="AB365" s="1239">
        <f>IF(AA365&lt;=0,0,AC365/AA365)</f>
        <v>0</v>
      </c>
      <c r="AC365" s="1136">
        <f>+AC363</f>
        <v>0</v>
      </c>
      <c r="AD365" s="1238">
        <f>+AD363</f>
        <v>0</v>
      </c>
      <c r="AE365" s="1239">
        <f>IF(AD365&lt;=0,0,AF365/AD365)</f>
        <v>0</v>
      </c>
      <c r="AF365" s="1136">
        <f>+AF363</f>
        <v>0</v>
      </c>
      <c r="AG365" s="1238">
        <f>+AG363</f>
        <v>0</v>
      </c>
      <c r="AH365" s="1239">
        <f>IF(AG365&lt;=0,0,AI365/AG365)</f>
        <v>0</v>
      </c>
      <c r="AI365" s="1136">
        <f>+AI363</f>
        <v>0</v>
      </c>
      <c r="AJ365" s="1238">
        <f>+AJ363</f>
        <v>0</v>
      </c>
      <c r="AK365" s="1239">
        <f>IF(AJ365&lt;=0,0,AL365/AJ365)</f>
        <v>0</v>
      </c>
      <c r="AL365" s="1136">
        <f>+AL363</f>
        <v>0</v>
      </c>
      <c r="AM365" s="1238">
        <f>+AM363</f>
        <v>0</v>
      </c>
      <c r="AN365" s="1239">
        <f>IF(AM365&lt;=0,0,AO365/AM365)</f>
        <v>0</v>
      </c>
      <c r="AO365" s="1136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0">
        <f t="shared" ref="E368:E397" si="110">+SUM(H368,K368,N368,Q368,T368,W368,Z368,AC368,AF368,AI368,AL368,AO368)</f>
        <v>0</v>
      </c>
      <c r="F368" s="543"/>
      <c r="G368" s="596"/>
      <c r="H368" s="1101"/>
      <c r="I368" s="543"/>
      <c r="J368" s="596"/>
      <c r="K368" s="1101"/>
      <c r="L368" s="543"/>
      <c r="M368" s="596"/>
      <c r="N368" s="1101"/>
      <c r="O368" s="543"/>
      <c r="P368" s="596"/>
      <c r="Q368" s="1101"/>
      <c r="R368" s="543"/>
      <c r="S368" s="596"/>
      <c r="T368" s="1101"/>
      <c r="U368" s="543"/>
      <c r="V368" s="596"/>
      <c r="W368" s="1101"/>
      <c r="X368" s="543"/>
      <c r="Y368" s="596"/>
      <c r="Z368" s="1101"/>
      <c r="AA368" s="543"/>
      <c r="AB368" s="596"/>
      <c r="AC368" s="1101"/>
      <c r="AD368" s="543"/>
      <c r="AE368" s="596"/>
      <c r="AF368" s="1101"/>
      <c r="AG368" s="543"/>
      <c r="AH368" s="596"/>
      <c r="AI368" s="1101"/>
      <c r="AJ368" s="543"/>
      <c r="AK368" s="596"/>
      <c r="AL368" s="1101"/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0">
        <f t="shared" si="110"/>
        <v>0</v>
      </c>
      <c r="F369" s="543"/>
      <c r="G369" s="596"/>
      <c r="H369" s="1101"/>
      <c r="I369" s="543"/>
      <c r="J369" s="596"/>
      <c r="K369" s="1101"/>
      <c r="L369" s="543"/>
      <c r="M369" s="596"/>
      <c r="N369" s="1101"/>
      <c r="O369" s="543"/>
      <c r="P369" s="596"/>
      <c r="Q369" s="1101"/>
      <c r="R369" s="543"/>
      <c r="S369" s="596"/>
      <c r="T369" s="1101"/>
      <c r="U369" s="543"/>
      <c r="V369" s="596"/>
      <c r="W369" s="1101"/>
      <c r="X369" s="543"/>
      <c r="Y369" s="596"/>
      <c r="Z369" s="1101"/>
      <c r="AA369" s="543"/>
      <c r="AB369" s="596"/>
      <c r="AC369" s="1101"/>
      <c r="AD369" s="543"/>
      <c r="AE369" s="596"/>
      <c r="AF369" s="1101"/>
      <c r="AG369" s="543"/>
      <c r="AH369" s="596"/>
      <c r="AI369" s="1101"/>
      <c r="AJ369" s="543"/>
      <c r="AK369" s="596"/>
      <c r="AL369" s="1101"/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5"/>
      <c r="D370" s="1116"/>
      <c r="E370" s="1117">
        <f t="shared" si="110"/>
        <v>0</v>
      </c>
      <c r="F370" s="1115"/>
      <c r="G370" s="1116"/>
      <c r="H370" s="1118"/>
      <c r="I370" s="1115"/>
      <c r="J370" s="1116"/>
      <c r="K370" s="1118"/>
      <c r="L370" s="1115"/>
      <c r="M370" s="1116"/>
      <c r="N370" s="1118"/>
      <c r="O370" s="1115"/>
      <c r="P370" s="1116"/>
      <c r="Q370" s="1118"/>
      <c r="R370" s="1115"/>
      <c r="S370" s="1116"/>
      <c r="T370" s="1118"/>
      <c r="U370" s="1115"/>
      <c r="V370" s="1116"/>
      <c r="W370" s="1118"/>
      <c r="X370" s="1115"/>
      <c r="Y370" s="1116"/>
      <c r="Z370" s="1118"/>
      <c r="AA370" s="1115"/>
      <c r="AB370" s="1116"/>
      <c r="AC370" s="1118"/>
      <c r="AD370" s="1115"/>
      <c r="AE370" s="1116"/>
      <c r="AF370" s="1118"/>
      <c r="AG370" s="1115"/>
      <c r="AH370" s="1116"/>
      <c r="AI370" s="1118"/>
      <c r="AJ370" s="1115"/>
      <c r="AK370" s="1116"/>
      <c r="AL370" s="1118"/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0">
        <f t="shared" si="110"/>
        <v>0</v>
      </c>
      <c r="F371" s="543"/>
      <c r="G371" s="596"/>
      <c r="H371" s="1101"/>
      <c r="I371" s="543"/>
      <c r="J371" s="596"/>
      <c r="K371" s="1101"/>
      <c r="L371" s="543"/>
      <c r="M371" s="596"/>
      <c r="N371" s="1101"/>
      <c r="O371" s="543"/>
      <c r="P371" s="596"/>
      <c r="Q371" s="1101"/>
      <c r="R371" s="543"/>
      <c r="S371" s="596"/>
      <c r="T371" s="1101"/>
      <c r="U371" s="543"/>
      <c r="V371" s="596"/>
      <c r="W371" s="1101"/>
      <c r="X371" s="543"/>
      <c r="Y371" s="596"/>
      <c r="Z371" s="1101"/>
      <c r="AA371" s="543"/>
      <c r="AB371" s="596"/>
      <c r="AC371" s="1101"/>
      <c r="AD371" s="543"/>
      <c r="AE371" s="596"/>
      <c r="AF371" s="1101"/>
      <c r="AG371" s="543"/>
      <c r="AH371" s="596"/>
      <c r="AI371" s="1101"/>
      <c r="AJ371" s="543"/>
      <c r="AK371" s="596"/>
      <c r="AL371" s="1101"/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0">
        <f t="shared" si="110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/>
      <c r="AG372" s="543"/>
      <c r="AH372" s="596"/>
      <c r="AI372" s="1101"/>
      <c r="AJ372" s="543"/>
      <c r="AK372" s="596"/>
      <c r="AL372" s="1101"/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0">
        <f t="shared" si="110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/>
      <c r="AG373" s="543"/>
      <c r="AH373" s="596"/>
      <c r="AI373" s="1101"/>
      <c r="AJ373" s="543"/>
      <c r="AK373" s="596"/>
      <c r="AL373" s="1101"/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0">
        <f t="shared" si="110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/>
      <c r="AG374" s="543"/>
      <c r="AH374" s="596"/>
      <c r="AI374" s="1101"/>
      <c r="AJ374" s="543"/>
      <c r="AK374" s="596"/>
      <c r="AL374" s="1101"/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0">
        <f t="shared" si="110"/>
        <v>0</v>
      </c>
      <c r="F375" s="543"/>
      <c r="G375" s="596"/>
      <c r="H375" s="1101"/>
      <c r="I375" s="543"/>
      <c r="J375" s="596"/>
      <c r="K375" s="1101"/>
      <c r="L375" s="543"/>
      <c r="M375" s="596"/>
      <c r="N375" s="1101"/>
      <c r="O375" s="543"/>
      <c r="P375" s="596"/>
      <c r="Q375" s="1101"/>
      <c r="R375" s="543"/>
      <c r="S375" s="596"/>
      <c r="T375" s="1101"/>
      <c r="U375" s="543"/>
      <c r="V375" s="596"/>
      <c r="W375" s="1101"/>
      <c r="X375" s="543"/>
      <c r="Y375" s="596"/>
      <c r="Z375" s="1101"/>
      <c r="AA375" s="543"/>
      <c r="AB375" s="596"/>
      <c r="AC375" s="1101"/>
      <c r="AD375" s="543"/>
      <c r="AE375" s="596"/>
      <c r="AF375" s="1101"/>
      <c r="AG375" s="543"/>
      <c r="AH375" s="596"/>
      <c r="AI375" s="1101"/>
      <c r="AJ375" s="543"/>
      <c r="AK375" s="596"/>
      <c r="AL375" s="1101"/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5"/>
      <c r="D376" s="1116"/>
      <c r="E376" s="1117">
        <f t="shared" si="110"/>
        <v>0</v>
      </c>
      <c r="F376" s="1115"/>
      <c r="G376" s="1116"/>
      <c r="H376" s="1118"/>
      <c r="I376" s="1115"/>
      <c r="J376" s="1116"/>
      <c r="K376" s="1118"/>
      <c r="L376" s="1115"/>
      <c r="M376" s="1116"/>
      <c r="N376" s="1118"/>
      <c r="O376" s="1115"/>
      <c r="P376" s="1116"/>
      <c r="Q376" s="1118"/>
      <c r="R376" s="1115"/>
      <c r="S376" s="1116"/>
      <c r="T376" s="1118"/>
      <c r="U376" s="1115"/>
      <c r="V376" s="1116"/>
      <c r="W376" s="1118"/>
      <c r="X376" s="1115"/>
      <c r="Y376" s="1116"/>
      <c r="Z376" s="1118"/>
      <c r="AA376" s="1115"/>
      <c r="AB376" s="1116"/>
      <c r="AC376" s="1118"/>
      <c r="AD376" s="1115"/>
      <c r="AE376" s="1116"/>
      <c r="AF376" s="1118"/>
      <c r="AG376" s="1115"/>
      <c r="AH376" s="1116"/>
      <c r="AI376" s="1118"/>
      <c r="AJ376" s="1115"/>
      <c r="AK376" s="1116"/>
      <c r="AL376" s="1118"/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0">
        <f t="shared" si="110"/>
        <v>0</v>
      </c>
      <c r="F377" s="543"/>
      <c r="G377" s="596"/>
      <c r="H377" s="1101"/>
      <c r="I377" s="543"/>
      <c r="J377" s="596"/>
      <c r="K377" s="1101"/>
      <c r="L377" s="543"/>
      <c r="M377" s="596"/>
      <c r="N377" s="1101"/>
      <c r="O377" s="543"/>
      <c r="P377" s="596"/>
      <c r="Q377" s="1101"/>
      <c r="R377" s="543"/>
      <c r="S377" s="596"/>
      <c r="T377" s="1101"/>
      <c r="U377" s="543"/>
      <c r="V377" s="596"/>
      <c r="W377" s="1101"/>
      <c r="X377" s="543"/>
      <c r="Y377" s="596"/>
      <c r="Z377" s="1101"/>
      <c r="AA377" s="543"/>
      <c r="AB377" s="596"/>
      <c r="AC377" s="1101"/>
      <c r="AD377" s="543"/>
      <c r="AE377" s="596"/>
      <c r="AF377" s="1101"/>
      <c r="AG377" s="543"/>
      <c r="AH377" s="596"/>
      <c r="AI377" s="1101"/>
      <c r="AJ377" s="543"/>
      <c r="AK377" s="596"/>
      <c r="AL377" s="1101"/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0">
        <f t="shared" si="110"/>
        <v>0</v>
      </c>
      <c r="F378" s="543"/>
      <c r="G378" s="596"/>
      <c r="H378" s="1101"/>
      <c r="I378" s="543"/>
      <c r="J378" s="596"/>
      <c r="K378" s="1101"/>
      <c r="L378" s="543"/>
      <c r="M378" s="596"/>
      <c r="N378" s="1101"/>
      <c r="O378" s="543"/>
      <c r="P378" s="596"/>
      <c r="Q378" s="1101"/>
      <c r="R378" s="543"/>
      <c r="S378" s="596"/>
      <c r="T378" s="1101"/>
      <c r="U378" s="543"/>
      <c r="V378" s="596"/>
      <c r="W378" s="1101"/>
      <c r="X378" s="543"/>
      <c r="Y378" s="596"/>
      <c r="Z378" s="1101"/>
      <c r="AA378" s="543"/>
      <c r="AB378" s="596"/>
      <c r="AC378" s="1101"/>
      <c r="AD378" s="543"/>
      <c r="AE378" s="596"/>
      <c r="AF378" s="1101"/>
      <c r="AG378" s="543"/>
      <c r="AH378" s="596"/>
      <c r="AI378" s="1101"/>
      <c r="AJ378" s="543"/>
      <c r="AK378" s="596"/>
      <c r="AL378" s="1101"/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0"/>
      <c r="E379" s="1103">
        <f t="shared" si="110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/>
      <c r="AE379" s="1120"/>
      <c r="AF379" s="1103"/>
      <c r="AG379" s="601"/>
      <c r="AH379" s="1120"/>
      <c r="AI379" s="1103"/>
      <c r="AJ379" s="601"/>
      <c r="AK379" s="1120"/>
      <c r="AL379" s="1103"/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07" t="s">
        <v>108</v>
      </c>
      <c r="G380" s="1108">
        <f>IFERROR(H380/H$363,0)</f>
        <v>0</v>
      </c>
      <c r="H380" s="1109">
        <f>+SUM(H368:H379)</f>
        <v>0</v>
      </c>
      <c r="I380" s="1107" t="s">
        <v>108</v>
      </c>
      <c r="J380" s="1108">
        <f>IFERROR(K380/K$363,0)</f>
        <v>0</v>
      </c>
      <c r="K380" s="1109">
        <f>+SUM(K368:K379)</f>
        <v>0</v>
      </c>
      <c r="L380" s="1107" t="s">
        <v>108</v>
      </c>
      <c r="M380" s="1108">
        <f>IFERROR(N380/N$363,0)</f>
        <v>0</v>
      </c>
      <c r="N380" s="1109">
        <f>+SUM(N368:N379)</f>
        <v>0</v>
      </c>
      <c r="O380" s="1107" t="s">
        <v>108</v>
      </c>
      <c r="P380" s="1108">
        <f>IFERROR(Q380/Q$363,0)</f>
        <v>0</v>
      </c>
      <c r="Q380" s="1109">
        <f>+SUM(Q368:Q379)</f>
        <v>0</v>
      </c>
      <c r="R380" s="1107" t="s">
        <v>108</v>
      </c>
      <c r="S380" s="1108">
        <f>IFERROR(T380/T$363,0)</f>
        <v>0</v>
      </c>
      <c r="T380" s="1109">
        <f>+SUM(T368:T379)</f>
        <v>0</v>
      </c>
      <c r="U380" s="1107" t="s">
        <v>108</v>
      </c>
      <c r="V380" s="1108">
        <f>IFERROR(W380/W$363,0)</f>
        <v>0</v>
      </c>
      <c r="W380" s="1109">
        <f>+SUM(W368:W379)</f>
        <v>0</v>
      </c>
      <c r="X380" s="1107" t="s">
        <v>108</v>
      </c>
      <c r="Y380" s="1108">
        <f>IFERROR(Z380/Z$363,0)</f>
        <v>0</v>
      </c>
      <c r="Z380" s="1109">
        <f>+SUM(Z368:Z379)</f>
        <v>0</v>
      </c>
      <c r="AA380" s="1107" t="s">
        <v>108</v>
      </c>
      <c r="AB380" s="1108">
        <f>IFERROR(AC380/AC$363,0)</f>
        <v>0</v>
      </c>
      <c r="AC380" s="1109">
        <f>+SUM(AC368:AC379)</f>
        <v>0</v>
      </c>
      <c r="AD380" s="1107" t="s">
        <v>108</v>
      </c>
      <c r="AE380" s="1108">
        <f>IFERROR(AF380/AF$363,0)</f>
        <v>0</v>
      </c>
      <c r="AF380" s="1109">
        <f>+SUM(AF368:AF379)</f>
        <v>0</v>
      </c>
      <c r="AG380" s="1107" t="s">
        <v>108</v>
      </c>
      <c r="AH380" s="1108">
        <f>IFERROR(AI380/AI$363,0)</f>
        <v>0</v>
      </c>
      <c r="AI380" s="1109">
        <f>+SUM(AI368:AI379)</f>
        <v>0</v>
      </c>
      <c r="AJ380" s="1107" t="s">
        <v>108</v>
      </c>
      <c r="AK380" s="1108">
        <f>IFERROR(AL380/AL$363,0)</f>
        <v>0</v>
      </c>
      <c r="AL380" s="1109">
        <f>+SUM(AL368:AL379)</f>
        <v>0</v>
      </c>
      <c r="AM380" s="1107" t="s">
        <v>108</v>
      </c>
      <c r="AN380" s="1108">
        <f>IFERROR(AO380/AO$363,0)</f>
        <v>0</v>
      </c>
      <c r="AO380" s="1109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1" t="s">
        <v>118</v>
      </c>
      <c r="C381" s="543"/>
      <c r="D381" s="596"/>
      <c r="E381" s="1080">
        <f t="shared" si="110"/>
        <v>0</v>
      </c>
      <c r="F381" s="543"/>
      <c r="G381" s="596"/>
      <c r="H381" s="1101"/>
      <c r="I381" s="543"/>
      <c r="J381" s="596"/>
      <c r="K381" s="1101"/>
      <c r="L381" s="543"/>
      <c r="M381" s="596"/>
      <c r="N381" s="1101"/>
      <c r="O381" s="543"/>
      <c r="P381" s="596"/>
      <c r="Q381" s="1101"/>
      <c r="R381" s="543"/>
      <c r="S381" s="596"/>
      <c r="T381" s="1101"/>
      <c r="U381" s="543"/>
      <c r="V381" s="596"/>
      <c r="W381" s="1101"/>
      <c r="X381" s="543"/>
      <c r="Y381" s="596"/>
      <c r="Z381" s="1101"/>
      <c r="AA381" s="543"/>
      <c r="AB381" s="596"/>
      <c r="AC381" s="1101"/>
      <c r="AD381" s="543"/>
      <c r="AE381" s="596"/>
      <c r="AF381" s="1101"/>
      <c r="AG381" s="543"/>
      <c r="AH381" s="596"/>
      <c r="AI381" s="1101"/>
      <c r="AJ381" s="543"/>
      <c r="AK381" s="596"/>
      <c r="AL381" s="1101"/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0">
        <f t="shared" si="110"/>
        <v>0</v>
      </c>
      <c r="F382" s="543"/>
      <c r="G382" s="596"/>
      <c r="H382" s="1101"/>
      <c r="I382" s="543"/>
      <c r="J382" s="596"/>
      <c r="K382" s="1101"/>
      <c r="L382" s="543"/>
      <c r="M382" s="596"/>
      <c r="N382" s="1101"/>
      <c r="O382" s="543"/>
      <c r="P382" s="596"/>
      <c r="Q382" s="1101"/>
      <c r="R382" s="543"/>
      <c r="S382" s="596"/>
      <c r="T382" s="1101"/>
      <c r="U382" s="543"/>
      <c r="V382" s="596"/>
      <c r="W382" s="1101"/>
      <c r="X382" s="543"/>
      <c r="Y382" s="596"/>
      <c r="Z382" s="1101"/>
      <c r="AA382" s="543"/>
      <c r="AB382" s="596"/>
      <c r="AC382" s="1101"/>
      <c r="AD382" s="543"/>
      <c r="AE382" s="596"/>
      <c r="AF382" s="1101"/>
      <c r="AG382" s="543"/>
      <c r="AH382" s="596"/>
      <c r="AI382" s="1101"/>
      <c r="AJ382" s="543"/>
      <c r="AK382" s="596"/>
      <c r="AL382" s="1101"/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0"/>
      <c r="E383" s="1103">
        <f t="shared" si="110"/>
        <v>0</v>
      </c>
      <c r="F383" s="601"/>
      <c r="G383" s="1120"/>
      <c r="H383" s="1105"/>
      <c r="I383" s="601"/>
      <c r="J383" s="1120"/>
      <c r="K383" s="1105"/>
      <c r="L383" s="601"/>
      <c r="M383" s="1120"/>
      <c r="N383" s="1105"/>
      <c r="O383" s="601"/>
      <c r="P383" s="1120"/>
      <c r="Q383" s="1105"/>
      <c r="R383" s="601"/>
      <c r="S383" s="1120"/>
      <c r="T383" s="1105"/>
      <c r="U383" s="601"/>
      <c r="V383" s="1120"/>
      <c r="W383" s="1105"/>
      <c r="X383" s="601"/>
      <c r="Y383" s="1120"/>
      <c r="Z383" s="1105"/>
      <c r="AA383" s="601"/>
      <c r="AB383" s="1120"/>
      <c r="AC383" s="1105"/>
      <c r="AD383" s="601"/>
      <c r="AE383" s="1120"/>
      <c r="AF383" s="1105"/>
      <c r="AG383" s="601"/>
      <c r="AH383" s="1120"/>
      <c r="AI383" s="1105"/>
      <c r="AJ383" s="601"/>
      <c r="AK383" s="1120"/>
      <c r="AL383" s="1105"/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0">
        <f t="shared" si="110"/>
        <v>0</v>
      </c>
      <c r="F384" s="543"/>
      <c r="G384" s="596"/>
      <c r="H384" s="1101"/>
      <c r="I384" s="543"/>
      <c r="J384" s="596"/>
      <c r="K384" s="1101"/>
      <c r="L384" s="543"/>
      <c r="M384" s="596"/>
      <c r="N384" s="1101"/>
      <c r="O384" s="543"/>
      <c r="P384" s="596"/>
      <c r="Q384" s="1101"/>
      <c r="R384" s="543"/>
      <c r="S384" s="596"/>
      <c r="T384" s="1101"/>
      <c r="U384" s="543"/>
      <c r="V384" s="596"/>
      <c r="W384" s="1101"/>
      <c r="X384" s="543"/>
      <c r="Y384" s="596"/>
      <c r="Z384" s="1101"/>
      <c r="AA384" s="543"/>
      <c r="AB384" s="596"/>
      <c r="AC384" s="1101"/>
      <c r="AD384" s="543"/>
      <c r="AE384" s="596"/>
      <c r="AF384" s="1101"/>
      <c r="AG384" s="543"/>
      <c r="AH384" s="596"/>
      <c r="AI384" s="1101"/>
      <c r="AJ384" s="543"/>
      <c r="AK384" s="596"/>
      <c r="AL384" s="1101"/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0">
        <f t="shared" si="110"/>
        <v>0</v>
      </c>
      <c r="F385" s="543"/>
      <c r="G385" s="596"/>
      <c r="H385" s="1101"/>
      <c r="I385" s="543"/>
      <c r="J385" s="596"/>
      <c r="K385" s="1101"/>
      <c r="L385" s="543"/>
      <c r="M385" s="596"/>
      <c r="N385" s="1101"/>
      <c r="O385" s="543"/>
      <c r="P385" s="596"/>
      <c r="Q385" s="1101"/>
      <c r="R385" s="543"/>
      <c r="S385" s="596"/>
      <c r="T385" s="1101"/>
      <c r="U385" s="543"/>
      <c r="V385" s="596"/>
      <c r="W385" s="1101"/>
      <c r="X385" s="543"/>
      <c r="Y385" s="596"/>
      <c r="Z385" s="1101"/>
      <c r="AA385" s="543"/>
      <c r="AB385" s="596"/>
      <c r="AC385" s="1101"/>
      <c r="AD385" s="543"/>
      <c r="AE385" s="596"/>
      <c r="AF385" s="1101"/>
      <c r="AG385" s="543"/>
      <c r="AH385" s="596"/>
      <c r="AI385" s="1101"/>
      <c r="AJ385" s="543"/>
      <c r="AK385" s="596"/>
      <c r="AL385" s="1101"/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0"/>
      <c r="E386" s="1103">
        <f t="shared" si="110"/>
        <v>0</v>
      </c>
      <c r="F386" s="601"/>
      <c r="G386" s="1120"/>
      <c r="H386" s="1105"/>
      <c r="I386" s="601"/>
      <c r="J386" s="1120"/>
      <c r="K386" s="1105"/>
      <c r="L386" s="601"/>
      <c r="M386" s="1120"/>
      <c r="N386" s="1105"/>
      <c r="O386" s="601"/>
      <c r="P386" s="1120"/>
      <c r="Q386" s="1105"/>
      <c r="R386" s="601"/>
      <c r="S386" s="1120"/>
      <c r="T386" s="1105"/>
      <c r="U386" s="601"/>
      <c r="V386" s="1120"/>
      <c r="W386" s="1105"/>
      <c r="X386" s="601"/>
      <c r="Y386" s="1120"/>
      <c r="Z386" s="1105"/>
      <c r="AA386" s="601"/>
      <c r="AB386" s="1120"/>
      <c r="AC386" s="1105"/>
      <c r="AD386" s="601"/>
      <c r="AE386" s="1120"/>
      <c r="AF386" s="1105"/>
      <c r="AG386" s="601"/>
      <c r="AH386" s="1120"/>
      <c r="AI386" s="1105"/>
      <c r="AJ386" s="601"/>
      <c r="AK386" s="1120"/>
      <c r="AL386" s="1105"/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3" t="s">
        <v>124</v>
      </c>
      <c r="C387" s="543"/>
      <c r="D387" s="596"/>
      <c r="E387" s="1080">
        <f t="shared" si="110"/>
        <v>0</v>
      </c>
      <c r="F387" s="543"/>
      <c r="G387" s="596"/>
      <c r="H387" s="1101"/>
      <c r="I387" s="543"/>
      <c r="J387" s="596"/>
      <c r="K387" s="1101"/>
      <c r="L387" s="543"/>
      <c r="M387" s="596"/>
      <c r="N387" s="1101"/>
      <c r="O387" s="543"/>
      <c r="P387" s="596"/>
      <c r="Q387" s="1101"/>
      <c r="R387" s="543"/>
      <c r="S387" s="596"/>
      <c r="T387" s="1101"/>
      <c r="U387" s="543"/>
      <c r="V387" s="596"/>
      <c r="W387" s="1101"/>
      <c r="X387" s="543"/>
      <c r="Y387" s="596"/>
      <c r="Z387" s="1101"/>
      <c r="AA387" s="543"/>
      <c r="AB387" s="596"/>
      <c r="AC387" s="1101"/>
      <c r="AD387" s="543"/>
      <c r="AE387" s="596"/>
      <c r="AF387" s="1101"/>
      <c r="AG387" s="543"/>
      <c r="AH387" s="596"/>
      <c r="AI387" s="1101"/>
      <c r="AJ387" s="543"/>
      <c r="AK387" s="596"/>
      <c r="AL387" s="1101"/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0">
        <f t="shared" si="110"/>
        <v>0</v>
      </c>
      <c r="F388" s="543"/>
      <c r="G388" s="596"/>
      <c r="H388" s="1101"/>
      <c r="I388" s="543"/>
      <c r="J388" s="596"/>
      <c r="K388" s="1101"/>
      <c r="L388" s="543"/>
      <c r="M388" s="596"/>
      <c r="N388" s="1101"/>
      <c r="O388" s="543"/>
      <c r="P388" s="596"/>
      <c r="Q388" s="1101"/>
      <c r="R388" s="543"/>
      <c r="S388" s="596"/>
      <c r="T388" s="1101"/>
      <c r="U388" s="543"/>
      <c r="V388" s="596"/>
      <c r="W388" s="1101"/>
      <c r="X388" s="543"/>
      <c r="Y388" s="596"/>
      <c r="Z388" s="1101"/>
      <c r="AA388" s="543"/>
      <c r="AB388" s="596"/>
      <c r="AC388" s="1101"/>
      <c r="AD388" s="543"/>
      <c r="AE388" s="596"/>
      <c r="AF388" s="1101"/>
      <c r="AG388" s="543"/>
      <c r="AH388" s="596"/>
      <c r="AI388" s="1101"/>
      <c r="AJ388" s="543"/>
      <c r="AK388" s="596"/>
      <c r="AL388" s="1101"/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0">
        <f t="shared" si="110"/>
        <v>0</v>
      </c>
      <c r="F389" s="543"/>
      <c r="G389" s="596"/>
      <c r="H389" s="1101"/>
      <c r="I389" s="543"/>
      <c r="J389" s="596"/>
      <c r="K389" s="1101"/>
      <c r="L389" s="543"/>
      <c r="M389" s="596"/>
      <c r="N389" s="1101"/>
      <c r="O389" s="543"/>
      <c r="P389" s="596"/>
      <c r="Q389" s="1101"/>
      <c r="R389" s="543"/>
      <c r="S389" s="596"/>
      <c r="T389" s="1101"/>
      <c r="U389" s="543"/>
      <c r="V389" s="596"/>
      <c r="W389" s="1101"/>
      <c r="X389" s="543"/>
      <c r="Y389" s="596"/>
      <c r="Z389" s="1101"/>
      <c r="AA389" s="543"/>
      <c r="AB389" s="596"/>
      <c r="AC389" s="1101"/>
      <c r="AD389" s="543"/>
      <c r="AE389" s="596"/>
      <c r="AF389" s="1101"/>
      <c r="AG389" s="543"/>
      <c r="AH389" s="596"/>
      <c r="AI389" s="1101"/>
      <c r="AJ389" s="543"/>
      <c r="AK389" s="596"/>
      <c r="AL389" s="1101"/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0">
        <f t="shared" si="110"/>
        <v>0</v>
      </c>
      <c r="F390" s="543"/>
      <c r="G390" s="596"/>
      <c r="H390" s="1101"/>
      <c r="I390" s="543"/>
      <c r="J390" s="596"/>
      <c r="K390" s="1101"/>
      <c r="L390" s="543"/>
      <c r="M390" s="596"/>
      <c r="N390" s="1101"/>
      <c r="O390" s="543"/>
      <c r="P390" s="596"/>
      <c r="Q390" s="1101"/>
      <c r="R390" s="543"/>
      <c r="S390" s="596"/>
      <c r="T390" s="1101"/>
      <c r="U390" s="543"/>
      <c r="V390" s="596"/>
      <c r="W390" s="1101"/>
      <c r="X390" s="543"/>
      <c r="Y390" s="596"/>
      <c r="Z390" s="1101"/>
      <c r="AA390" s="543"/>
      <c r="AB390" s="596"/>
      <c r="AC390" s="1101"/>
      <c r="AD390" s="543"/>
      <c r="AE390" s="596"/>
      <c r="AF390" s="1101"/>
      <c r="AG390" s="543"/>
      <c r="AH390" s="596"/>
      <c r="AI390" s="1101"/>
      <c r="AJ390" s="543"/>
      <c r="AK390" s="596"/>
      <c r="AL390" s="1101"/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0">
        <f t="shared" si="110"/>
        <v>0</v>
      </c>
      <c r="F391" s="543"/>
      <c r="G391" s="596"/>
      <c r="H391" s="1101"/>
      <c r="I391" s="543"/>
      <c r="J391" s="596"/>
      <c r="K391" s="1101"/>
      <c r="L391" s="543"/>
      <c r="M391" s="596"/>
      <c r="N391" s="1101"/>
      <c r="O391" s="543"/>
      <c r="P391" s="596"/>
      <c r="Q391" s="1101"/>
      <c r="R391" s="543"/>
      <c r="S391" s="596"/>
      <c r="T391" s="1101"/>
      <c r="U391" s="543"/>
      <c r="V391" s="596"/>
      <c r="W391" s="1101"/>
      <c r="X391" s="543"/>
      <c r="Y391" s="596"/>
      <c r="Z391" s="1101"/>
      <c r="AA391" s="543"/>
      <c r="AB391" s="596"/>
      <c r="AC391" s="1101"/>
      <c r="AD391" s="543"/>
      <c r="AE391" s="596"/>
      <c r="AF391" s="1101"/>
      <c r="AG391" s="543"/>
      <c r="AH391" s="596"/>
      <c r="AI391" s="1101"/>
      <c r="AJ391" s="543"/>
      <c r="AK391" s="596"/>
      <c r="AL391" s="1101"/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0">
        <f t="shared" si="110"/>
        <v>0</v>
      </c>
      <c r="F392" s="543"/>
      <c r="G392" s="596"/>
      <c r="H392" s="1101"/>
      <c r="I392" s="543"/>
      <c r="J392" s="596"/>
      <c r="K392" s="1101"/>
      <c r="L392" s="543"/>
      <c r="M392" s="596"/>
      <c r="N392" s="1101"/>
      <c r="O392" s="543"/>
      <c r="P392" s="596"/>
      <c r="Q392" s="1101"/>
      <c r="R392" s="543"/>
      <c r="S392" s="596"/>
      <c r="T392" s="1101"/>
      <c r="U392" s="543"/>
      <c r="V392" s="596"/>
      <c r="W392" s="1101"/>
      <c r="X392" s="543"/>
      <c r="Y392" s="596"/>
      <c r="Z392" s="1101"/>
      <c r="AA392" s="543"/>
      <c r="AB392" s="596"/>
      <c r="AC392" s="1101"/>
      <c r="AD392" s="543"/>
      <c r="AE392" s="596"/>
      <c r="AF392" s="1101"/>
      <c r="AG392" s="543"/>
      <c r="AH392" s="596"/>
      <c r="AI392" s="1101"/>
      <c r="AJ392" s="543"/>
      <c r="AK392" s="596"/>
      <c r="AL392" s="1101"/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0">
        <f t="shared" si="110"/>
        <v>0</v>
      </c>
      <c r="F393" s="543"/>
      <c r="G393" s="596"/>
      <c r="H393" s="1101"/>
      <c r="I393" s="543"/>
      <c r="J393" s="596"/>
      <c r="K393" s="1101"/>
      <c r="L393" s="543"/>
      <c r="M393" s="596"/>
      <c r="N393" s="1101"/>
      <c r="O393" s="543"/>
      <c r="P393" s="596"/>
      <c r="Q393" s="1101"/>
      <c r="R393" s="543"/>
      <c r="S393" s="596"/>
      <c r="T393" s="1101"/>
      <c r="U393" s="543"/>
      <c r="V393" s="596"/>
      <c r="W393" s="1101"/>
      <c r="X393" s="543"/>
      <c r="Y393" s="596"/>
      <c r="Z393" s="1101"/>
      <c r="AA393" s="543"/>
      <c r="AB393" s="596"/>
      <c r="AC393" s="1101"/>
      <c r="AD393" s="543"/>
      <c r="AE393" s="596"/>
      <c r="AF393" s="1101"/>
      <c r="AG393" s="543"/>
      <c r="AH393" s="596"/>
      <c r="AI393" s="1101"/>
      <c r="AJ393" s="543"/>
      <c r="AK393" s="596"/>
      <c r="AL393" s="1101"/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0">
        <f t="shared" si="110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/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0">
        <f t="shared" si="110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0">
        <f t="shared" si="110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0"/>
      <c r="E397" s="1080">
        <f t="shared" si="110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07" t="s">
        <v>108</v>
      </c>
      <c r="G398" s="1108">
        <f>IFERROR(H398/H$363,0)</f>
        <v>0</v>
      </c>
      <c r="H398" s="1109">
        <f>+SUM(H381:H397)</f>
        <v>0</v>
      </c>
      <c r="I398" s="1107" t="s">
        <v>108</v>
      </c>
      <c r="J398" s="1108">
        <f>IFERROR(K398/K$363,0)</f>
        <v>0</v>
      </c>
      <c r="K398" s="1109">
        <f>+SUM(K381:K397)</f>
        <v>0</v>
      </c>
      <c r="L398" s="1107" t="s">
        <v>108</v>
      </c>
      <c r="M398" s="1108">
        <f>IFERROR(N398/N$363,0)</f>
        <v>0</v>
      </c>
      <c r="N398" s="1109">
        <f>+SUM(N381:N397)</f>
        <v>0</v>
      </c>
      <c r="O398" s="1107" t="s">
        <v>108</v>
      </c>
      <c r="P398" s="1108">
        <f>IFERROR(Q398/Q$363,0)</f>
        <v>0</v>
      </c>
      <c r="Q398" s="1109">
        <f>+SUM(Q381:Q397)</f>
        <v>0</v>
      </c>
      <c r="R398" s="1107" t="s">
        <v>108</v>
      </c>
      <c r="S398" s="1108">
        <f>IFERROR(T398/T$363,0)</f>
        <v>0</v>
      </c>
      <c r="T398" s="1109">
        <f>+SUM(T381:T397)</f>
        <v>0</v>
      </c>
      <c r="U398" s="1107" t="s">
        <v>108</v>
      </c>
      <c r="V398" s="1108">
        <f>IFERROR(W398/W$363,0)</f>
        <v>0</v>
      </c>
      <c r="W398" s="1109">
        <f>+SUM(W381:W397)</f>
        <v>0</v>
      </c>
      <c r="X398" s="1107" t="s">
        <v>108</v>
      </c>
      <c r="Y398" s="1108">
        <f>IFERROR(Z398/Z$363,0)</f>
        <v>0</v>
      </c>
      <c r="Z398" s="1109">
        <f>+SUM(Z381:Z397)</f>
        <v>0</v>
      </c>
      <c r="AA398" s="1107" t="s">
        <v>108</v>
      </c>
      <c r="AB398" s="1108">
        <f>IFERROR(AC398/AC$363,0)</f>
        <v>0</v>
      </c>
      <c r="AC398" s="1109">
        <f>+SUM(AC381:AC397)</f>
        <v>0</v>
      </c>
      <c r="AD398" s="1107" t="s">
        <v>108</v>
      </c>
      <c r="AE398" s="1108">
        <f>IFERROR(AF398/AF$363,0)</f>
        <v>0</v>
      </c>
      <c r="AF398" s="1109">
        <f>+SUM(AF381:AF397)</f>
        <v>0</v>
      </c>
      <c r="AG398" s="1107" t="s">
        <v>108</v>
      </c>
      <c r="AH398" s="1108">
        <f>IFERROR(AI398/AI$363,0)</f>
        <v>0</v>
      </c>
      <c r="AI398" s="1109">
        <f>+SUM(AI381:AI397)</f>
        <v>0</v>
      </c>
      <c r="AJ398" s="1107" t="s">
        <v>108</v>
      </c>
      <c r="AK398" s="1108">
        <f>IFERROR(AL398/AL$363,0)</f>
        <v>0</v>
      </c>
      <c r="AL398" s="1109">
        <f>+SUM(AL381:AL397)</f>
        <v>0</v>
      </c>
      <c r="AM398" s="1107" t="s">
        <v>108</v>
      </c>
      <c r="AN398" s="1108">
        <f>IFERROR(AO398/AO$363,0)</f>
        <v>0</v>
      </c>
      <c r="AO398" s="1109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07" t="s">
        <v>108</v>
      </c>
      <c r="G400" s="1108">
        <f>IFERROR(H400/H$363,0)</f>
        <v>0</v>
      </c>
      <c r="H400" s="1109">
        <f>H380+H398</f>
        <v>0</v>
      </c>
      <c r="I400" s="1107" t="s">
        <v>108</v>
      </c>
      <c r="J400" s="1108">
        <f>IFERROR(K400/K$363,0)</f>
        <v>0</v>
      </c>
      <c r="K400" s="1109">
        <f>K380+K398</f>
        <v>0</v>
      </c>
      <c r="L400" s="1107" t="s">
        <v>108</v>
      </c>
      <c r="M400" s="1108">
        <f>IFERROR(N400/N$363,0)</f>
        <v>0</v>
      </c>
      <c r="N400" s="1109">
        <f>N380+N398</f>
        <v>0</v>
      </c>
      <c r="O400" s="1107" t="s">
        <v>108</v>
      </c>
      <c r="P400" s="1108">
        <f>IFERROR(Q400/Q$363,0)</f>
        <v>0</v>
      </c>
      <c r="Q400" s="1109">
        <f>Q380+Q398</f>
        <v>0</v>
      </c>
      <c r="R400" s="1107" t="s">
        <v>108</v>
      </c>
      <c r="S400" s="1108">
        <f>IFERROR(T400/T$363,0)</f>
        <v>0</v>
      </c>
      <c r="T400" s="1109">
        <f>T380+T398</f>
        <v>0</v>
      </c>
      <c r="U400" s="1107" t="s">
        <v>108</v>
      </c>
      <c r="V400" s="1108">
        <f>IFERROR(W400/W$363,0)</f>
        <v>0</v>
      </c>
      <c r="W400" s="1109">
        <f>W380+W398</f>
        <v>0</v>
      </c>
      <c r="X400" s="1107" t="s">
        <v>108</v>
      </c>
      <c r="Y400" s="1108">
        <f>IFERROR(Z400/Z$363,0)</f>
        <v>0</v>
      </c>
      <c r="Z400" s="1109">
        <f>Z380+Z398</f>
        <v>0</v>
      </c>
      <c r="AA400" s="1107" t="s">
        <v>108</v>
      </c>
      <c r="AB400" s="1108">
        <f>IFERROR(AC400/AC$363,0)</f>
        <v>0</v>
      </c>
      <c r="AC400" s="1109">
        <f>AC380+AC398</f>
        <v>0</v>
      </c>
      <c r="AD400" s="1107" t="s">
        <v>108</v>
      </c>
      <c r="AE400" s="1108">
        <f>IFERROR(AF400/AF$363,0)</f>
        <v>0</v>
      </c>
      <c r="AF400" s="1109">
        <f>AF380+AF398</f>
        <v>0</v>
      </c>
      <c r="AG400" s="1107" t="s">
        <v>108</v>
      </c>
      <c r="AH400" s="1108">
        <f>IFERROR(AI400/AI$363,0)</f>
        <v>0</v>
      </c>
      <c r="AI400" s="1109">
        <f>AI380+AI398</f>
        <v>0</v>
      </c>
      <c r="AJ400" s="1107" t="s">
        <v>108</v>
      </c>
      <c r="AK400" s="1108">
        <f>IFERROR(AL400/AL$363,0)</f>
        <v>0</v>
      </c>
      <c r="AL400" s="1109">
        <f>AL380+AL398</f>
        <v>0</v>
      </c>
      <c r="AM400" s="1107" t="s">
        <v>108</v>
      </c>
      <c r="AN400" s="1108">
        <f>IFERROR(AO400/AO$363,0)</f>
        <v>0</v>
      </c>
      <c r="AO400" s="1109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3"/>
      <c r="D402" s="1244"/>
      <c r="E402" s="1245">
        <f>E365-E400</f>
        <v>0</v>
      </c>
      <c r="F402" s="1243"/>
      <c r="G402" s="1244"/>
      <c r="H402" s="1245">
        <f>H365-H400</f>
        <v>0</v>
      </c>
      <c r="I402" s="1243"/>
      <c r="J402" s="1244"/>
      <c r="K402" s="1245">
        <f>K365-K400</f>
        <v>0</v>
      </c>
      <c r="L402" s="1243"/>
      <c r="M402" s="1244"/>
      <c r="N402" s="1245">
        <f>N365-N400</f>
        <v>0</v>
      </c>
      <c r="O402" s="1243"/>
      <c r="P402" s="1244"/>
      <c r="Q402" s="1245">
        <f>Q365-Q400</f>
        <v>0</v>
      </c>
      <c r="R402" s="1243"/>
      <c r="S402" s="1244"/>
      <c r="T402" s="1245">
        <f>T365-T400</f>
        <v>0</v>
      </c>
      <c r="U402" s="1243"/>
      <c r="V402" s="1244"/>
      <c r="W402" s="1245">
        <f>W365-W400</f>
        <v>0</v>
      </c>
      <c r="X402" s="1243"/>
      <c r="Y402" s="1244"/>
      <c r="Z402" s="1245">
        <f>Z365-Z400</f>
        <v>0</v>
      </c>
      <c r="AA402" s="1243"/>
      <c r="AB402" s="1244"/>
      <c r="AC402" s="1245">
        <f>AC365-AC400</f>
        <v>0</v>
      </c>
      <c r="AD402" s="1243"/>
      <c r="AE402" s="1244"/>
      <c r="AF402" s="1245">
        <f>AF365-AF400</f>
        <v>0</v>
      </c>
      <c r="AG402" s="1243"/>
      <c r="AH402" s="1244"/>
      <c r="AI402" s="1245">
        <f>AI365-AI400</f>
        <v>0</v>
      </c>
      <c r="AJ402" s="1243"/>
      <c r="AK402" s="1244"/>
      <c r="AL402" s="1245">
        <f>AL365-AL400</f>
        <v>0</v>
      </c>
      <c r="AM402" s="1243"/>
      <c r="AN402" s="1244"/>
      <c r="AO402" s="1245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099"/>
      <c r="F404" s="596"/>
      <c r="G404" s="596"/>
      <c r="H404" s="1099"/>
      <c r="I404" s="596"/>
      <c r="J404" s="596"/>
      <c r="K404" s="1099"/>
      <c r="L404" s="596"/>
      <c r="M404" s="596"/>
      <c r="N404" s="1099"/>
      <c r="O404" s="596"/>
      <c r="P404" s="596"/>
      <c r="Q404" s="1099"/>
      <c r="R404" s="596"/>
      <c r="S404" s="596"/>
      <c r="T404" s="1099"/>
      <c r="U404" s="596"/>
      <c r="V404" s="596"/>
      <c r="W404" s="1099"/>
      <c r="X404" s="596"/>
      <c r="Y404" s="596"/>
      <c r="Z404" s="1099"/>
      <c r="AA404" s="596"/>
      <c r="AB404" s="596"/>
      <c r="AC404" s="1099"/>
      <c r="AD404" s="596"/>
      <c r="AE404" s="596"/>
      <c r="AF404" s="1099"/>
      <c r="AG404" s="596"/>
      <c r="AH404" s="596"/>
      <c r="AI404" s="1099"/>
      <c r="AJ404" s="596"/>
      <c r="AK404" s="596"/>
      <c r="AL404" s="1099"/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">
      <c r="A405" s="532"/>
      <c r="B405" s="605" t="str">
        <f>B4</f>
        <v>Budget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4"/>
      <c r="C406" s="1046"/>
      <c r="D406" s="1046"/>
      <c r="E406" s="1046"/>
      <c r="F406" s="1250"/>
      <c r="G406" s="1250"/>
      <c r="H406" s="1250"/>
      <c r="I406" s="1250"/>
      <c r="J406" s="1250"/>
      <c r="K406" s="1250"/>
      <c r="L406" s="1250"/>
      <c r="M406" s="1250"/>
      <c r="N406" s="1250"/>
      <c r="O406" s="1250"/>
      <c r="P406" s="1250"/>
      <c r="Q406" s="1250"/>
      <c r="R406" s="1250"/>
      <c r="S406" s="1250"/>
      <c r="T406" s="1250"/>
      <c r="U406" s="1250"/>
      <c r="V406" s="1250"/>
      <c r="W406" s="1250"/>
      <c r="X406" s="1250"/>
      <c r="Y406" s="1250"/>
      <c r="Z406" s="1250"/>
      <c r="AA406" s="1250"/>
      <c r="AB406" s="1250"/>
      <c r="AC406" s="1250"/>
      <c r="AD406" s="1250"/>
      <c r="AE406" s="1250"/>
      <c r="AF406" s="1250"/>
      <c r="AG406" s="1250"/>
      <c r="AH406" s="1250"/>
      <c r="AI406" s="1250"/>
      <c r="AJ406" s="1250"/>
      <c r="AK406" s="1250"/>
      <c r="AL406" s="1250"/>
      <c r="AM406" s="1250"/>
      <c r="AN406" s="1250"/>
      <c r="AO406" s="1250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3" t="s">
        <v>2999</v>
      </c>
      <c r="D407" s="1254"/>
      <c r="E407" s="1255"/>
      <c r="F407" s="1375" t="s">
        <v>294</v>
      </c>
      <c r="G407" s="1050"/>
      <c r="H407" s="1376"/>
      <c r="I407" s="1050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1049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">
      <c r="A408" s="532"/>
      <c r="B408" s="617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8" t="s">
        <v>189</v>
      </c>
      <c r="J408" s="1258" t="s">
        <v>190</v>
      </c>
      <c r="K408" s="1377" t="s">
        <v>191</v>
      </c>
      <c r="L408" s="1378" t="s">
        <v>189</v>
      </c>
      <c r="M408" s="1258" t="s">
        <v>190</v>
      </c>
      <c r="N408" s="1377" t="s">
        <v>191</v>
      </c>
      <c r="O408" s="1378" t="s">
        <v>189</v>
      </c>
      <c r="P408" s="1258" t="s">
        <v>190</v>
      </c>
      <c r="Q408" s="1377" t="s">
        <v>191</v>
      </c>
      <c r="R408" s="1378" t="s">
        <v>189</v>
      </c>
      <c r="S408" s="1258" t="s">
        <v>190</v>
      </c>
      <c r="T408" s="1377" t="s">
        <v>191</v>
      </c>
      <c r="U408" s="1378" t="s">
        <v>189</v>
      </c>
      <c r="V408" s="1258" t="s">
        <v>190</v>
      </c>
      <c r="W408" s="1377" t="s">
        <v>191</v>
      </c>
      <c r="X408" s="1378" t="s">
        <v>189</v>
      </c>
      <c r="Y408" s="1258" t="s">
        <v>190</v>
      </c>
      <c r="Z408" s="1377" t="s">
        <v>191</v>
      </c>
      <c r="AA408" s="1378" t="s">
        <v>189</v>
      </c>
      <c r="AB408" s="1258" t="s">
        <v>190</v>
      </c>
      <c r="AC408" s="1377" t="s">
        <v>191</v>
      </c>
      <c r="AD408" s="1378" t="s">
        <v>189</v>
      </c>
      <c r="AE408" s="1258" t="s">
        <v>190</v>
      </c>
      <c r="AF408" s="1377" t="s">
        <v>191</v>
      </c>
      <c r="AG408" s="1378" t="s">
        <v>189</v>
      </c>
      <c r="AH408" s="1258" t="s">
        <v>190</v>
      </c>
      <c r="AI408" s="1377" t="s">
        <v>191</v>
      </c>
      <c r="AJ408" s="1378" t="s">
        <v>189</v>
      </c>
      <c r="AK408" s="1258" t="s">
        <v>190</v>
      </c>
      <c r="AL408" s="1377" t="s">
        <v>191</v>
      </c>
      <c r="AM408" s="1378" t="s">
        <v>189</v>
      </c>
      <c r="AN408" s="1258" t="s">
        <v>190</v>
      </c>
      <c r="AO408" s="1377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">
      <c r="A409" s="532" t="str">
        <f>B409</f>
        <v>Ventes nettes</v>
      </c>
      <c r="B409" s="618" t="s">
        <v>85</v>
      </c>
      <c r="C409" s="1260"/>
      <c r="D409" s="1261"/>
      <c r="E409" s="1262">
        <f>+SUM(H409,K409,N409,Q409,T409,W409,Z409,AC409,AF409,AI409,AL409,AO409)</f>
        <v>58224217.391304351</v>
      </c>
      <c r="F409" s="1260"/>
      <c r="G409" s="1261"/>
      <c r="H409" s="1262">
        <f>+F365+F317+G197+G253+H95+H8</f>
        <v>3092761.4173799735</v>
      </c>
      <c r="I409" s="1260"/>
      <c r="J409" s="1261"/>
      <c r="K409" s="1262">
        <f>+I365+I317+J197+J253+K95+K8</f>
        <v>3246193.0731216515</v>
      </c>
      <c r="L409" s="1260"/>
      <c r="M409" s="1261"/>
      <c r="N409" s="1262">
        <f>+L365+L317+M197+M253+N95+N8</f>
        <v>5011793.9977844376</v>
      </c>
      <c r="O409" s="1260"/>
      <c r="P409" s="1261"/>
      <c r="Q409" s="1262">
        <f>+O365+O317+P197+P253+Q95+Q8</f>
        <v>5932390.6174224131</v>
      </c>
      <c r="R409" s="1260"/>
      <c r="S409" s="1261"/>
      <c r="T409" s="1262">
        <f>+R365+R317+S197+S253+T95+T8</f>
        <v>6617137.7549481243</v>
      </c>
      <c r="U409" s="1260"/>
      <c r="V409" s="1261"/>
      <c r="W409" s="1262">
        <f>+U365+U317+V197+V253+W95+W8</f>
        <v>5492903.3470471911</v>
      </c>
      <c r="X409" s="1260"/>
      <c r="Y409" s="1261"/>
      <c r="Z409" s="1262">
        <f>+X365+X317+Y197+Y253+Z95+Z8</f>
        <v>4439642.332058968</v>
      </c>
      <c r="AA409" s="1260"/>
      <c r="AB409" s="1261"/>
      <c r="AC409" s="1262">
        <f>+AA365+AA317+AB197+AB253+AC95+AC8</f>
        <v>4445529.2934459886</v>
      </c>
      <c r="AD409" s="1260"/>
      <c r="AE409" s="1261"/>
      <c r="AF409" s="1262">
        <f>+AD365+AD317+AE197+AE253+AF95+AF8</f>
        <v>5279923.9577637333</v>
      </c>
      <c r="AG409" s="1260"/>
      <c r="AH409" s="1261"/>
      <c r="AI409" s="1262">
        <f>+AG365+AG317+AH197+AH253+AI95+AI8</f>
        <v>5835814.434445668</v>
      </c>
      <c r="AJ409" s="1260"/>
      <c r="AK409" s="1261"/>
      <c r="AL409" s="1262">
        <f>+AJ365+AJ317+AK197+AK253+AL95+AL8</f>
        <v>5340819.040639841</v>
      </c>
      <c r="AM409" s="1260"/>
      <c r="AN409" s="1261"/>
      <c r="AO409" s="1262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">
      <c r="A410" s="532" t="str">
        <f t="shared" ref="A410:A474" si="111">B410</f>
        <v>Profit brut</v>
      </c>
      <c r="B410" s="619" t="s">
        <v>195</v>
      </c>
      <c r="C410" s="1264"/>
      <c r="D410" s="1265"/>
      <c r="E410" s="1266">
        <f>E29+E111+E197+E253+E317+E365</f>
        <v>5979493</v>
      </c>
      <c r="F410" s="1264"/>
      <c r="G410" s="1265"/>
      <c r="H410" s="1266">
        <f>H29+H111+H197+H253+H317+H365</f>
        <v>325861.08590434218</v>
      </c>
      <c r="I410" s="1264"/>
      <c r="J410" s="1265"/>
      <c r="K410" s="1266">
        <f>K29+K111+K197+K253+K317+K365</f>
        <v>323246.95432386536</v>
      </c>
      <c r="L410" s="1264"/>
      <c r="M410" s="1265"/>
      <c r="N410" s="1266">
        <f>N29+N111+N197+N253+N317+N365</f>
        <v>484722.17086847371</v>
      </c>
      <c r="O410" s="1264"/>
      <c r="P410" s="1265"/>
      <c r="Q410" s="1266">
        <f>Q29+Q111+Q197+Q253+Q317+Q365</f>
        <v>616096.94892695127</v>
      </c>
      <c r="R410" s="1264"/>
      <c r="S410" s="1265"/>
      <c r="T410" s="1266">
        <f>T29+T111+T197+T253+T317+T365</f>
        <v>661439.51703093096</v>
      </c>
      <c r="U410" s="1264"/>
      <c r="V410" s="1265"/>
      <c r="W410" s="1266">
        <f>W29+W111+W197+W253+W317+W365</f>
        <v>538719.02711999055</v>
      </c>
      <c r="X410" s="1264"/>
      <c r="Y410" s="1265"/>
      <c r="Z410" s="1266">
        <f>Z29+Z111+Z197+Z253+Z317+Z365</f>
        <v>485200.76480110514</v>
      </c>
      <c r="AA410" s="1264"/>
      <c r="AB410" s="1265"/>
      <c r="AC410" s="1266">
        <f>AC29+AC111+AC197+AC253+AC317+AC365</f>
        <v>460346.88216392417</v>
      </c>
      <c r="AD410" s="1264"/>
      <c r="AE410" s="1265"/>
      <c r="AF410" s="1266">
        <f>AF29+AF111+AF197+AF253+AF317+AF365</f>
        <v>496853.21295836649</v>
      </c>
      <c r="AG410" s="1264"/>
      <c r="AH410" s="1265"/>
      <c r="AI410" s="1266">
        <f>AI29+AI111+AI197+AI253+AI317+AI365</f>
        <v>612403.37612388399</v>
      </c>
      <c r="AJ410" s="1264"/>
      <c r="AK410" s="1265"/>
      <c r="AL410" s="1266">
        <f>AL29+AL111+AL197+AL253+AL317+AL365</f>
        <v>605788.66055422847</v>
      </c>
      <c r="AM410" s="1264"/>
      <c r="AN410" s="1265"/>
      <c r="AO410" s="1266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">
      <c r="A411" s="532" t="str">
        <f t="shared" si="111"/>
        <v>DÉPENSES</v>
      </c>
      <c r="B411" s="620" t="s">
        <v>196</v>
      </c>
      <c r="C411" s="1271"/>
      <c r="D411" s="1272"/>
      <c r="E411" s="1273"/>
      <c r="F411" s="1271"/>
      <c r="G411" s="1272"/>
      <c r="H411" s="1273"/>
      <c r="I411" s="1271"/>
      <c r="J411" s="1272"/>
      <c r="K411" s="1273"/>
      <c r="L411" s="1271"/>
      <c r="M411" s="1272"/>
      <c r="N411" s="1273"/>
      <c r="O411" s="1271"/>
      <c r="P411" s="1272"/>
      <c r="Q411" s="1273"/>
      <c r="R411" s="1271"/>
      <c r="S411" s="1272"/>
      <c r="T411" s="1273"/>
      <c r="U411" s="1271"/>
      <c r="V411" s="1272"/>
      <c r="W411" s="1273"/>
      <c r="X411" s="1271"/>
      <c r="Y411" s="1272"/>
      <c r="Z411" s="1273"/>
      <c r="AA411" s="1271"/>
      <c r="AB411" s="1272"/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">
      <c r="A412" s="532" t="str">
        <f t="shared" si="111"/>
        <v>Comm. vendeurs</v>
      </c>
      <c r="B412" s="621" t="s">
        <v>100</v>
      </c>
      <c r="C412" s="1274">
        <f>E412/(E16+E18+E99)</f>
        <v>0.30025580063019192</v>
      </c>
      <c r="D412" s="1275">
        <f t="shared" ref="D412:D418" si="112">IF(E412=0,0,E412/(C$16+C$99))</f>
        <v>979.61962616822427</v>
      </c>
      <c r="E412" s="1273">
        <f t="shared" ref="E412:E421" si="113">+SUM(H412,K412,N412,Q412,T412,W412,Z412,AC412,AF412,AI412,AL412,AO412)</f>
        <v>524096.5</v>
      </c>
      <c r="F412" s="621"/>
      <c r="G412" s="1275">
        <f t="shared" ref="G412:G418" si="114">IF(H412=0,0,H412/(F$16+F$99))</f>
        <v>1113.2510050393073</v>
      </c>
      <c r="H412" s="1273">
        <f t="shared" ref="H412:H421" si="115">+SUMIF($B$4:$B$402,$B412,H$4:H$402)</f>
        <v>30057.777136061297</v>
      </c>
      <c r="I412" s="621"/>
      <c r="J412" s="1275">
        <f t="shared" ref="J412:J418" si="116">IF(K412=0,0,K412/(I$16+I$99))</f>
        <v>1034.1751033298367</v>
      </c>
      <c r="K412" s="1273">
        <f t="shared" ref="K412:K421" si="117">+SUMIF($B$4:$B$402,$B412,K$4:K$402)</f>
        <v>27922.727789905592</v>
      </c>
      <c r="L412" s="621"/>
      <c r="M412" s="1275">
        <f t="shared" ref="M412:M418" si="118">IF(N412=0,0,N412/(L$16+L$99))</f>
        <v>1009.8340979555818</v>
      </c>
      <c r="N412" s="1273">
        <f t="shared" ref="N412:N421" si="119">+SUMIF($B$4:$B$402,$B412,N$4:N$402)</f>
        <v>46452.368505956765</v>
      </c>
      <c r="O412" s="621"/>
      <c r="P412" s="1275">
        <f t="shared" ref="P412:P418" si="120">IF(Q412=0,0,Q412/(O$16+O$99))</f>
        <v>963.83709737420168</v>
      </c>
      <c r="Q412" s="1273">
        <f t="shared" ref="Q412:Q421" si="121">+SUMIF($B$4:$B$402,$B412,Q$4:Q$402)</f>
        <v>53011.040355581092</v>
      </c>
      <c r="R412" s="621"/>
      <c r="S412" s="1275">
        <f t="shared" ref="S412:S418" si="122">IF(T412=0,0,T412/(R$16+R$99))</f>
        <v>985.6020580572947</v>
      </c>
      <c r="T412" s="1273">
        <f t="shared" ref="T412:T421" si="123">+SUMIF($B$4:$B$402,$B412,T$4:T$402)</f>
        <v>59136.123483437681</v>
      </c>
      <c r="U412" s="621"/>
      <c r="V412" s="1275">
        <f t="shared" ref="V412:V418" si="124">IF(W412=0,0,W412/(U$16+U$99))</f>
        <v>903.28604105449415</v>
      </c>
      <c r="W412" s="1273">
        <f t="shared" ref="W412:W421" si="125">+SUMIF($B$4:$B$402,$B412,W$4:W$402)</f>
        <v>49680.732257997181</v>
      </c>
      <c r="X412" s="621"/>
      <c r="Y412" s="1275">
        <f t="shared" ref="Y412:Y418" si="126">IF(Z412=0,0,Z412/(X$16+X$99))</f>
        <v>942.10730903501758</v>
      </c>
      <c r="Z412" s="1273">
        <f t="shared" ref="Z412:Z421" si="127">+SUMIF($B$4:$B$402,$B412,Z$4:Z$402)</f>
        <v>39568.506979470738</v>
      </c>
      <c r="AA412" s="621"/>
      <c r="AB412" s="1275">
        <f t="shared" ref="AB412:AB418" si="128">IF(AC412=0,0,AC412/(AA$16+AA$99))</f>
        <v>962.85324318613436</v>
      </c>
      <c r="AC412" s="1273">
        <f t="shared" ref="AC412:AC421" si="129">+SUMIF($B$4:$B$402,$B412,AC$4:AC$402)</f>
        <v>40439.836213817645</v>
      </c>
      <c r="AD412" s="621"/>
      <c r="AE412" s="1275">
        <f t="shared" ref="AE412:AE418" si="130">IF(AF412=0,0,AF412/(AD$16+AD$99))</f>
        <v>1038.7059736966414</v>
      </c>
      <c r="AF412" s="1273">
        <f t="shared" ref="AF412:AF421" si="131">+SUMIF($B$4:$B$402,$B412,AF$4:AF$402)</f>
        <v>46741.768816348864</v>
      </c>
      <c r="AG412" s="621"/>
      <c r="AH412" s="1275">
        <f t="shared" ref="AH412:AH418" si="132">IF(AI412=0,0,AI412/(AG$16+AG$99))</f>
        <v>934.29597446776472</v>
      </c>
      <c r="AI412" s="1273">
        <f t="shared" ref="AI412:AI421" si="133">+SUMIF($B$4:$B$402,$B412,AI$4:AI$402)</f>
        <v>52320.574570194825</v>
      </c>
      <c r="AJ412" s="621"/>
      <c r="AK412" s="1275">
        <f t="shared" ref="AK412:AK418" si="134">IF(AL412=0,0,AL412/(AJ$16+AJ$99))</f>
        <v>946.01598013162823</v>
      </c>
      <c r="AL412" s="1273">
        <f t="shared" ref="AL412:AL421" si="135">+SUMIF($B$4:$B$402,$B412,AL$4:AL$402)</f>
        <v>45408.767046318157</v>
      </c>
      <c r="AM412" s="621"/>
      <c r="AN412" s="1275">
        <f t="shared" ref="AN412:AN418" si="136">IF(AO412=0,0,AO412/(AM$16+AM$99))</f>
        <v>1042.3836514034433</v>
      </c>
      <c r="AO412" s="1273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">
      <c r="A413" s="532" t="str">
        <f t="shared" si="111"/>
        <v>Comm. F&amp;I</v>
      </c>
      <c r="B413" s="618" t="s">
        <v>101</v>
      </c>
      <c r="C413" s="1276">
        <f>E413/(E26+E108)</f>
        <v>0.29046511627906979</v>
      </c>
      <c r="D413" s="1277">
        <f t="shared" si="112"/>
        <v>490.26168224299067</v>
      </c>
      <c r="E413" s="1262">
        <f t="shared" si="113"/>
        <v>262290</v>
      </c>
      <c r="F413" s="618"/>
      <c r="G413" s="1277">
        <f t="shared" si="114"/>
        <v>526.48148148148152</v>
      </c>
      <c r="H413" s="1262">
        <f t="shared" si="115"/>
        <v>14215</v>
      </c>
      <c r="I413" s="618"/>
      <c r="J413" s="1277">
        <f t="shared" si="116"/>
        <v>550.33333333333337</v>
      </c>
      <c r="K413" s="1262">
        <f t="shared" si="117"/>
        <v>14859</v>
      </c>
      <c r="L413" s="618"/>
      <c r="M413" s="1277">
        <f t="shared" si="118"/>
        <v>496.1521739130435</v>
      </c>
      <c r="N413" s="1262">
        <f t="shared" si="119"/>
        <v>22823</v>
      </c>
      <c r="O413" s="618"/>
      <c r="P413" s="1277">
        <f t="shared" si="120"/>
        <v>485.76363636363635</v>
      </c>
      <c r="Q413" s="1262">
        <f t="shared" si="121"/>
        <v>26717</v>
      </c>
      <c r="R413" s="618"/>
      <c r="S413" s="1277">
        <f t="shared" si="122"/>
        <v>484.73333333333335</v>
      </c>
      <c r="T413" s="1262">
        <f t="shared" si="123"/>
        <v>29084</v>
      </c>
      <c r="U413" s="618"/>
      <c r="V413" s="1277">
        <f t="shared" si="124"/>
        <v>466.32727272727271</v>
      </c>
      <c r="W413" s="1262">
        <f t="shared" si="125"/>
        <v>25648</v>
      </c>
      <c r="X413" s="618"/>
      <c r="Y413" s="1277">
        <f t="shared" si="126"/>
        <v>475.42857142857144</v>
      </c>
      <c r="Z413" s="1262">
        <f t="shared" si="127"/>
        <v>19968</v>
      </c>
      <c r="AA413" s="618"/>
      <c r="AB413" s="1277">
        <f t="shared" si="128"/>
        <v>479.38095238095241</v>
      </c>
      <c r="AC413" s="1262">
        <f t="shared" si="129"/>
        <v>20134</v>
      </c>
      <c r="AD413" s="618"/>
      <c r="AE413" s="1277">
        <f t="shared" si="130"/>
        <v>501.86666666666667</v>
      </c>
      <c r="AF413" s="1262">
        <f t="shared" si="131"/>
        <v>22584</v>
      </c>
      <c r="AG413" s="618"/>
      <c r="AH413" s="1277">
        <f t="shared" si="132"/>
        <v>481.35714285714283</v>
      </c>
      <c r="AI413" s="1262">
        <f t="shared" si="133"/>
        <v>26956</v>
      </c>
      <c r="AJ413" s="618"/>
      <c r="AK413" s="1277">
        <f t="shared" si="134"/>
        <v>487.16666666666669</v>
      </c>
      <c r="AL413" s="1262">
        <f t="shared" si="135"/>
        <v>23384</v>
      </c>
      <c r="AM413" s="618"/>
      <c r="AN413" s="1277">
        <f t="shared" si="136"/>
        <v>497.4375</v>
      </c>
      <c r="AO413" s="1262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">
      <c r="A414" s="532" t="str">
        <f t="shared" si="111"/>
        <v>Frais de livraison</v>
      </c>
      <c r="B414" s="621" t="s">
        <v>102</v>
      </c>
      <c r="C414" s="621"/>
      <c r="D414" s="1275">
        <f t="shared" si="112"/>
        <v>113.73831775700934</v>
      </c>
      <c r="E414" s="1273">
        <f t="shared" si="113"/>
        <v>60850</v>
      </c>
      <c r="F414" s="621"/>
      <c r="G414" s="1275">
        <f t="shared" si="114"/>
        <v>123.51851851851852</v>
      </c>
      <c r="H414" s="1273">
        <f t="shared" si="115"/>
        <v>3335</v>
      </c>
      <c r="I414" s="621"/>
      <c r="J414" s="1275">
        <f t="shared" si="116"/>
        <v>127.22222222222223</v>
      </c>
      <c r="K414" s="1273">
        <f t="shared" si="117"/>
        <v>3435</v>
      </c>
      <c r="L414" s="621"/>
      <c r="M414" s="1275">
        <f t="shared" si="118"/>
        <v>115.97826086956522</v>
      </c>
      <c r="N414" s="1273">
        <f t="shared" si="119"/>
        <v>5335</v>
      </c>
      <c r="O414" s="621"/>
      <c r="P414" s="1275">
        <f t="shared" si="120"/>
        <v>112.81818181818181</v>
      </c>
      <c r="Q414" s="1273">
        <f t="shared" si="121"/>
        <v>6205</v>
      </c>
      <c r="R414" s="621"/>
      <c r="S414" s="1275">
        <f t="shared" si="122"/>
        <v>114.33333333333333</v>
      </c>
      <c r="T414" s="1273">
        <f t="shared" si="123"/>
        <v>6860</v>
      </c>
      <c r="U414" s="621"/>
      <c r="V414" s="1275">
        <f t="shared" si="124"/>
        <v>106.18181818181819</v>
      </c>
      <c r="W414" s="1273">
        <f t="shared" si="125"/>
        <v>5840</v>
      </c>
      <c r="X414" s="621"/>
      <c r="Y414" s="1275">
        <f t="shared" si="126"/>
        <v>108.57142857142857</v>
      </c>
      <c r="Z414" s="1273">
        <f t="shared" si="127"/>
        <v>4560</v>
      </c>
      <c r="AA414" s="621"/>
      <c r="AB414" s="1275">
        <f t="shared" si="128"/>
        <v>110.23809523809524</v>
      </c>
      <c r="AC414" s="1273">
        <f t="shared" si="129"/>
        <v>4630</v>
      </c>
      <c r="AD414" s="621"/>
      <c r="AE414" s="1275">
        <f t="shared" si="130"/>
        <v>118.22222222222223</v>
      </c>
      <c r="AF414" s="1273">
        <f t="shared" si="131"/>
        <v>5320</v>
      </c>
      <c r="AG414" s="621"/>
      <c r="AH414" s="1275">
        <f t="shared" si="132"/>
        <v>111.07142857142857</v>
      </c>
      <c r="AI414" s="1273">
        <f t="shared" si="133"/>
        <v>6220</v>
      </c>
      <c r="AJ414" s="621"/>
      <c r="AK414" s="1275">
        <f t="shared" si="134"/>
        <v>112.5</v>
      </c>
      <c r="AL414" s="1273">
        <f t="shared" si="135"/>
        <v>5400</v>
      </c>
      <c r="AM414" s="621"/>
      <c r="AN414" s="1275">
        <f t="shared" si="136"/>
        <v>115.9375</v>
      </c>
      <c r="AO414" s="1273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">
      <c r="A415" s="532" t="str">
        <f t="shared" si="111"/>
        <v>Service gratuit 1</v>
      </c>
      <c r="B415" s="621" t="s">
        <v>103</v>
      </c>
      <c r="C415" s="621"/>
      <c r="D415" s="1275">
        <f t="shared" si="112"/>
        <v>58.971962616822431</v>
      </c>
      <c r="E415" s="1273">
        <f t="shared" si="113"/>
        <v>31550</v>
      </c>
      <c r="F415" s="621"/>
      <c r="G415" s="1275">
        <f t="shared" si="114"/>
        <v>58.518518518518519</v>
      </c>
      <c r="H415" s="1273">
        <f t="shared" si="115"/>
        <v>1580</v>
      </c>
      <c r="I415" s="621"/>
      <c r="J415" s="1275">
        <f t="shared" si="116"/>
        <v>67.777777777777771</v>
      </c>
      <c r="K415" s="1273">
        <f t="shared" si="117"/>
        <v>1830</v>
      </c>
      <c r="L415" s="621"/>
      <c r="M415" s="1275">
        <f t="shared" si="118"/>
        <v>56.630434782608695</v>
      </c>
      <c r="N415" s="1273">
        <f t="shared" si="119"/>
        <v>2605</v>
      </c>
      <c r="O415" s="621"/>
      <c r="P415" s="1275">
        <f t="shared" si="120"/>
        <v>58</v>
      </c>
      <c r="Q415" s="1273">
        <f t="shared" si="121"/>
        <v>3190</v>
      </c>
      <c r="R415" s="621"/>
      <c r="S415" s="1275">
        <f t="shared" si="122"/>
        <v>51.75</v>
      </c>
      <c r="T415" s="1273">
        <f t="shared" si="123"/>
        <v>3105</v>
      </c>
      <c r="U415" s="621"/>
      <c r="V415" s="1275">
        <f t="shared" si="124"/>
        <v>63.090909090909093</v>
      </c>
      <c r="W415" s="1273">
        <f t="shared" si="125"/>
        <v>3470</v>
      </c>
      <c r="X415" s="621"/>
      <c r="Y415" s="1275">
        <f t="shared" si="126"/>
        <v>63.214285714285715</v>
      </c>
      <c r="Z415" s="1273">
        <f t="shared" si="127"/>
        <v>2655</v>
      </c>
      <c r="AA415" s="621"/>
      <c r="AB415" s="1275">
        <f t="shared" si="128"/>
        <v>61.071428571428569</v>
      </c>
      <c r="AC415" s="1273">
        <f t="shared" si="129"/>
        <v>2565</v>
      </c>
      <c r="AD415" s="621"/>
      <c r="AE415" s="1275">
        <f t="shared" si="130"/>
        <v>54.111111111111114</v>
      </c>
      <c r="AF415" s="1273">
        <f t="shared" si="131"/>
        <v>2435</v>
      </c>
      <c r="AG415" s="621"/>
      <c r="AH415" s="1275">
        <f t="shared" si="132"/>
        <v>60</v>
      </c>
      <c r="AI415" s="1273">
        <f t="shared" si="133"/>
        <v>3360</v>
      </c>
      <c r="AJ415" s="621"/>
      <c r="AK415" s="1275">
        <f t="shared" si="134"/>
        <v>60.416666666666664</v>
      </c>
      <c r="AL415" s="1273">
        <f t="shared" si="135"/>
        <v>2900</v>
      </c>
      <c r="AM415" s="621"/>
      <c r="AN415" s="1275">
        <f t="shared" si="136"/>
        <v>57.96875</v>
      </c>
      <c r="AO415" s="1273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">
      <c r="A416" s="532" t="str">
        <f t="shared" si="111"/>
        <v>Entretien stock</v>
      </c>
      <c r="B416" s="618" t="s">
        <v>104</v>
      </c>
      <c r="C416" s="618"/>
      <c r="D416" s="1277">
        <f t="shared" si="112"/>
        <v>82.841121495327101</v>
      </c>
      <c r="E416" s="1262">
        <f t="shared" si="113"/>
        <v>44320</v>
      </c>
      <c r="F416" s="618"/>
      <c r="G416" s="1277">
        <f t="shared" si="114"/>
        <v>97.777777777777771</v>
      </c>
      <c r="H416" s="1262">
        <f t="shared" si="115"/>
        <v>2640</v>
      </c>
      <c r="I416" s="618"/>
      <c r="J416" s="1277">
        <f t="shared" si="116"/>
        <v>97.18518518518519</v>
      </c>
      <c r="K416" s="1262">
        <f t="shared" si="117"/>
        <v>2624</v>
      </c>
      <c r="L416" s="618"/>
      <c r="M416" s="1277">
        <f t="shared" si="118"/>
        <v>85.391304347826093</v>
      </c>
      <c r="N416" s="1262">
        <f t="shared" si="119"/>
        <v>3928</v>
      </c>
      <c r="O416" s="618"/>
      <c r="P416" s="1277">
        <f t="shared" si="120"/>
        <v>80.581818181818178</v>
      </c>
      <c r="Q416" s="1262">
        <f t="shared" si="121"/>
        <v>4432</v>
      </c>
      <c r="R416" s="618"/>
      <c r="S416" s="1277">
        <f t="shared" si="122"/>
        <v>83.733333333333334</v>
      </c>
      <c r="T416" s="1262">
        <f t="shared" si="123"/>
        <v>5024</v>
      </c>
      <c r="U416" s="618"/>
      <c r="V416" s="1277">
        <f t="shared" si="124"/>
        <v>72.872727272727275</v>
      </c>
      <c r="W416" s="1262">
        <f t="shared" si="125"/>
        <v>4008</v>
      </c>
      <c r="X416" s="618"/>
      <c r="Y416" s="1277">
        <f t="shared" si="126"/>
        <v>77.333333333333329</v>
      </c>
      <c r="Z416" s="1262">
        <f t="shared" si="127"/>
        <v>3248</v>
      </c>
      <c r="AA416" s="618"/>
      <c r="AB416" s="1277">
        <f t="shared" si="128"/>
        <v>79.61904761904762</v>
      </c>
      <c r="AC416" s="1262">
        <f t="shared" si="129"/>
        <v>3344</v>
      </c>
      <c r="AD416" s="618"/>
      <c r="AE416" s="1277">
        <f t="shared" si="130"/>
        <v>88.533333333333331</v>
      </c>
      <c r="AF416" s="1262">
        <f t="shared" si="131"/>
        <v>3984</v>
      </c>
      <c r="AG416" s="618"/>
      <c r="AH416" s="1277">
        <f t="shared" si="132"/>
        <v>78.142857142857139</v>
      </c>
      <c r="AI416" s="1262">
        <f t="shared" si="133"/>
        <v>4376</v>
      </c>
      <c r="AJ416" s="618"/>
      <c r="AK416" s="1277">
        <f t="shared" si="134"/>
        <v>80.5</v>
      </c>
      <c r="AL416" s="1262">
        <f t="shared" si="135"/>
        <v>3864</v>
      </c>
      <c r="AM416" s="618"/>
      <c r="AN416" s="1277">
        <f t="shared" si="136"/>
        <v>89</v>
      </c>
      <c r="AO416" s="1262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">
      <c r="A417" s="532" t="str">
        <f t="shared" si="111"/>
        <v>Publicité 1</v>
      </c>
      <c r="B417" s="621" t="s">
        <v>105</v>
      </c>
      <c r="C417" s="621"/>
      <c r="D417" s="1275">
        <f t="shared" si="112"/>
        <v>168.26728971962615</v>
      </c>
      <c r="E417" s="1273">
        <f t="shared" si="113"/>
        <v>90022.999999999985</v>
      </c>
      <c r="F417" s="621"/>
      <c r="G417" s="1275">
        <f t="shared" si="114"/>
        <v>245.37991021324356</v>
      </c>
      <c r="H417" s="1273">
        <f t="shared" si="115"/>
        <v>6625.257575757576</v>
      </c>
      <c r="I417" s="621"/>
      <c r="J417" s="1275">
        <f t="shared" si="116"/>
        <v>214.64747474747472</v>
      </c>
      <c r="K417" s="1273">
        <f t="shared" si="117"/>
        <v>5795.4818181818173</v>
      </c>
      <c r="L417" s="621"/>
      <c r="M417" s="1275">
        <f t="shared" si="118"/>
        <v>184.54400527009219</v>
      </c>
      <c r="N417" s="1273">
        <f t="shared" si="119"/>
        <v>8489.0242424242406</v>
      </c>
      <c r="O417" s="621"/>
      <c r="P417" s="1275">
        <f t="shared" si="120"/>
        <v>157.33977961432501</v>
      </c>
      <c r="Q417" s="1273">
        <f t="shared" si="121"/>
        <v>8653.6878787878759</v>
      </c>
      <c r="R417" s="621"/>
      <c r="S417" s="1275">
        <f t="shared" si="122"/>
        <v>186.96131313131312</v>
      </c>
      <c r="T417" s="1273">
        <f t="shared" si="123"/>
        <v>11217.678787878787</v>
      </c>
      <c r="U417" s="621"/>
      <c r="V417" s="1275">
        <f t="shared" si="124"/>
        <v>111.7197245179063</v>
      </c>
      <c r="W417" s="1273">
        <f t="shared" si="125"/>
        <v>6144.5848484848466</v>
      </c>
      <c r="X417" s="621"/>
      <c r="Y417" s="1275">
        <f t="shared" si="126"/>
        <v>135.47965367965367</v>
      </c>
      <c r="Z417" s="1273">
        <f t="shared" si="127"/>
        <v>5690.1454545454535</v>
      </c>
      <c r="AA417" s="621"/>
      <c r="AB417" s="1275">
        <f t="shared" si="128"/>
        <v>150.95050505050503</v>
      </c>
      <c r="AC417" s="1273">
        <f t="shared" si="129"/>
        <v>6339.9212121212113</v>
      </c>
      <c r="AD417" s="621"/>
      <c r="AE417" s="1275">
        <f t="shared" si="130"/>
        <v>205.08444444444442</v>
      </c>
      <c r="AF417" s="1273">
        <f t="shared" si="131"/>
        <v>9228.7999999999993</v>
      </c>
      <c r="AG417" s="621"/>
      <c r="AH417" s="1275">
        <f t="shared" si="132"/>
        <v>141.31985930735928</v>
      </c>
      <c r="AI417" s="1273">
        <f t="shared" si="133"/>
        <v>7913.9121212121199</v>
      </c>
      <c r="AJ417" s="621"/>
      <c r="AK417" s="1275">
        <f t="shared" si="134"/>
        <v>152.79917929292927</v>
      </c>
      <c r="AL417" s="1273">
        <f t="shared" si="135"/>
        <v>7334.3606060606044</v>
      </c>
      <c r="AM417" s="621"/>
      <c r="AN417" s="1275">
        <f t="shared" si="136"/>
        <v>205.94204545454542</v>
      </c>
      <c r="AO417" s="1273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">
      <c r="A418" s="532" t="str">
        <f t="shared" si="111"/>
        <v>Intérêt de gros</v>
      </c>
      <c r="B418" s="621" t="s">
        <v>106</v>
      </c>
      <c r="C418" s="621"/>
      <c r="D418" s="1275">
        <f t="shared" si="112"/>
        <v>665.44251350346894</v>
      </c>
      <c r="E418" s="1273">
        <f t="shared" si="113"/>
        <v>356011.74472435587</v>
      </c>
      <c r="F418" s="621"/>
      <c r="G418" s="1275">
        <f t="shared" si="114"/>
        <v>986.34277722265585</v>
      </c>
      <c r="H418" s="1273">
        <f t="shared" si="115"/>
        <v>26631.254985011707</v>
      </c>
      <c r="I418" s="621"/>
      <c r="J418" s="1275">
        <f t="shared" si="116"/>
        <v>996.91476036082895</v>
      </c>
      <c r="K418" s="1273">
        <f t="shared" si="117"/>
        <v>26916.698529742382</v>
      </c>
      <c r="L418" s="621"/>
      <c r="M418" s="1275">
        <f t="shared" si="118"/>
        <v>689.32935878729234</v>
      </c>
      <c r="N418" s="1273">
        <f t="shared" si="119"/>
        <v>31709.150504215446</v>
      </c>
      <c r="O418" s="621"/>
      <c r="P418" s="1275">
        <f t="shared" si="120"/>
        <v>586.56058722588887</v>
      </c>
      <c r="Q418" s="1273">
        <f t="shared" si="121"/>
        <v>32260.832297423887</v>
      </c>
      <c r="R418" s="621"/>
      <c r="S418" s="1275">
        <f t="shared" si="122"/>
        <v>546.92073733411394</v>
      </c>
      <c r="T418" s="1273">
        <f t="shared" si="123"/>
        <v>32815.244240046835</v>
      </c>
      <c r="U418" s="621"/>
      <c r="V418" s="1275">
        <f t="shared" si="124"/>
        <v>530.1784810730253</v>
      </c>
      <c r="W418" s="1273">
        <f t="shared" si="125"/>
        <v>29159.816459016391</v>
      </c>
      <c r="X418" s="621"/>
      <c r="Y418" s="1275">
        <f t="shared" si="126"/>
        <v>687.58696194936988</v>
      </c>
      <c r="Z418" s="1273">
        <f t="shared" si="127"/>
        <v>28878.652401873533</v>
      </c>
      <c r="AA418" s="621"/>
      <c r="AB418" s="1275">
        <f t="shared" si="128"/>
        <v>716.73392424445183</v>
      </c>
      <c r="AC418" s="1273">
        <f t="shared" si="129"/>
        <v>30102.824818266978</v>
      </c>
      <c r="AD418" s="621"/>
      <c r="AE418" s="1275">
        <f t="shared" si="130"/>
        <v>684.7012846213895</v>
      </c>
      <c r="AF418" s="1273">
        <f t="shared" si="131"/>
        <v>30811.557807962527</v>
      </c>
      <c r="AG418" s="621"/>
      <c r="AH418" s="1275">
        <f t="shared" si="132"/>
        <v>565.18055649882899</v>
      </c>
      <c r="AI418" s="1273">
        <f t="shared" si="133"/>
        <v>31650.111163934424</v>
      </c>
      <c r="AJ418" s="621"/>
      <c r="AK418" s="1275">
        <f t="shared" si="134"/>
        <v>586.03126961358316</v>
      </c>
      <c r="AL418" s="1273">
        <f t="shared" si="135"/>
        <v>28129.500941451992</v>
      </c>
      <c r="AM418" s="621"/>
      <c r="AN418" s="1275">
        <f t="shared" si="136"/>
        <v>842.0656429815574</v>
      </c>
      <c r="AO418" s="1273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5"/>
      <c r="E419" s="1273">
        <f t="shared" si="113"/>
        <v>0</v>
      </c>
      <c r="F419" s="621"/>
      <c r="G419" s="1275"/>
      <c r="H419" s="1273">
        <f t="shared" si="115"/>
        <v>0</v>
      </c>
      <c r="I419" s="621"/>
      <c r="J419" s="1275"/>
      <c r="K419" s="1273">
        <f t="shared" si="117"/>
        <v>0</v>
      </c>
      <c r="L419" s="621"/>
      <c r="M419" s="1275"/>
      <c r="N419" s="1273">
        <f t="shared" si="119"/>
        <v>0</v>
      </c>
      <c r="O419" s="621"/>
      <c r="P419" s="1275"/>
      <c r="Q419" s="1273">
        <f t="shared" si="121"/>
        <v>0</v>
      </c>
      <c r="R419" s="621"/>
      <c r="S419" s="1275"/>
      <c r="T419" s="1273">
        <f t="shared" si="123"/>
        <v>0</v>
      </c>
      <c r="U419" s="621"/>
      <c r="V419" s="1275"/>
      <c r="W419" s="1273">
        <f t="shared" si="125"/>
        <v>0</v>
      </c>
      <c r="X419" s="621"/>
      <c r="Y419" s="1275"/>
      <c r="Z419" s="1273">
        <f t="shared" si="127"/>
        <v>0</v>
      </c>
      <c r="AA419" s="621"/>
      <c r="AB419" s="1275"/>
      <c r="AC419" s="1273">
        <f t="shared" si="129"/>
        <v>0</v>
      </c>
      <c r="AD419" s="621"/>
      <c r="AE419" s="1275"/>
      <c r="AF419" s="1273">
        <f t="shared" si="131"/>
        <v>0</v>
      </c>
      <c r="AG419" s="621"/>
      <c r="AH419" s="1275"/>
      <c r="AI419" s="1273">
        <f t="shared" si="133"/>
        <v>0</v>
      </c>
      <c r="AJ419" s="621"/>
      <c r="AK419" s="1275"/>
      <c r="AL419" s="1273">
        <f t="shared" si="135"/>
        <v>0</v>
      </c>
      <c r="AM419" s="621"/>
      <c r="AN419" s="1275"/>
      <c r="AO419" s="1273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5"/>
      <c r="E420" s="1273">
        <f t="shared" si="113"/>
        <v>0</v>
      </c>
      <c r="F420" s="621"/>
      <c r="G420" s="1275"/>
      <c r="H420" s="1273">
        <f t="shared" si="115"/>
        <v>0</v>
      </c>
      <c r="I420" s="621"/>
      <c r="J420" s="1275"/>
      <c r="K420" s="1273">
        <f t="shared" si="117"/>
        <v>0</v>
      </c>
      <c r="L420" s="621"/>
      <c r="M420" s="1275"/>
      <c r="N420" s="1273">
        <f t="shared" si="119"/>
        <v>0</v>
      </c>
      <c r="O420" s="621"/>
      <c r="P420" s="1275"/>
      <c r="Q420" s="1273">
        <f t="shared" si="121"/>
        <v>0</v>
      </c>
      <c r="R420" s="621"/>
      <c r="S420" s="1275"/>
      <c r="T420" s="1273">
        <f t="shared" si="123"/>
        <v>0</v>
      </c>
      <c r="U420" s="621"/>
      <c r="V420" s="1275"/>
      <c r="W420" s="1273">
        <f t="shared" si="125"/>
        <v>0</v>
      </c>
      <c r="X420" s="621"/>
      <c r="Y420" s="1275"/>
      <c r="Z420" s="1273">
        <f t="shared" si="127"/>
        <v>0</v>
      </c>
      <c r="AA420" s="621"/>
      <c r="AB420" s="1275"/>
      <c r="AC420" s="1273">
        <f t="shared" si="129"/>
        <v>0</v>
      </c>
      <c r="AD420" s="621"/>
      <c r="AE420" s="1275"/>
      <c r="AF420" s="1273">
        <f t="shared" si="131"/>
        <v>0</v>
      </c>
      <c r="AG420" s="621"/>
      <c r="AH420" s="1275"/>
      <c r="AI420" s="1273">
        <f t="shared" si="133"/>
        <v>0</v>
      </c>
      <c r="AJ420" s="621"/>
      <c r="AK420" s="1275"/>
      <c r="AL420" s="1273">
        <f t="shared" si="135"/>
        <v>0</v>
      </c>
      <c r="AM420" s="621"/>
      <c r="AN420" s="1275"/>
      <c r="AO420" s="1273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5"/>
      <c r="E421" s="1273">
        <f t="shared" si="113"/>
        <v>0</v>
      </c>
      <c r="F421" s="621"/>
      <c r="G421" s="1275"/>
      <c r="H421" s="1273">
        <f t="shared" si="115"/>
        <v>0</v>
      </c>
      <c r="I421" s="621"/>
      <c r="J421" s="1275"/>
      <c r="K421" s="1273">
        <f t="shared" si="117"/>
        <v>0</v>
      </c>
      <c r="L421" s="621"/>
      <c r="M421" s="1275"/>
      <c r="N421" s="1273">
        <f t="shared" si="119"/>
        <v>0</v>
      </c>
      <c r="O421" s="621"/>
      <c r="P421" s="1275"/>
      <c r="Q421" s="1273">
        <f t="shared" si="121"/>
        <v>0</v>
      </c>
      <c r="R421" s="621"/>
      <c r="S421" s="1275"/>
      <c r="T421" s="1273">
        <f t="shared" si="123"/>
        <v>0</v>
      </c>
      <c r="U421" s="621"/>
      <c r="V421" s="1275"/>
      <c r="W421" s="1273">
        <f t="shared" si="125"/>
        <v>0</v>
      </c>
      <c r="X421" s="621"/>
      <c r="Y421" s="1275"/>
      <c r="Z421" s="1273">
        <f t="shared" si="127"/>
        <v>0</v>
      </c>
      <c r="AA421" s="621"/>
      <c r="AB421" s="1275"/>
      <c r="AC421" s="1273">
        <f t="shared" si="129"/>
        <v>0</v>
      </c>
      <c r="AD421" s="621"/>
      <c r="AE421" s="1275"/>
      <c r="AF421" s="1273">
        <f t="shared" si="131"/>
        <v>0</v>
      </c>
      <c r="AG421" s="621"/>
      <c r="AH421" s="1275"/>
      <c r="AI421" s="1273">
        <f t="shared" si="133"/>
        <v>0</v>
      </c>
      <c r="AJ421" s="621"/>
      <c r="AK421" s="1275"/>
      <c r="AL421" s="1273">
        <f t="shared" si="135"/>
        <v>0</v>
      </c>
      <c r="AM421" s="621"/>
      <c r="AN421" s="1275"/>
      <c r="AO421" s="1273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">
      <c r="A422" s="532" t="str">
        <f t="shared" si="111"/>
        <v>TOTAL VARIABLES</v>
      </c>
      <c r="B422" s="1379" t="s">
        <v>107</v>
      </c>
      <c r="C422" s="1279">
        <f>IFERROR(E422/E410,0)</f>
        <v>0.2289727983165723</v>
      </c>
      <c r="D422" s="1280"/>
      <c r="E422" s="1281">
        <f>SUM(E412:E418)</f>
        <v>1369141.2447243559</v>
      </c>
      <c r="F422" s="1279">
        <f>IFERROR(H422/H410,0)</f>
        <v>0.26110601534608346</v>
      </c>
      <c r="G422" s="1280"/>
      <c r="H422" s="1281">
        <f>SUM(H412:H418)</f>
        <v>85084.289696830587</v>
      </c>
      <c r="I422" s="1279">
        <f>IFERROR(K422/K410,0)</f>
        <v>0.25795419577035633</v>
      </c>
      <c r="J422" s="1280"/>
      <c r="K422" s="1281">
        <f>SUM(K412:K418)</f>
        <v>83382.9081378298</v>
      </c>
      <c r="L422" s="1279">
        <f>IFERROR(N422/N410,0)</f>
        <v>0.25033215013703536</v>
      </c>
      <c r="M422" s="1280"/>
      <c r="N422" s="1281">
        <f>SUM(N412:N418)</f>
        <v>121341.54325259646</v>
      </c>
      <c r="O422" s="1279">
        <f>IFERROR(Q422/Q410,0)</f>
        <v>0.2182603902940875</v>
      </c>
      <c r="P422" s="1280"/>
      <c r="Q422" s="1281">
        <f>SUM(Q412:Q418)</f>
        <v>134469.56053179287</v>
      </c>
      <c r="R422" s="1279">
        <f>IFERROR(T422/T410,0)</f>
        <v>0.22260848153177065</v>
      </c>
      <c r="S422" s="1280"/>
      <c r="T422" s="1281">
        <f>SUM(T412:T418)</f>
        <v>147242.0465113633</v>
      </c>
      <c r="U422" s="1279">
        <f>IFERROR(W422/W410,0)</f>
        <v>0.2300849372782417</v>
      </c>
      <c r="V422" s="1280"/>
      <c r="W422" s="1281">
        <f>SUM(W412:W418)</f>
        <v>123951.13356549841</v>
      </c>
      <c r="X422" s="1279">
        <f>IFERROR(Z422/Z410,0)</f>
        <v>0.21551554000281647</v>
      </c>
      <c r="Y422" s="1280"/>
      <c r="Z422" s="1281">
        <f>SUM(Z412:Z418)</f>
        <v>104568.30483588972</v>
      </c>
      <c r="AA422" s="1279">
        <f>IFERROR(AC422/AC410,0)</f>
        <v>0.23364029694005081</v>
      </c>
      <c r="AB422" s="1280"/>
      <c r="AC422" s="1281">
        <f>SUM(AC412:AC418)</f>
        <v>107555.58224420583</v>
      </c>
      <c r="AD422" s="1279">
        <f>IFERROR(AF422/AF410,0)</f>
        <v>0.24374427590641207</v>
      </c>
      <c r="AE422" s="1280"/>
      <c r="AF422" s="1281">
        <f>SUM(AF412:AF418)</f>
        <v>121105.12662431139</v>
      </c>
      <c r="AG422" s="1279">
        <f>IFERROR(AI422/AI410,0)</f>
        <v>0.21684498001277794</v>
      </c>
      <c r="AH422" s="1280"/>
      <c r="AI422" s="1281">
        <f>SUM(AI412:AI418)</f>
        <v>132796.59785534136</v>
      </c>
      <c r="AJ422" s="1279">
        <f>IFERROR(AL422/AL410,0)</f>
        <v>0.19218027040539018</v>
      </c>
      <c r="AK422" s="1280"/>
      <c r="AL422" s="1281">
        <f>SUM(AL412:AL418)</f>
        <v>116420.62859383076</v>
      </c>
      <c r="AM422" s="1279">
        <f>IFERROR(AO422/AO410,0)</f>
        <v>0.24734262834319576</v>
      </c>
      <c r="AN422" s="1280"/>
      <c r="AO422" s="1281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">
      <c r="A423" s="532" t="str">
        <f t="shared" si="111"/>
        <v>Salaires propriétaire</v>
      </c>
      <c r="B423" s="621" t="s">
        <v>203</v>
      </c>
      <c r="C423" s="621"/>
      <c r="D423" s="1275"/>
      <c r="E423" s="1273">
        <f t="shared" ref="E423:E468" si="138">+SUM(H423,K423,N423,Q423,T423,W423,Z423,AC423,AF423,AI423,AL423,AO423)</f>
        <v>201000</v>
      </c>
      <c r="F423" s="621"/>
      <c r="G423" s="1275"/>
      <c r="H423" s="1380">
        <v>16917.624521072798</v>
      </c>
      <c r="I423" s="621"/>
      <c r="J423" s="1275"/>
      <c r="K423" s="1380">
        <v>15576.628352490423</v>
      </c>
      <c r="L423" s="621"/>
      <c r="M423" s="1275"/>
      <c r="N423" s="1380">
        <v>16917.624521072798</v>
      </c>
      <c r="O423" s="621"/>
      <c r="P423" s="1275"/>
      <c r="Q423" s="1380">
        <v>16917.624521072798</v>
      </c>
      <c r="R423" s="621"/>
      <c r="S423" s="1275"/>
      <c r="T423" s="1380">
        <v>16247.126436781609</v>
      </c>
      <c r="U423" s="621"/>
      <c r="V423" s="1275"/>
      <c r="W423" s="1380">
        <v>16917.624521072798</v>
      </c>
      <c r="X423" s="621"/>
      <c r="Y423" s="1275"/>
      <c r="Z423" s="1380">
        <v>17588.122605363984</v>
      </c>
      <c r="AA423" s="621"/>
      <c r="AB423" s="1275"/>
      <c r="AC423" s="1380">
        <v>16247.126436781609</v>
      </c>
      <c r="AD423" s="621"/>
      <c r="AE423" s="1275"/>
      <c r="AF423" s="1380">
        <v>16917.624521072798</v>
      </c>
      <c r="AG423" s="621"/>
      <c r="AH423" s="1275"/>
      <c r="AI423" s="1380">
        <v>16917.624521072798</v>
      </c>
      <c r="AJ423" s="621"/>
      <c r="AK423" s="1275"/>
      <c r="AL423" s="1380">
        <v>16247.126436781609</v>
      </c>
      <c r="AM423" s="621"/>
      <c r="AN423" s="1275"/>
      <c r="AO423" s="1380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">
      <c r="A424" s="532" t="str">
        <f t="shared" si="111"/>
        <v>Salaires cadres</v>
      </c>
      <c r="B424" s="621" t="s">
        <v>109</v>
      </c>
      <c r="C424" s="621"/>
      <c r="D424" s="1275"/>
      <c r="E424" s="1273">
        <f t="shared" si="138"/>
        <v>411854</v>
      </c>
      <c r="F424" s="621"/>
      <c r="G424" s="1275"/>
      <c r="H424" s="1273">
        <f t="shared" ref="H424:H435" si="139">+SUMIF($B$4:$B$402,$B424,H$4:H$402)</f>
        <v>31775.811078421895</v>
      </c>
      <c r="I424" s="621"/>
      <c r="J424" s="1275"/>
      <c r="K424" s="1273">
        <f t="shared" ref="K424:K435" si="140">+SUMIF($B$4:$B$402,$B424,K$4:K$402)</f>
        <v>29732.843922768559</v>
      </c>
      <c r="L424" s="621"/>
      <c r="M424" s="1275"/>
      <c r="N424" s="1273">
        <f t="shared" ref="N424:N435" si="141">+SUMIF($B$4:$B$402,$B424,N$4:N$402)</f>
        <v>34476.468432882422</v>
      </c>
      <c r="O424" s="621"/>
      <c r="P424" s="1275"/>
      <c r="Q424" s="1273">
        <f t="shared" ref="Q424:Q435" si="142">+SUMIF($B$4:$B$402,$B424,Q$4:Q$402)</f>
        <v>36437.417704225656</v>
      </c>
      <c r="R424" s="621"/>
      <c r="S424" s="1275"/>
      <c r="T424" s="1273">
        <f t="shared" ref="T424:T435" si="143">+SUMIF($B$4:$B$402,$B424,T$4:T$402)</f>
        <v>35813.442019479087</v>
      </c>
      <c r="U424" s="621"/>
      <c r="V424" s="1275"/>
      <c r="W424" s="1273">
        <f t="shared" ref="W424:W435" si="144">+SUMIF($B$4:$B$402,$B424,W$4:W$402)</f>
        <v>35634.355365257616</v>
      </c>
      <c r="X424" s="621"/>
      <c r="Y424" s="1275"/>
      <c r="Z424" s="1273">
        <f t="shared" ref="Z424:Z435" si="145">+SUMIF($B$4:$B$402,$B424,Z$4:Z$402)</f>
        <v>35451.725028030232</v>
      </c>
      <c r="AA424" s="621"/>
      <c r="AB424" s="1275"/>
      <c r="AC424" s="1273">
        <f t="shared" ref="AC424:AC435" si="146">+SUMIF($B$4:$B$402,$B424,AC$4:AC$402)</f>
        <v>32860.989152642229</v>
      </c>
      <c r="AD424" s="621"/>
      <c r="AE424" s="1275"/>
      <c r="AF424" s="1273">
        <f t="shared" ref="AF424:AF435" si="147">+SUMIF($B$4:$B$402,$B424,AF$4:AF$402)</f>
        <v>34583.917333988684</v>
      </c>
      <c r="AG424" s="621"/>
      <c r="AH424" s="1275"/>
      <c r="AI424" s="1273">
        <f t="shared" ref="AI424:AI435" si="148">+SUMIF($B$4:$B$402,$B424,AI$4:AI$402)</f>
        <v>36530.55412906807</v>
      </c>
      <c r="AJ424" s="621"/>
      <c r="AK424" s="1275"/>
      <c r="AL424" s="1273">
        <f t="shared" ref="AL424:AL435" si="149">+SUMIF($B$4:$B$402,$B424,AL$4:AL$402)</f>
        <v>34997.420150485064</v>
      </c>
      <c r="AM424" s="621"/>
      <c r="AN424" s="1275"/>
      <c r="AO424" s="1273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">
      <c r="A425" s="532" t="str">
        <f t="shared" si="111"/>
        <v>Salaires commis</v>
      </c>
      <c r="B425" s="618" t="s">
        <v>110</v>
      </c>
      <c r="C425" s="618"/>
      <c r="D425" s="1277"/>
      <c r="E425" s="1262">
        <f t="shared" si="138"/>
        <v>169183.33</v>
      </c>
      <c r="F425" s="618"/>
      <c r="G425" s="1277"/>
      <c r="H425" s="1262">
        <f t="shared" si="139"/>
        <v>12553.767279693486</v>
      </c>
      <c r="I425" s="618"/>
      <c r="J425" s="1277"/>
      <c r="K425" s="1262">
        <f t="shared" si="140"/>
        <v>11412.51570881226</v>
      </c>
      <c r="L425" s="618"/>
      <c r="M425" s="1277"/>
      <c r="N425" s="1262">
        <f t="shared" si="141"/>
        <v>12553.767279693486</v>
      </c>
      <c r="O425" s="618"/>
      <c r="P425" s="1277"/>
      <c r="Q425" s="1262">
        <f t="shared" si="142"/>
        <v>14815.188599490441</v>
      </c>
      <c r="R425" s="618"/>
      <c r="S425" s="1277"/>
      <c r="T425" s="1262">
        <f t="shared" si="143"/>
        <v>14141.770935877239</v>
      </c>
      <c r="U425" s="618"/>
      <c r="V425" s="1277"/>
      <c r="W425" s="1262">
        <f t="shared" si="144"/>
        <v>14815.188599490441</v>
      </c>
      <c r="X425" s="618"/>
      <c r="Y425" s="1277"/>
      <c r="Z425" s="1262">
        <f t="shared" si="145"/>
        <v>15488.606263103642</v>
      </c>
      <c r="AA425" s="618"/>
      <c r="AB425" s="1277"/>
      <c r="AC425" s="1262">
        <f t="shared" si="146"/>
        <v>14141.770935877239</v>
      </c>
      <c r="AD425" s="618"/>
      <c r="AE425" s="1277"/>
      <c r="AF425" s="1262">
        <f t="shared" si="147"/>
        <v>14815.188599490441</v>
      </c>
      <c r="AG425" s="618"/>
      <c r="AH425" s="1277"/>
      <c r="AI425" s="1262">
        <f t="shared" si="148"/>
        <v>14815.188599490441</v>
      </c>
      <c r="AJ425" s="618"/>
      <c r="AK425" s="1277"/>
      <c r="AL425" s="1262">
        <f t="shared" si="149"/>
        <v>14141.770935877239</v>
      </c>
      <c r="AM425" s="618"/>
      <c r="AN425" s="1277"/>
      <c r="AO425" s="1262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">
      <c r="A426" s="532" t="str">
        <f t="shared" si="111"/>
        <v>Salaires autres</v>
      </c>
      <c r="B426" s="621" t="s">
        <v>111</v>
      </c>
      <c r="C426" s="621"/>
      <c r="D426" s="1275"/>
      <c r="E426" s="1273">
        <f t="shared" si="138"/>
        <v>403998.75400000002</v>
      </c>
      <c r="F426" s="621"/>
      <c r="G426" s="1275"/>
      <c r="H426" s="1273">
        <f t="shared" si="139"/>
        <v>29808.186761990644</v>
      </c>
      <c r="I426" s="621"/>
      <c r="J426" s="1275"/>
      <c r="K426" s="1273">
        <f t="shared" si="140"/>
        <v>27634.154768247852</v>
      </c>
      <c r="L426" s="621"/>
      <c r="M426" s="1275"/>
      <c r="N426" s="1273">
        <f t="shared" si="141"/>
        <v>36197.482261683821</v>
      </c>
      <c r="O426" s="621"/>
      <c r="P426" s="1275"/>
      <c r="Q426" s="1273">
        <f t="shared" si="142"/>
        <v>36436.236085638404</v>
      </c>
      <c r="R426" s="621"/>
      <c r="S426" s="1275"/>
      <c r="T426" s="1273">
        <f t="shared" si="143"/>
        <v>31883.192656054794</v>
      </c>
      <c r="U426" s="621"/>
      <c r="V426" s="1275"/>
      <c r="W426" s="1273">
        <f t="shared" si="144"/>
        <v>32749.817407196802</v>
      </c>
      <c r="X426" s="621"/>
      <c r="Y426" s="1275"/>
      <c r="Z426" s="1273">
        <f t="shared" si="145"/>
        <v>34145.253987622178</v>
      </c>
      <c r="AA426" s="621"/>
      <c r="AB426" s="1275"/>
      <c r="AC426" s="1273">
        <f t="shared" si="146"/>
        <v>31483.971342438854</v>
      </c>
      <c r="AD426" s="621"/>
      <c r="AE426" s="1275"/>
      <c r="AF426" s="1273">
        <f t="shared" si="147"/>
        <v>34071.160308955281</v>
      </c>
      <c r="AG426" s="621"/>
      <c r="AH426" s="1275"/>
      <c r="AI426" s="1273">
        <f t="shared" si="148"/>
        <v>37763.008078713712</v>
      </c>
      <c r="AJ426" s="621"/>
      <c r="AK426" s="1275"/>
      <c r="AL426" s="1273">
        <f t="shared" si="149"/>
        <v>36787.51442858416</v>
      </c>
      <c r="AM426" s="621"/>
      <c r="AN426" s="1275"/>
      <c r="AO426" s="1273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">
      <c r="A427" s="532" t="str">
        <f t="shared" si="111"/>
        <v>Salaires spécialistes</v>
      </c>
      <c r="B427" s="621" t="s">
        <v>112</v>
      </c>
      <c r="C427" s="621"/>
      <c r="D427" s="1275"/>
      <c r="E427" s="1273">
        <f t="shared" si="138"/>
        <v>183228</v>
      </c>
      <c r="F427" s="621"/>
      <c r="G427" s="1275"/>
      <c r="H427" s="1273">
        <f t="shared" si="139"/>
        <v>15342.486590038312</v>
      </c>
      <c r="I427" s="621"/>
      <c r="J427" s="1275"/>
      <c r="K427" s="1273">
        <f t="shared" si="140"/>
        <v>14754.593869731802</v>
      </c>
      <c r="L427" s="621"/>
      <c r="M427" s="1275"/>
      <c r="N427" s="1273">
        <f t="shared" si="141"/>
        <v>15342.486590038312</v>
      </c>
      <c r="O427" s="621"/>
      <c r="P427" s="1275"/>
      <c r="Q427" s="1273">
        <f t="shared" si="142"/>
        <v>15342.486590038312</v>
      </c>
      <c r="R427" s="621"/>
      <c r="S427" s="1275"/>
      <c r="T427" s="1273">
        <f t="shared" si="143"/>
        <v>15048.540229885057</v>
      </c>
      <c r="U427" s="621"/>
      <c r="V427" s="1275"/>
      <c r="W427" s="1273">
        <f t="shared" si="144"/>
        <v>15342.486590038312</v>
      </c>
      <c r="X427" s="621"/>
      <c r="Y427" s="1275"/>
      <c r="Z427" s="1273">
        <f t="shared" si="145"/>
        <v>15636.432950191571</v>
      </c>
      <c r="AA427" s="621"/>
      <c r="AB427" s="1275"/>
      <c r="AC427" s="1273">
        <f t="shared" si="146"/>
        <v>15048.540229885057</v>
      </c>
      <c r="AD427" s="621"/>
      <c r="AE427" s="1275"/>
      <c r="AF427" s="1273">
        <f t="shared" si="147"/>
        <v>15342.486590038312</v>
      </c>
      <c r="AG427" s="621"/>
      <c r="AH427" s="1275"/>
      <c r="AI427" s="1273">
        <f t="shared" si="148"/>
        <v>15342.486590038312</v>
      </c>
      <c r="AJ427" s="621"/>
      <c r="AK427" s="1275"/>
      <c r="AL427" s="1273">
        <f t="shared" si="149"/>
        <v>15048.540229885057</v>
      </c>
      <c r="AM427" s="621"/>
      <c r="AN427" s="1275"/>
      <c r="AO427" s="1273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5"/>
      <c r="E428" s="1273">
        <f t="shared" si="138"/>
        <v>0</v>
      </c>
      <c r="F428" s="621"/>
      <c r="G428" s="1275"/>
      <c r="H428" s="1273">
        <f t="shared" si="139"/>
        <v>0</v>
      </c>
      <c r="I428" s="621"/>
      <c r="J428" s="1275"/>
      <c r="K428" s="1273">
        <f t="shared" si="140"/>
        <v>0</v>
      </c>
      <c r="L428" s="621"/>
      <c r="M428" s="1275"/>
      <c r="N428" s="1273">
        <f t="shared" si="141"/>
        <v>0</v>
      </c>
      <c r="O428" s="621"/>
      <c r="P428" s="1275"/>
      <c r="Q428" s="1273">
        <f t="shared" si="142"/>
        <v>0</v>
      </c>
      <c r="R428" s="621"/>
      <c r="S428" s="1275"/>
      <c r="T428" s="1273">
        <f t="shared" si="143"/>
        <v>0</v>
      </c>
      <c r="U428" s="621"/>
      <c r="V428" s="1275"/>
      <c r="W428" s="1273">
        <f t="shared" si="144"/>
        <v>0</v>
      </c>
      <c r="X428" s="621"/>
      <c r="Y428" s="1275"/>
      <c r="Z428" s="1273">
        <f t="shared" si="145"/>
        <v>0</v>
      </c>
      <c r="AA428" s="621"/>
      <c r="AB428" s="1275"/>
      <c r="AC428" s="1273">
        <f t="shared" si="146"/>
        <v>0</v>
      </c>
      <c r="AD428" s="621"/>
      <c r="AE428" s="1275"/>
      <c r="AF428" s="1273">
        <f t="shared" si="147"/>
        <v>0</v>
      </c>
      <c r="AG428" s="621"/>
      <c r="AH428" s="1275"/>
      <c r="AI428" s="1273">
        <f t="shared" si="148"/>
        <v>0</v>
      </c>
      <c r="AJ428" s="621"/>
      <c r="AK428" s="1275"/>
      <c r="AL428" s="1273">
        <f t="shared" si="149"/>
        <v>0</v>
      </c>
      <c r="AM428" s="621"/>
      <c r="AN428" s="1275"/>
      <c r="AO428" s="1273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5"/>
      <c r="E429" s="1273">
        <f t="shared" si="138"/>
        <v>0</v>
      </c>
      <c r="F429" s="621"/>
      <c r="G429" s="1275"/>
      <c r="H429" s="1273">
        <f t="shared" si="139"/>
        <v>0</v>
      </c>
      <c r="I429" s="621"/>
      <c r="J429" s="1275"/>
      <c r="K429" s="1273">
        <f t="shared" si="140"/>
        <v>0</v>
      </c>
      <c r="L429" s="621"/>
      <c r="M429" s="1275"/>
      <c r="N429" s="1273">
        <f t="shared" si="141"/>
        <v>0</v>
      </c>
      <c r="O429" s="621"/>
      <c r="P429" s="1275"/>
      <c r="Q429" s="1273">
        <f t="shared" si="142"/>
        <v>0</v>
      </c>
      <c r="R429" s="621"/>
      <c r="S429" s="1275"/>
      <c r="T429" s="1273">
        <f t="shared" si="143"/>
        <v>0</v>
      </c>
      <c r="U429" s="621"/>
      <c r="V429" s="1275"/>
      <c r="W429" s="1273">
        <f t="shared" si="144"/>
        <v>0</v>
      </c>
      <c r="X429" s="621"/>
      <c r="Y429" s="1275"/>
      <c r="Z429" s="1273">
        <f t="shared" si="145"/>
        <v>0</v>
      </c>
      <c r="AA429" s="621"/>
      <c r="AB429" s="1275"/>
      <c r="AC429" s="1273">
        <f t="shared" si="146"/>
        <v>0</v>
      </c>
      <c r="AD429" s="621"/>
      <c r="AE429" s="1275"/>
      <c r="AF429" s="1273">
        <f t="shared" si="147"/>
        <v>0</v>
      </c>
      <c r="AG429" s="621"/>
      <c r="AH429" s="1275"/>
      <c r="AI429" s="1273">
        <f t="shared" si="148"/>
        <v>0</v>
      </c>
      <c r="AJ429" s="621"/>
      <c r="AK429" s="1275"/>
      <c r="AL429" s="1273">
        <f t="shared" si="149"/>
        <v>0</v>
      </c>
      <c r="AM429" s="621"/>
      <c r="AN429" s="1275"/>
      <c r="AO429" s="1273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5"/>
      <c r="E430" s="1273">
        <f t="shared" si="138"/>
        <v>0</v>
      </c>
      <c r="F430" s="621"/>
      <c r="G430" s="1275"/>
      <c r="H430" s="1273">
        <f t="shared" si="139"/>
        <v>0</v>
      </c>
      <c r="I430" s="621"/>
      <c r="J430" s="1275"/>
      <c r="K430" s="1273">
        <f t="shared" si="140"/>
        <v>0</v>
      </c>
      <c r="L430" s="621"/>
      <c r="M430" s="1275"/>
      <c r="N430" s="1273">
        <f t="shared" si="141"/>
        <v>0</v>
      </c>
      <c r="O430" s="621"/>
      <c r="P430" s="1275"/>
      <c r="Q430" s="1273">
        <f t="shared" si="142"/>
        <v>0</v>
      </c>
      <c r="R430" s="621"/>
      <c r="S430" s="1275"/>
      <c r="T430" s="1273">
        <f t="shared" si="143"/>
        <v>0</v>
      </c>
      <c r="U430" s="621"/>
      <c r="V430" s="1275"/>
      <c r="W430" s="1273">
        <f t="shared" si="144"/>
        <v>0</v>
      </c>
      <c r="X430" s="621"/>
      <c r="Y430" s="1275"/>
      <c r="Z430" s="1273">
        <f t="shared" si="145"/>
        <v>0</v>
      </c>
      <c r="AA430" s="621"/>
      <c r="AB430" s="1275"/>
      <c r="AC430" s="1273">
        <f t="shared" si="146"/>
        <v>0</v>
      </c>
      <c r="AD430" s="621"/>
      <c r="AE430" s="1275"/>
      <c r="AF430" s="1273">
        <f t="shared" si="147"/>
        <v>0</v>
      </c>
      <c r="AG430" s="621"/>
      <c r="AH430" s="1275"/>
      <c r="AI430" s="1273">
        <f t="shared" si="148"/>
        <v>0</v>
      </c>
      <c r="AJ430" s="621"/>
      <c r="AK430" s="1275"/>
      <c r="AL430" s="1273">
        <f t="shared" si="149"/>
        <v>0</v>
      </c>
      <c r="AM430" s="621"/>
      <c r="AN430" s="1275"/>
      <c r="AO430" s="1273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">
      <c r="A431" s="532" t="str">
        <f t="shared" si="111"/>
        <v>Salaires en absences</v>
      </c>
      <c r="B431" s="618" t="s">
        <v>113</v>
      </c>
      <c r="C431" s="618"/>
      <c r="D431" s="1277"/>
      <c r="E431" s="1262">
        <f t="shared" si="138"/>
        <v>382541.83096799999</v>
      </c>
      <c r="F431" s="618"/>
      <c r="G431" s="1277"/>
      <c r="H431" s="1262">
        <f t="shared" si="139"/>
        <v>35372.16165829268</v>
      </c>
      <c r="I431" s="618"/>
      <c r="J431" s="1277"/>
      <c r="K431" s="1262">
        <f t="shared" si="140"/>
        <v>17615.419647959778</v>
      </c>
      <c r="L431" s="618"/>
      <c r="M431" s="1277"/>
      <c r="N431" s="1262">
        <f t="shared" si="141"/>
        <v>23401.437946358779</v>
      </c>
      <c r="O431" s="618"/>
      <c r="P431" s="1277"/>
      <c r="Q431" s="1262">
        <f t="shared" si="142"/>
        <v>35618.138814869861</v>
      </c>
      <c r="R431" s="618"/>
      <c r="S431" s="1277"/>
      <c r="T431" s="1262">
        <f t="shared" si="143"/>
        <v>35783.775229700339</v>
      </c>
      <c r="U431" s="618"/>
      <c r="V431" s="1277"/>
      <c r="W431" s="1262">
        <f t="shared" si="144"/>
        <v>33371.784770715487</v>
      </c>
      <c r="X431" s="618"/>
      <c r="Y431" s="1277"/>
      <c r="Z431" s="1262">
        <f t="shared" si="145"/>
        <v>31904.474798770221</v>
      </c>
      <c r="AA431" s="618"/>
      <c r="AB431" s="1277"/>
      <c r="AC431" s="1262">
        <f t="shared" si="146"/>
        <v>22147.835818209936</v>
      </c>
      <c r="AD431" s="618"/>
      <c r="AE431" s="1277"/>
      <c r="AF431" s="1262">
        <f t="shared" si="147"/>
        <v>31730.76703931309</v>
      </c>
      <c r="AG431" s="618"/>
      <c r="AH431" s="1277"/>
      <c r="AI431" s="1262">
        <f t="shared" si="148"/>
        <v>35513.836910225415</v>
      </c>
      <c r="AJ431" s="618"/>
      <c r="AK431" s="1277"/>
      <c r="AL431" s="1262">
        <f t="shared" si="149"/>
        <v>25739.417465109334</v>
      </c>
      <c r="AM431" s="618"/>
      <c r="AN431" s="1277"/>
      <c r="AO431" s="1262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">
      <c r="A432" s="532" t="str">
        <f t="shared" si="111"/>
        <v>Déduction à la source</v>
      </c>
      <c r="B432" s="621" t="s">
        <v>114</v>
      </c>
      <c r="C432" s="621"/>
      <c r="D432" s="1275"/>
      <c r="E432" s="1273">
        <f t="shared" si="138"/>
        <v>367815.06955668522</v>
      </c>
      <c r="F432" s="621"/>
      <c r="G432" s="1275"/>
      <c r="H432" s="1273">
        <f t="shared" si="139"/>
        <v>25701.36120458259</v>
      </c>
      <c r="I432" s="621"/>
      <c r="J432" s="1275"/>
      <c r="K432" s="1273">
        <f t="shared" si="140"/>
        <v>24516.305695614126</v>
      </c>
      <c r="L432" s="621"/>
      <c r="M432" s="1275"/>
      <c r="N432" s="1273">
        <f t="shared" si="141"/>
        <v>32569.01157482923</v>
      </c>
      <c r="O432" s="621"/>
      <c r="P432" s="1275"/>
      <c r="Q432" s="1273">
        <f t="shared" si="142"/>
        <v>37807.668520566309</v>
      </c>
      <c r="R432" s="621"/>
      <c r="S432" s="1275"/>
      <c r="T432" s="1273">
        <f t="shared" si="143"/>
        <v>38038.193427804596</v>
      </c>
      <c r="U432" s="621"/>
      <c r="V432" s="1275"/>
      <c r="W432" s="1273">
        <f t="shared" si="144"/>
        <v>34681.299490042176</v>
      </c>
      <c r="X432" s="621"/>
      <c r="Y432" s="1275"/>
      <c r="Z432" s="1273">
        <f t="shared" si="145"/>
        <v>30221.450976722794</v>
      </c>
      <c r="AA432" s="621"/>
      <c r="AB432" s="1275"/>
      <c r="AC432" s="1273">
        <f t="shared" si="146"/>
        <v>28541.025538930327</v>
      </c>
      <c r="AD432" s="621"/>
      <c r="AE432" s="1275"/>
      <c r="AF432" s="1273">
        <f t="shared" si="147"/>
        <v>28797.696740387328</v>
      </c>
      <c r="AG432" s="621"/>
      <c r="AH432" s="1275"/>
      <c r="AI432" s="1273">
        <f t="shared" si="148"/>
        <v>32082.875546186489</v>
      </c>
      <c r="AJ432" s="621"/>
      <c r="AK432" s="1275"/>
      <c r="AL432" s="1273">
        <f t="shared" si="149"/>
        <v>30515.804211212097</v>
      </c>
      <c r="AM432" s="621"/>
      <c r="AN432" s="1275"/>
      <c r="AO432" s="1273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">
      <c r="A433" s="532" t="str">
        <f t="shared" si="111"/>
        <v>Bénéfices marginaux</v>
      </c>
      <c r="B433" s="623" t="s">
        <v>115</v>
      </c>
      <c r="C433" s="621"/>
      <c r="D433" s="1275"/>
      <c r="E433" s="1273">
        <f t="shared" si="138"/>
        <v>263717.30706519994</v>
      </c>
      <c r="F433" s="621"/>
      <c r="G433" s="1275"/>
      <c r="H433" s="1273">
        <f t="shared" si="139"/>
        <v>17369.252670232578</v>
      </c>
      <c r="I433" s="621"/>
      <c r="J433" s="1275"/>
      <c r="K433" s="1273">
        <f t="shared" si="140"/>
        <v>16565.192765984775</v>
      </c>
      <c r="L433" s="621"/>
      <c r="M433" s="1275"/>
      <c r="N433" s="1273">
        <f t="shared" si="141"/>
        <v>21930.124106668496</v>
      </c>
      <c r="O433" s="621"/>
      <c r="P433" s="1275"/>
      <c r="Q433" s="1273">
        <f t="shared" si="142"/>
        <v>25458.708044763269</v>
      </c>
      <c r="R433" s="621"/>
      <c r="S433" s="1275"/>
      <c r="T433" s="1273">
        <f t="shared" si="143"/>
        <v>25574.818886379697</v>
      </c>
      <c r="U433" s="621"/>
      <c r="V433" s="1275"/>
      <c r="W433" s="1273">
        <f t="shared" si="144"/>
        <v>23341.737519184644</v>
      </c>
      <c r="X433" s="621"/>
      <c r="Y433" s="1275"/>
      <c r="Z433" s="1273">
        <f t="shared" si="145"/>
        <v>22028.803506530039</v>
      </c>
      <c r="AA433" s="621"/>
      <c r="AB433" s="1275"/>
      <c r="AC433" s="1273">
        <f t="shared" si="146"/>
        <v>20782.139714544537</v>
      </c>
      <c r="AD433" s="621"/>
      <c r="AE433" s="1275"/>
      <c r="AF433" s="1273">
        <f t="shared" si="147"/>
        <v>21820.401650040909</v>
      </c>
      <c r="AG433" s="621"/>
      <c r="AH433" s="1275"/>
      <c r="AI433" s="1273">
        <f t="shared" si="148"/>
        <v>25368.711126847735</v>
      </c>
      <c r="AJ433" s="621"/>
      <c r="AK433" s="1275"/>
      <c r="AL433" s="1273">
        <f t="shared" si="149"/>
        <v>24167.605681162004</v>
      </c>
      <c r="AM433" s="621"/>
      <c r="AN433" s="1275"/>
      <c r="AO433" s="1273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">
      <c r="A434" s="532" t="str">
        <f t="shared" si="111"/>
        <v>Csst</v>
      </c>
      <c r="B434" s="621" t="s">
        <v>116</v>
      </c>
      <c r="C434" s="621"/>
      <c r="D434" s="1275"/>
      <c r="E434" s="1273">
        <f t="shared" si="138"/>
        <v>71002.082263000018</v>
      </c>
      <c r="F434" s="621"/>
      <c r="G434" s="1275"/>
      <c r="H434" s="1273">
        <f t="shared" si="139"/>
        <v>4664.3211074983219</v>
      </c>
      <c r="I434" s="621"/>
      <c r="J434" s="1275"/>
      <c r="K434" s="1273">
        <f t="shared" si="140"/>
        <v>4449.255478092934</v>
      </c>
      <c r="L434" s="621"/>
      <c r="M434" s="1275"/>
      <c r="N434" s="1273">
        <f t="shared" si="141"/>
        <v>5910.672470987527</v>
      </c>
      <c r="O434" s="621"/>
      <c r="P434" s="1275"/>
      <c r="Q434" s="1273">
        <f t="shared" si="142"/>
        <v>6861.3916944731445</v>
      </c>
      <c r="R434" s="621"/>
      <c r="S434" s="1275"/>
      <c r="T434" s="1273">
        <f t="shared" si="143"/>
        <v>6903.2276961571297</v>
      </c>
      <c r="U434" s="621"/>
      <c r="V434" s="1275"/>
      <c r="W434" s="1273">
        <f t="shared" si="144"/>
        <v>6294.0136111558022</v>
      </c>
      <c r="X434" s="621"/>
      <c r="Y434" s="1275"/>
      <c r="Z434" s="1273">
        <f t="shared" si="145"/>
        <v>5923.4043914376671</v>
      </c>
      <c r="AA434" s="621"/>
      <c r="AB434" s="1275"/>
      <c r="AC434" s="1273">
        <f t="shared" si="146"/>
        <v>5594.0410056303444</v>
      </c>
      <c r="AD434" s="621"/>
      <c r="AE434" s="1275"/>
      <c r="AF434" s="1273">
        <f t="shared" si="147"/>
        <v>5879.529751162413</v>
      </c>
      <c r="AG434" s="621"/>
      <c r="AH434" s="1275"/>
      <c r="AI434" s="1273">
        <f t="shared" si="148"/>
        <v>6835.047398970165</v>
      </c>
      <c r="AJ434" s="621"/>
      <c r="AK434" s="1275"/>
      <c r="AL434" s="1273">
        <f t="shared" si="149"/>
        <v>6501.1930710843162</v>
      </c>
      <c r="AM434" s="621"/>
      <c r="AN434" s="1275"/>
      <c r="AO434" s="1273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5"/>
      <c r="E435" s="1273">
        <f t="shared" si="138"/>
        <v>0</v>
      </c>
      <c r="F435" s="621"/>
      <c r="G435" s="1275"/>
      <c r="H435" s="1273">
        <f t="shared" si="139"/>
        <v>0</v>
      </c>
      <c r="I435" s="621"/>
      <c r="J435" s="1275"/>
      <c r="K435" s="1273">
        <f t="shared" si="140"/>
        <v>0</v>
      </c>
      <c r="L435" s="621"/>
      <c r="M435" s="1275"/>
      <c r="N435" s="1273">
        <f t="shared" si="141"/>
        <v>0</v>
      </c>
      <c r="O435" s="621"/>
      <c r="P435" s="1275"/>
      <c r="Q435" s="1273">
        <f t="shared" si="142"/>
        <v>0</v>
      </c>
      <c r="R435" s="621"/>
      <c r="S435" s="1275"/>
      <c r="T435" s="1273">
        <f t="shared" si="143"/>
        <v>0</v>
      </c>
      <c r="U435" s="621"/>
      <c r="V435" s="1275"/>
      <c r="W435" s="1273">
        <f t="shared" si="144"/>
        <v>0</v>
      </c>
      <c r="X435" s="621"/>
      <c r="Y435" s="1275"/>
      <c r="Z435" s="1273">
        <f t="shared" si="145"/>
        <v>0</v>
      </c>
      <c r="AA435" s="621"/>
      <c r="AB435" s="1275"/>
      <c r="AC435" s="1273">
        <f t="shared" si="146"/>
        <v>0</v>
      </c>
      <c r="AD435" s="621"/>
      <c r="AE435" s="1275"/>
      <c r="AF435" s="1273">
        <f t="shared" si="147"/>
        <v>0</v>
      </c>
      <c r="AG435" s="621"/>
      <c r="AH435" s="1275"/>
      <c r="AI435" s="1273">
        <f t="shared" si="148"/>
        <v>0</v>
      </c>
      <c r="AJ435" s="621"/>
      <c r="AK435" s="1275"/>
      <c r="AL435" s="1273">
        <f t="shared" si="149"/>
        <v>0</v>
      </c>
      <c r="AM435" s="621"/>
      <c r="AN435" s="1275"/>
      <c r="AO435" s="1273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">
      <c r="A436" s="532" t="str">
        <f t="shared" si="111"/>
        <v>TOTAL PERSONNEL</v>
      </c>
      <c r="B436" s="1379" t="s">
        <v>117</v>
      </c>
      <c r="C436" s="1279">
        <f>IFERROR(E436/E410,0)</f>
        <v>0.41045961151771315</v>
      </c>
      <c r="D436" s="1292"/>
      <c r="E436" s="1281">
        <f>SUM(E423:E434)</f>
        <v>2454340.3738528853</v>
      </c>
      <c r="F436" s="1279">
        <f>IFERROR(H436/H410,0)</f>
        <v>0.58155140662439586</v>
      </c>
      <c r="G436" s="1292"/>
      <c r="H436" s="1281">
        <f>SUM(H423:H434)</f>
        <v>189504.97287182329</v>
      </c>
      <c r="I436" s="1279">
        <f>IFERROR(K436/K410,0)</f>
        <v>0.50195959479059837</v>
      </c>
      <c r="J436" s="1292"/>
      <c r="K436" s="1281">
        <f>SUM(K423:K434)</f>
        <v>162256.9102097025</v>
      </c>
      <c r="L436" s="1279">
        <f>IFERROR(N436/N410,0)</f>
        <v>0.41116145941319732</v>
      </c>
      <c r="M436" s="1292"/>
      <c r="N436" s="1281">
        <f>SUM(N423:N434)</f>
        <v>199299.07518421486</v>
      </c>
      <c r="O436" s="1279">
        <f>IFERROR(Q436/Q410,0)</f>
        <v>0.36633010594879301</v>
      </c>
      <c r="P436" s="1292"/>
      <c r="Q436" s="1281">
        <f>SUM(Q423:Q434)</f>
        <v>225694.86057513818</v>
      </c>
      <c r="R436" s="1279">
        <f>IFERROR(T436/T410,0)</f>
        <v>0.33175230972457626</v>
      </c>
      <c r="S436" s="1292"/>
      <c r="T436" s="1281">
        <f>SUM(T423:T434)</f>
        <v>219434.08751811954</v>
      </c>
      <c r="U436" s="1279">
        <f>IFERROR(W436/W410,0)</f>
        <v>0.39565765667058744</v>
      </c>
      <c r="V436" s="1292"/>
      <c r="W436" s="1281">
        <f>SUM(W423:W434)</f>
        <v>213148.3078741541</v>
      </c>
      <c r="X436" s="1279">
        <f>IFERROR(Z436/Z410,0)</f>
        <v>0.42948875934520714</v>
      </c>
      <c r="Y436" s="1292"/>
      <c r="Z436" s="1281">
        <f>SUM(Z423:Z434)</f>
        <v>208388.27450777229</v>
      </c>
      <c r="AA436" s="1279">
        <f>IFERROR(AC436/AC410,0)</f>
        <v>0.40588401358696702</v>
      </c>
      <c r="AB436" s="1292"/>
      <c r="AC436" s="1281">
        <f>SUM(AC423:AC434)</f>
        <v>186847.4401749401</v>
      </c>
      <c r="AD436" s="1279">
        <f>IFERROR(AF436/AF410,0)</f>
        <v>0.41050106392597657</v>
      </c>
      <c r="AE436" s="1292"/>
      <c r="AF436" s="1281">
        <f>SUM(AF423:AF434)</f>
        <v>203958.77253444926</v>
      </c>
      <c r="AG436" s="1279">
        <f>IFERROR(AI436/AI410,0)</f>
        <v>0.36114976096387896</v>
      </c>
      <c r="AH436" s="1292"/>
      <c r="AI436" s="1281">
        <f>SUM(AI423:AI434)</f>
        <v>221169.33290061317</v>
      </c>
      <c r="AJ436" s="1279">
        <f>IFERROR(AL436/AL410,0)</f>
        <v>0.33699275985689447</v>
      </c>
      <c r="AK436" s="1292"/>
      <c r="AL436" s="1281">
        <f>SUM(AL423:AL434)</f>
        <v>204146.39261018089</v>
      </c>
      <c r="AM436" s="1279">
        <f>IFERROR(AO436/AO410,0)</f>
        <v>0.59783985483142177</v>
      </c>
      <c r="AN436" s="1292"/>
      <c r="AO436" s="1281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">
      <c r="A437" s="532" t="str">
        <f t="shared" si="111"/>
        <v>Publicité 2</v>
      </c>
      <c r="B437" s="1295" t="s">
        <v>118</v>
      </c>
      <c r="C437" s="1295"/>
      <c r="D437" s="1296"/>
      <c r="E437" s="1297">
        <f t="shared" si="138"/>
        <v>38813.000000000007</v>
      </c>
      <c r="F437" s="1295"/>
      <c r="G437" s="1296"/>
      <c r="H437" s="1297">
        <f t="shared" ref="H437:H442" si="151">+SUMIF($B$4:$B$402,$B437,H$4:H$402)</f>
        <v>2017.251087380967</v>
      </c>
      <c r="I437" s="1295"/>
      <c r="J437" s="1296"/>
      <c r="K437" s="1297">
        <f t="shared" ref="K437:K442" si="152">+SUMIF($B$4:$B$402,$B437,K$4:K$402)</f>
        <v>2418.6407503745677</v>
      </c>
      <c r="L437" s="1295"/>
      <c r="M437" s="1296"/>
      <c r="N437" s="1297">
        <f t="shared" ref="N437:N442" si="153">+SUMIF($B$4:$B$402,$B437,N$4:N$402)</f>
        <v>2903.7960915068652</v>
      </c>
      <c r="O437" s="1295"/>
      <c r="P437" s="1296"/>
      <c r="Q437" s="1297">
        <f t="shared" ref="Q437:Q442" si="154">+SUMIF($B$4:$B$402,$B437,Q$4:Q$402)</f>
        <v>4714.9711165989538</v>
      </c>
      <c r="R437" s="1295"/>
      <c r="S437" s="1296"/>
      <c r="T437" s="1297">
        <f t="shared" ref="T437:T442" si="155">+SUMIF($B$4:$B$402,$B437,T$4:T$402)</f>
        <v>4049.5296547364005</v>
      </c>
      <c r="U437" s="1295"/>
      <c r="V437" s="1296"/>
      <c r="W437" s="1297">
        <f t="shared" ref="W437:W442" si="156">+SUMIF($B$4:$B$402,$B437,W$4:W$402)</f>
        <v>2790.7198738235238</v>
      </c>
      <c r="X437" s="1295"/>
      <c r="Y437" s="1296"/>
      <c r="Z437" s="1297">
        <f t="shared" ref="Z437:Z442" si="157">+SUMIF($B$4:$B$402,$B437,Z$4:Z$402)</f>
        <v>3323.2611881586454</v>
      </c>
      <c r="AA437" s="1295"/>
      <c r="AB437" s="1296"/>
      <c r="AC437" s="1297">
        <f t="shared" ref="AC437:AC442" si="158">+SUMIF($B$4:$B$402,$B437,AC$4:AC$402)</f>
        <v>2635.137026829851</v>
      </c>
      <c r="AD437" s="1295"/>
      <c r="AE437" s="1296"/>
      <c r="AF437" s="1297">
        <f t="shared" ref="AF437:AF442" si="159">+SUMIF($B$4:$B$402,$B437,AF$4:AF$402)</f>
        <v>2130.3036470116522</v>
      </c>
      <c r="AG437" s="1295"/>
      <c r="AH437" s="1296"/>
      <c r="AI437" s="1297">
        <f t="shared" ref="AI437:AI442" si="160">+SUMIF($B$4:$B$402,$B437,AI$4:AI$402)</f>
        <v>4397.191420934595</v>
      </c>
      <c r="AJ437" s="1295"/>
      <c r="AK437" s="1296"/>
      <c r="AL437" s="1297">
        <f t="shared" ref="AL437:AL442" si="161">+SUMIF($B$4:$B$402,$B437,AL$4:AL$402)</f>
        <v>4936.4906912939887</v>
      </c>
      <c r="AM437" s="1295"/>
      <c r="AN437" s="1296"/>
      <c r="AO437" s="1297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">
      <c r="A438" s="532" t="str">
        <f t="shared" si="111"/>
        <v>Service gratuit 2</v>
      </c>
      <c r="B438" s="621" t="s">
        <v>119</v>
      </c>
      <c r="C438" s="621"/>
      <c r="D438" s="1275"/>
      <c r="E438" s="1273">
        <f t="shared" si="138"/>
        <v>52500</v>
      </c>
      <c r="F438" s="621"/>
      <c r="G438" s="1275"/>
      <c r="H438" s="1273">
        <f t="shared" si="151"/>
        <v>4375</v>
      </c>
      <c r="I438" s="621"/>
      <c r="J438" s="1275"/>
      <c r="K438" s="1273">
        <f t="shared" si="152"/>
        <v>4375</v>
      </c>
      <c r="L438" s="621"/>
      <c r="M438" s="1275"/>
      <c r="N438" s="1273">
        <f t="shared" si="153"/>
        <v>4375</v>
      </c>
      <c r="O438" s="621"/>
      <c r="P438" s="1275"/>
      <c r="Q438" s="1273">
        <f t="shared" si="154"/>
        <v>4375</v>
      </c>
      <c r="R438" s="621"/>
      <c r="S438" s="1275"/>
      <c r="T438" s="1273">
        <f t="shared" si="155"/>
        <v>4375</v>
      </c>
      <c r="U438" s="621"/>
      <c r="V438" s="1275"/>
      <c r="W438" s="1273">
        <f t="shared" si="156"/>
        <v>4375</v>
      </c>
      <c r="X438" s="621"/>
      <c r="Y438" s="1275"/>
      <c r="Z438" s="1273">
        <f t="shared" si="157"/>
        <v>4375</v>
      </c>
      <c r="AA438" s="621"/>
      <c r="AB438" s="1275"/>
      <c r="AC438" s="1273">
        <f t="shared" si="158"/>
        <v>4375</v>
      </c>
      <c r="AD438" s="621"/>
      <c r="AE438" s="1275"/>
      <c r="AF438" s="1273">
        <f t="shared" si="159"/>
        <v>4375</v>
      </c>
      <c r="AG438" s="621"/>
      <c r="AH438" s="1275"/>
      <c r="AI438" s="1273">
        <f t="shared" si="160"/>
        <v>4375</v>
      </c>
      <c r="AJ438" s="621"/>
      <c r="AK438" s="1275"/>
      <c r="AL438" s="1273">
        <f t="shared" si="161"/>
        <v>4375</v>
      </c>
      <c r="AM438" s="621"/>
      <c r="AN438" s="1275"/>
      <c r="AO438" s="1273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">
      <c r="A439" s="532" t="str">
        <f t="shared" si="111"/>
        <v>Frais véhicules de cie</v>
      </c>
      <c r="B439" s="618" t="s">
        <v>120</v>
      </c>
      <c r="C439" s="618"/>
      <c r="D439" s="1277"/>
      <c r="E439" s="1262">
        <f t="shared" si="138"/>
        <v>180924</v>
      </c>
      <c r="F439" s="618"/>
      <c r="G439" s="1277"/>
      <c r="H439" s="1262">
        <f t="shared" si="151"/>
        <v>15077</v>
      </c>
      <c r="I439" s="618"/>
      <c r="J439" s="1277"/>
      <c r="K439" s="1262">
        <f t="shared" si="152"/>
        <v>15077</v>
      </c>
      <c r="L439" s="618"/>
      <c r="M439" s="1277"/>
      <c r="N439" s="1262">
        <f t="shared" si="153"/>
        <v>15077</v>
      </c>
      <c r="O439" s="618"/>
      <c r="P439" s="1277"/>
      <c r="Q439" s="1262">
        <f t="shared" si="154"/>
        <v>15077</v>
      </c>
      <c r="R439" s="618"/>
      <c r="S439" s="1277"/>
      <c r="T439" s="1262">
        <f t="shared" si="155"/>
        <v>15077</v>
      </c>
      <c r="U439" s="618"/>
      <c r="V439" s="1277"/>
      <c r="W439" s="1262">
        <f t="shared" si="156"/>
        <v>15077</v>
      </c>
      <c r="X439" s="618"/>
      <c r="Y439" s="1277"/>
      <c r="Z439" s="1262">
        <f t="shared" si="157"/>
        <v>15077</v>
      </c>
      <c r="AA439" s="618"/>
      <c r="AB439" s="1277"/>
      <c r="AC439" s="1262">
        <f t="shared" si="158"/>
        <v>15077</v>
      </c>
      <c r="AD439" s="618"/>
      <c r="AE439" s="1277"/>
      <c r="AF439" s="1262">
        <f t="shared" si="159"/>
        <v>15077</v>
      </c>
      <c r="AG439" s="618"/>
      <c r="AH439" s="1277"/>
      <c r="AI439" s="1262">
        <f t="shared" si="160"/>
        <v>15077</v>
      </c>
      <c r="AJ439" s="618"/>
      <c r="AK439" s="1277"/>
      <c r="AL439" s="1262">
        <f t="shared" si="161"/>
        <v>15077</v>
      </c>
      <c r="AM439" s="618"/>
      <c r="AN439" s="1277"/>
      <c r="AO439" s="1262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">
      <c r="A440" s="532" t="str">
        <f t="shared" si="111"/>
        <v>Informatique</v>
      </c>
      <c r="B440" s="621" t="s">
        <v>121</v>
      </c>
      <c r="C440" s="621"/>
      <c r="D440" s="1275"/>
      <c r="E440" s="1273">
        <f t="shared" si="138"/>
        <v>270813.03999999998</v>
      </c>
      <c r="F440" s="621"/>
      <c r="G440" s="1275"/>
      <c r="H440" s="1273">
        <f t="shared" si="151"/>
        <v>22567.753333333334</v>
      </c>
      <c r="I440" s="621"/>
      <c r="J440" s="1275"/>
      <c r="K440" s="1273">
        <f t="shared" si="152"/>
        <v>22567.753333333334</v>
      </c>
      <c r="L440" s="621"/>
      <c r="M440" s="1275"/>
      <c r="N440" s="1273">
        <f t="shared" si="153"/>
        <v>22567.753333333334</v>
      </c>
      <c r="O440" s="621"/>
      <c r="P440" s="1275"/>
      <c r="Q440" s="1273">
        <f t="shared" si="154"/>
        <v>22567.753333333334</v>
      </c>
      <c r="R440" s="621"/>
      <c r="S440" s="1275"/>
      <c r="T440" s="1273">
        <f t="shared" si="155"/>
        <v>22567.753333333334</v>
      </c>
      <c r="U440" s="621"/>
      <c r="V440" s="1275"/>
      <c r="W440" s="1273">
        <f t="shared" si="156"/>
        <v>22567.753333333334</v>
      </c>
      <c r="X440" s="621"/>
      <c r="Y440" s="1275"/>
      <c r="Z440" s="1273">
        <f t="shared" si="157"/>
        <v>22567.753333333334</v>
      </c>
      <c r="AA440" s="621"/>
      <c r="AB440" s="1275"/>
      <c r="AC440" s="1273">
        <f t="shared" si="158"/>
        <v>22567.753333333334</v>
      </c>
      <c r="AD440" s="621"/>
      <c r="AE440" s="1275"/>
      <c r="AF440" s="1273">
        <f t="shared" si="159"/>
        <v>22567.753333333334</v>
      </c>
      <c r="AG440" s="621"/>
      <c r="AH440" s="1275"/>
      <c r="AI440" s="1273">
        <f t="shared" si="160"/>
        <v>22567.753333333334</v>
      </c>
      <c r="AJ440" s="621"/>
      <c r="AK440" s="1275"/>
      <c r="AL440" s="1273">
        <f t="shared" si="161"/>
        <v>22567.753333333334</v>
      </c>
      <c r="AM440" s="621"/>
      <c r="AN440" s="1275"/>
      <c r="AO440" s="1273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">
      <c r="A441" s="532" t="str">
        <f t="shared" si="111"/>
        <v>Frais de déplacement</v>
      </c>
      <c r="B441" s="621" t="s">
        <v>122</v>
      </c>
      <c r="C441" s="621"/>
      <c r="D441" s="1275"/>
      <c r="E441" s="1273">
        <f t="shared" si="138"/>
        <v>49900.000000000007</v>
      </c>
      <c r="F441" s="621"/>
      <c r="G441" s="1275"/>
      <c r="H441" s="1273">
        <f t="shared" si="151"/>
        <v>4158.333333333333</v>
      </c>
      <c r="I441" s="621"/>
      <c r="J441" s="1275"/>
      <c r="K441" s="1273">
        <f t="shared" si="152"/>
        <v>4158.333333333333</v>
      </c>
      <c r="L441" s="621"/>
      <c r="M441" s="1275"/>
      <c r="N441" s="1273">
        <f t="shared" si="153"/>
        <v>4158.333333333333</v>
      </c>
      <c r="O441" s="621"/>
      <c r="P441" s="1275"/>
      <c r="Q441" s="1273">
        <f t="shared" si="154"/>
        <v>4158.333333333333</v>
      </c>
      <c r="R441" s="621"/>
      <c r="S441" s="1275"/>
      <c r="T441" s="1273">
        <f t="shared" si="155"/>
        <v>4158.333333333333</v>
      </c>
      <c r="U441" s="621"/>
      <c r="V441" s="1275"/>
      <c r="W441" s="1273">
        <f t="shared" si="156"/>
        <v>4158.333333333333</v>
      </c>
      <c r="X441" s="621"/>
      <c r="Y441" s="1275"/>
      <c r="Z441" s="1273">
        <f t="shared" si="157"/>
        <v>4158.333333333333</v>
      </c>
      <c r="AA441" s="621"/>
      <c r="AB441" s="1275"/>
      <c r="AC441" s="1273">
        <f t="shared" si="158"/>
        <v>4158.333333333333</v>
      </c>
      <c r="AD441" s="621"/>
      <c r="AE441" s="1275"/>
      <c r="AF441" s="1273">
        <f t="shared" si="159"/>
        <v>4158.333333333333</v>
      </c>
      <c r="AG441" s="621"/>
      <c r="AH441" s="1275"/>
      <c r="AI441" s="1273">
        <f t="shared" si="160"/>
        <v>4158.333333333333</v>
      </c>
      <c r="AJ441" s="621"/>
      <c r="AK441" s="1275"/>
      <c r="AL441" s="1273">
        <f t="shared" si="161"/>
        <v>4158.333333333333</v>
      </c>
      <c r="AM441" s="621"/>
      <c r="AN441" s="1275"/>
      <c r="AO441" s="1273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">
      <c r="A442" s="532" t="str">
        <f t="shared" si="111"/>
        <v>Services extérieurs</v>
      </c>
      <c r="B442" s="621" t="s">
        <v>123</v>
      </c>
      <c r="C442" s="621"/>
      <c r="D442" s="1275"/>
      <c r="E442" s="1298">
        <f t="shared" si="138"/>
        <v>125819.31</v>
      </c>
      <c r="F442" s="621"/>
      <c r="G442" s="1275"/>
      <c r="H442" s="1273">
        <f t="shared" si="151"/>
        <v>12439.663333333334</v>
      </c>
      <c r="I442" s="621"/>
      <c r="J442" s="1275"/>
      <c r="K442" s="1273">
        <f t="shared" si="152"/>
        <v>12439.663333333334</v>
      </c>
      <c r="L442" s="621"/>
      <c r="M442" s="1275"/>
      <c r="N442" s="1273">
        <f t="shared" si="153"/>
        <v>12439.663333333334</v>
      </c>
      <c r="O442" s="621"/>
      <c r="P442" s="1275"/>
      <c r="Q442" s="1273">
        <f t="shared" si="154"/>
        <v>12439.663333333334</v>
      </c>
      <c r="R442" s="621"/>
      <c r="S442" s="1275"/>
      <c r="T442" s="1273">
        <f t="shared" si="155"/>
        <v>12439.663333333334</v>
      </c>
      <c r="U442" s="621"/>
      <c r="V442" s="1275"/>
      <c r="W442" s="1273">
        <f t="shared" si="156"/>
        <v>9088.7133333333331</v>
      </c>
      <c r="X442" s="621"/>
      <c r="Y442" s="1275"/>
      <c r="Z442" s="1273">
        <f t="shared" si="157"/>
        <v>9088.7133333333331</v>
      </c>
      <c r="AA442" s="621"/>
      <c r="AB442" s="1275"/>
      <c r="AC442" s="1273">
        <f t="shared" si="158"/>
        <v>9088.7133333333331</v>
      </c>
      <c r="AD442" s="621"/>
      <c r="AE442" s="1275"/>
      <c r="AF442" s="1273">
        <f t="shared" si="159"/>
        <v>9088.7133333333331</v>
      </c>
      <c r="AG442" s="621"/>
      <c r="AH442" s="1275"/>
      <c r="AI442" s="1273">
        <f t="shared" si="160"/>
        <v>9088.7133333333331</v>
      </c>
      <c r="AJ442" s="621"/>
      <c r="AK442" s="1275"/>
      <c r="AL442" s="1273">
        <f t="shared" si="161"/>
        <v>9088.7133333333331</v>
      </c>
      <c r="AM442" s="621"/>
      <c r="AN442" s="1275"/>
      <c r="AO442" s="1273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">
      <c r="A443" s="532" t="str">
        <f t="shared" si="111"/>
        <v>Fournitures atelier</v>
      </c>
      <c r="B443" s="1371" t="s">
        <v>3000</v>
      </c>
      <c r="C443" s="1295"/>
      <c r="D443" s="1296"/>
      <c r="E443" s="1273">
        <f>+SUM(H443,K443,N443,Q443,T443,W443,Z443,AC443,AF443,AI443,AL443,AO443)</f>
        <v>0</v>
      </c>
      <c r="F443" s="1295"/>
      <c r="G443" s="1296"/>
      <c r="H443" s="1297">
        <f>H220+H276+H340</f>
        <v>0</v>
      </c>
      <c r="I443" s="1295"/>
      <c r="J443" s="1296"/>
      <c r="K443" s="1297">
        <f>K220+K276+K340</f>
        <v>0</v>
      </c>
      <c r="L443" s="1295"/>
      <c r="M443" s="1296"/>
      <c r="N443" s="1297">
        <f>N220+N276+N340</f>
        <v>0</v>
      </c>
      <c r="O443" s="1295"/>
      <c r="P443" s="1296"/>
      <c r="Q443" s="1297">
        <f>Q220+Q276+Q340</f>
        <v>0</v>
      </c>
      <c r="R443" s="1295"/>
      <c r="S443" s="1296"/>
      <c r="T443" s="1297">
        <f>T220+T276+T340</f>
        <v>0</v>
      </c>
      <c r="U443" s="1295"/>
      <c r="V443" s="1296"/>
      <c r="W443" s="1297">
        <f>W220+W276+W340</f>
        <v>0</v>
      </c>
      <c r="X443" s="1295"/>
      <c r="Y443" s="1296"/>
      <c r="Z443" s="1297">
        <f>Z220+Z276+Z340</f>
        <v>0</v>
      </c>
      <c r="AA443" s="1295"/>
      <c r="AB443" s="1296"/>
      <c r="AC443" s="1297">
        <f>AC220+AC276+AC340</f>
        <v>0</v>
      </c>
      <c r="AD443" s="1295"/>
      <c r="AE443" s="1296"/>
      <c r="AF443" s="1297">
        <f>AF220+AF276+AF340</f>
        <v>0</v>
      </c>
      <c r="AG443" s="1295"/>
      <c r="AH443" s="1296"/>
      <c r="AI443" s="1297">
        <f>AI220+AI276+AI340</f>
        <v>0</v>
      </c>
      <c r="AJ443" s="1295"/>
      <c r="AK443" s="1296"/>
      <c r="AL443" s="1297">
        <f>AL220+AL276+AL340</f>
        <v>0</v>
      </c>
      <c r="AM443" s="1295"/>
      <c r="AN443" s="1296"/>
      <c r="AO443" s="1297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">
      <c r="A444" s="532" t="str">
        <f t="shared" si="111"/>
        <v>Fournitures autres</v>
      </c>
      <c r="B444" s="621" t="s">
        <v>124</v>
      </c>
      <c r="C444" s="621"/>
      <c r="D444" s="1275"/>
      <c r="E444" s="1273">
        <f t="shared" si="138"/>
        <v>40245</v>
      </c>
      <c r="F444" s="621"/>
      <c r="G444" s="1275"/>
      <c r="H444" s="1273">
        <f t="shared" ref="H444:H454" si="163">+SUMIF($B$4:$B$402,$B444,H$4:H$402)</f>
        <v>3353.75</v>
      </c>
      <c r="I444" s="621"/>
      <c r="J444" s="1275"/>
      <c r="K444" s="1273">
        <f t="shared" ref="K444:K454" si="164">+SUMIF($B$4:$B$402,$B444,K$4:K$402)</f>
        <v>3353.75</v>
      </c>
      <c r="L444" s="621"/>
      <c r="M444" s="1275"/>
      <c r="N444" s="1273">
        <f t="shared" ref="N444:N454" si="165">+SUMIF($B$4:$B$402,$B444,N$4:N$402)</f>
        <v>3353.75</v>
      </c>
      <c r="O444" s="621"/>
      <c r="P444" s="1275"/>
      <c r="Q444" s="1273">
        <f t="shared" ref="Q444:Q454" si="166">+SUMIF($B$4:$B$402,$B444,Q$4:Q$402)</f>
        <v>3353.75</v>
      </c>
      <c r="R444" s="621"/>
      <c r="S444" s="1275"/>
      <c r="T444" s="1273">
        <f t="shared" ref="T444:T454" si="167">+SUMIF($B$4:$B$402,$B444,T$4:T$402)</f>
        <v>3353.75</v>
      </c>
      <c r="U444" s="621"/>
      <c r="V444" s="1275"/>
      <c r="W444" s="1273">
        <f t="shared" ref="W444:W454" si="168">+SUMIF($B$4:$B$402,$B444,W$4:W$402)</f>
        <v>3353.75</v>
      </c>
      <c r="X444" s="621"/>
      <c r="Y444" s="1275"/>
      <c r="Z444" s="1273">
        <f t="shared" ref="Z444:Z454" si="169">+SUMIF($B$4:$B$402,$B444,Z$4:Z$402)</f>
        <v>3353.75</v>
      </c>
      <c r="AA444" s="621"/>
      <c r="AB444" s="1275"/>
      <c r="AC444" s="1273">
        <f t="shared" ref="AC444:AC454" si="170">+SUMIF($B$4:$B$402,$B444,AC$4:AC$402)</f>
        <v>3353.75</v>
      </c>
      <c r="AD444" s="621"/>
      <c r="AE444" s="1275"/>
      <c r="AF444" s="1273">
        <f t="shared" ref="AF444:AF454" si="171">+SUMIF($B$4:$B$402,$B444,AF$4:AF$402)</f>
        <v>3353.75</v>
      </c>
      <c r="AG444" s="621"/>
      <c r="AH444" s="1275"/>
      <c r="AI444" s="1273">
        <f t="shared" ref="AI444:AI454" si="172">+SUMIF($B$4:$B$402,$B444,AI$4:AI$402)</f>
        <v>3353.75</v>
      </c>
      <c r="AJ444" s="621"/>
      <c r="AK444" s="1275"/>
      <c r="AL444" s="1273">
        <f t="shared" ref="AL444:AL454" si="173">+SUMIF($B$4:$B$402,$B444,AL$4:AL$402)</f>
        <v>3353.75</v>
      </c>
      <c r="AM444" s="621"/>
      <c r="AN444" s="1275"/>
      <c r="AO444" s="1273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">
      <c r="A445" s="532" t="str">
        <f t="shared" si="111"/>
        <v>Uniformes</v>
      </c>
      <c r="B445" s="621" t="s">
        <v>125</v>
      </c>
      <c r="C445" s="621"/>
      <c r="D445" s="1275"/>
      <c r="E445" s="1273">
        <f t="shared" si="138"/>
        <v>16800</v>
      </c>
      <c r="F445" s="621"/>
      <c r="G445" s="1275"/>
      <c r="H445" s="1273">
        <f t="shared" si="163"/>
        <v>1400</v>
      </c>
      <c r="I445" s="621"/>
      <c r="J445" s="1275"/>
      <c r="K445" s="1273">
        <f t="shared" si="164"/>
        <v>1400</v>
      </c>
      <c r="L445" s="621"/>
      <c r="M445" s="1275"/>
      <c r="N445" s="1273">
        <f t="shared" si="165"/>
        <v>1400</v>
      </c>
      <c r="O445" s="621"/>
      <c r="P445" s="1275"/>
      <c r="Q445" s="1273">
        <f t="shared" si="166"/>
        <v>1400</v>
      </c>
      <c r="R445" s="621"/>
      <c r="S445" s="1275"/>
      <c r="T445" s="1273">
        <f t="shared" si="167"/>
        <v>1400</v>
      </c>
      <c r="U445" s="621"/>
      <c r="V445" s="1275"/>
      <c r="W445" s="1273">
        <f t="shared" si="168"/>
        <v>1400</v>
      </c>
      <c r="X445" s="621"/>
      <c r="Y445" s="1275"/>
      <c r="Z445" s="1273">
        <f t="shared" si="169"/>
        <v>1400</v>
      </c>
      <c r="AA445" s="621"/>
      <c r="AB445" s="1275"/>
      <c r="AC445" s="1273">
        <f t="shared" si="170"/>
        <v>1400</v>
      </c>
      <c r="AD445" s="621"/>
      <c r="AE445" s="1275"/>
      <c r="AF445" s="1273">
        <f t="shared" si="171"/>
        <v>1400</v>
      </c>
      <c r="AG445" s="621"/>
      <c r="AH445" s="1275"/>
      <c r="AI445" s="1273">
        <f t="shared" si="172"/>
        <v>1400</v>
      </c>
      <c r="AJ445" s="621"/>
      <c r="AK445" s="1275"/>
      <c r="AL445" s="1273">
        <f t="shared" si="173"/>
        <v>1400</v>
      </c>
      <c r="AM445" s="621"/>
      <c r="AN445" s="1275"/>
      <c r="AO445" s="1273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">
      <c r="A446" s="532" t="str">
        <f t="shared" si="111"/>
        <v>Papeterie</v>
      </c>
      <c r="B446" s="621" t="s">
        <v>126</v>
      </c>
      <c r="C446" s="621"/>
      <c r="D446" s="1275"/>
      <c r="E446" s="1273">
        <f t="shared" si="138"/>
        <v>17400</v>
      </c>
      <c r="F446" s="621"/>
      <c r="G446" s="1275"/>
      <c r="H446" s="1273">
        <f t="shared" si="163"/>
        <v>1450</v>
      </c>
      <c r="I446" s="621"/>
      <c r="J446" s="1275"/>
      <c r="K446" s="1273">
        <f t="shared" si="164"/>
        <v>1450</v>
      </c>
      <c r="L446" s="621"/>
      <c r="M446" s="1275"/>
      <c r="N446" s="1273">
        <f t="shared" si="165"/>
        <v>1450</v>
      </c>
      <c r="O446" s="621"/>
      <c r="P446" s="1275"/>
      <c r="Q446" s="1273">
        <f t="shared" si="166"/>
        <v>1450</v>
      </c>
      <c r="R446" s="621"/>
      <c r="S446" s="1275"/>
      <c r="T446" s="1273">
        <f t="shared" si="167"/>
        <v>1450</v>
      </c>
      <c r="U446" s="621"/>
      <c r="V446" s="1275"/>
      <c r="W446" s="1273">
        <f t="shared" si="168"/>
        <v>1450</v>
      </c>
      <c r="X446" s="621"/>
      <c r="Y446" s="1275"/>
      <c r="Z446" s="1273">
        <f t="shared" si="169"/>
        <v>1450</v>
      </c>
      <c r="AA446" s="621"/>
      <c r="AB446" s="1275"/>
      <c r="AC446" s="1273">
        <f t="shared" si="170"/>
        <v>1450</v>
      </c>
      <c r="AD446" s="621"/>
      <c r="AE446" s="1275"/>
      <c r="AF446" s="1273">
        <f t="shared" si="171"/>
        <v>1450</v>
      </c>
      <c r="AG446" s="621"/>
      <c r="AH446" s="1275"/>
      <c r="AI446" s="1273">
        <f t="shared" si="172"/>
        <v>1450</v>
      </c>
      <c r="AJ446" s="621"/>
      <c r="AK446" s="1275"/>
      <c r="AL446" s="1273">
        <f t="shared" si="173"/>
        <v>1450</v>
      </c>
      <c r="AM446" s="621"/>
      <c r="AN446" s="1275"/>
      <c r="AO446" s="1273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">
      <c r="A447" s="532" t="str">
        <f t="shared" si="111"/>
        <v>Téléphone</v>
      </c>
      <c r="B447" s="621" t="s">
        <v>127</v>
      </c>
      <c r="C447" s="621"/>
      <c r="D447" s="1275"/>
      <c r="E447" s="1273">
        <f t="shared" si="138"/>
        <v>5388</v>
      </c>
      <c r="F447" s="621"/>
      <c r="G447" s="1275"/>
      <c r="H447" s="1273">
        <f t="shared" si="163"/>
        <v>449</v>
      </c>
      <c r="I447" s="621"/>
      <c r="J447" s="1275"/>
      <c r="K447" s="1273">
        <f t="shared" si="164"/>
        <v>449</v>
      </c>
      <c r="L447" s="621"/>
      <c r="M447" s="1275"/>
      <c r="N447" s="1273">
        <f t="shared" si="165"/>
        <v>449</v>
      </c>
      <c r="O447" s="621"/>
      <c r="P447" s="1275"/>
      <c r="Q447" s="1273">
        <f t="shared" si="166"/>
        <v>449</v>
      </c>
      <c r="R447" s="621"/>
      <c r="S447" s="1275"/>
      <c r="T447" s="1273">
        <f t="shared" si="167"/>
        <v>449</v>
      </c>
      <c r="U447" s="621"/>
      <c r="V447" s="1275"/>
      <c r="W447" s="1273">
        <f t="shared" si="168"/>
        <v>449</v>
      </c>
      <c r="X447" s="621"/>
      <c r="Y447" s="1275"/>
      <c r="Z447" s="1273">
        <f t="shared" si="169"/>
        <v>449</v>
      </c>
      <c r="AA447" s="621"/>
      <c r="AB447" s="1275"/>
      <c r="AC447" s="1273">
        <f t="shared" si="170"/>
        <v>449</v>
      </c>
      <c r="AD447" s="621"/>
      <c r="AE447" s="1275"/>
      <c r="AF447" s="1273">
        <f t="shared" si="171"/>
        <v>449</v>
      </c>
      <c r="AG447" s="621"/>
      <c r="AH447" s="1275"/>
      <c r="AI447" s="1273">
        <f t="shared" si="172"/>
        <v>449</v>
      </c>
      <c r="AJ447" s="621"/>
      <c r="AK447" s="1275"/>
      <c r="AL447" s="1273">
        <f t="shared" si="173"/>
        <v>449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">
      <c r="A448" s="532" t="str">
        <f t="shared" si="111"/>
        <v>Frais postaux</v>
      </c>
      <c r="B448" s="621" t="s">
        <v>128</v>
      </c>
      <c r="C448" s="621"/>
      <c r="D448" s="1275"/>
      <c r="E448" s="1273">
        <f t="shared" si="138"/>
        <v>33900</v>
      </c>
      <c r="F448" s="621"/>
      <c r="G448" s="1275"/>
      <c r="H448" s="1273">
        <f t="shared" si="163"/>
        <v>2825</v>
      </c>
      <c r="I448" s="621"/>
      <c r="J448" s="1275"/>
      <c r="K448" s="1273">
        <f t="shared" si="164"/>
        <v>2825</v>
      </c>
      <c r="L448" s="621"/>
      <c r="M448" s="1275"/>
      <c r="N448" s="1273">
        <f t="shared" si="165"/>
        <v>2825</v>
      </c>
      <c r="O448" s="621"/>
      <c r="P448" s="1275"/>
      <c r="Q448" s="1273">
        <f t="shared" si="166"/>
        <v>2825</v>
      </c>
      <c r="R448" s="621"/>
      <c r="S448" s="1275"/>
      <c r="T448" s="1273">
        <f t="shared" si="167"/>
        <v>2825</v>
      </c>
      <c r="U448" s="621"/>
      <c r="V448" s="1275"/>
      <c r="W448" s="1273">
        <f t="shared" si="168"/>
        <v>2825</v>
      </c>
      <c r="X448" s="621"/>
      <c r="Y448" s="1275"/>
      <c r="Z448" s="1273">
        <f t="shared" si="169"/>
        <v>2825</v>
      </c>
      <c r="AA448" s="621"/>
      <c r="AB448" s="1275"/>
      <c r="AC448" s="1273">
        <f t="shared" si="170"/>
        <v>2825</v>
      </c>
      <c r="AD448" s="621"/>
      <c r="AE448" s="1275"/>
      <c r="AF448" s="1273">
        <f t="shared" si="171"/>
        <v>2825</v>
      </c>
      <c r="AG448" s="621"/>
      <c r="AH448" s="1275"/>
      <c r="AI448" s="1273">
        <f t="shared" si="172"/>
        <v>2825</v>
      </c>
      <c r="AJ448" s="621"/>
      <c r="AK448" s="1275"/>
      <c r="AL448" s="1273">
        <f t="shared" si="173"/>
        <v>2825</v>
      </c>
      <c r="AM448" s="621"/>
      <c r="AN448" s="1275"/>
      <c r="AO448" s="1273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">
      <c r="A449" s="532" t="str">
        <f t="shared" si="111"/>
        <v>Divers</v>
      </c>
      <c r="B449" s="621" t="s">
        <v>129</v>
      </c>
      <c r="C449" s="621"/>
      <c r="D449" s="1275"/>
      <c r="E449" s="1273">
        <f t="shared" si="138"/>
        <v>18659.999999999996</v>
      </c>
      <c r="F449" s="621"/>
      <c r="G449" s="1275"/>
      <c r="H449" s="1273">
        <f t="shared" si="163"/>
        <v>1554.9999999999998</v>
      </c>
      <c r="I449" s="621"/>
      <c r="J449" s="1275"/>
      <c r="K449" s="1273">
        <f t="shared" si="164"/>
        <v>1554.9999999999998</v>
      </c>
      <c r="L449" s="621"/>
      <c r="M449" s="1275"/>
      <c r="N449" s="1273">
        <f t="shared" si="165"/>
        <v>1554.9999999999998</v>
      </c>
      <c r="O449" s="621"/>
      <c r="P449" s="1275"/>
      <c r="Q449" s="1273">
        <f t="shared" si="166"/>
        <v>1554.9999999999998</v>
      </c>
      <c r="R449" s="621"/>
      <c r="S449" s="1275"/>
      <c r="T449" s="1273">
        <f t="shared" si="167"/>
        <v>1554.9999999999998</v>
      </c>
      <c r="U449" s="621"/>
      <c r="V449" s="1275"/>
      <c r="W449" s="1273">
        <f t="shared" si="168"/>
        <v>1554.9999999999998</v>
      </c>
      <c r="X449" s="621"/>
      <c r="Y449" s="1275"/>
      <c r="Z449" s="1273">
        <f t="shared" si="169"/>
        <v>1554.9999999999998</v>
      </c>
      <c r="AA449" s="621"/>
      <c r="AB449" s="1275"/>
      <c r="AC449" s="1273">
        <f t="shared" si="170"/>
        <v>1554.9999999999998</v>
      </c>
      <c r="AD449" s="621"/>
      <c r="AE449" s="1275"/>
      <c r="AF449" s="1273">
        <f t="shared" si="171"/>
        <v>1554.9999999999998</v>
      </c>
      <c r="AG449" s="621"/>
      <c r="AH449" s="1275"/>
      <c r="AI449" s="1273">
        <f t="shared" si="172"/>
        <v>1554.9999999999998</v>
      </c>
      <c r="AJ449" s="621"/>
      <c r="AK449" s="1275"/>
      <c r="AL449" s="1273">
        <f t="shared" si="173"/>
        <v>1554.9999999999998</v>
      </c>
      <c r="AM449" s="621"/>
      <c r="AN449" s="1275"/>
      <c r="AO449" s="1273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">
      <c r="A450" s="532" t="str">
        <f t="shared" si="111"/>
        <v>Formation</v>
      </c>
      <c r="B450" s="621" t="s">
        <v>130</v>
      </c>
      <c r="C450" s="621"/>
      <c r="D450" s="1275"/>
      <c r="E450" s="1273">
        <f t="shared" si="138"/>
        <v>28447.840000000011</v>
      </c>
      <c r="F450" s="621"/>
      <c r="G450" s="1275"/>
      <c r="H450" s="1273">
        <f t="shared" si="163"/>
        <v>2370.6533333333336</v>
      </c>
      <c r="I450" s="621"/>
      <c r="J450" s="1275"/>
      <c r="K450" s="1273">
        <f t="shared" si="164"/>
        <v>2370.6533333333336</v>
      </c>
      <c r="L450" s="621"/>
      <c r="M450" s="1275"/>
      <c r="N450" s="1273">
        <f t="shared" si="165"/>
        <v>2370.6533333333336</v>
      </c>
      <c r="O450" s="621"/>
      <c r="P450" s="1275"/>
      <c r="Q450" s="1273">
        <f t="shared" si="166"/>
        <v>2370.6533333333336</v>
      </c>
      <c r="R450" s="621"/>
      <c r="S450" s="1275"/>
      <c r="T450" s="1273">
        <f t="shared" si="167"/>
        <v>2370.6533333333336</v>
      </c>
      <c r="U450" s="621"/>
      <c r="V450" s="1275"/>
      <c r="W450" s="1273">
        <f t="shared" si="168"/>
        <v>2370.6533333333336</v>
      </c>
      <c r="X450" s="621"/>
      <c r="Y450" s="1275"/>
      <c r="Z450" s="1273">
        <f t="shared" si="169"/>
        <v>2370.6533333333336</v>
      </c>
      <c r="AA450" s="621"/>
      <c r="AB450" s="1275"/>
      <c r="AC450" s="1273">
        <f t="shared" si="170"/>
        <v>2370.6533333333336</v>
      </c>
      <c r="AD450" s="621"/>
      <c r="AE450" s="1275"/>
      <c r="AF450" s="1273">
        <f t="shared" si="171"/>
        <v>2370.6533333333336</v>
      </c>
      <c r="AG450" s="621"/>
      <c r="AH450" s="1275"/>
      <c r="AI450" s="1273">
        <f t="shared" si="172"/>
        <v>2370.6533333333336</v>
      </c>
      <c r="AJ450" s="621"/>
      <c r="AK450" s="1275"/>
      <c r="AL450" s="1273">
        <f t="shared" si="173"/>
        <v>2370.6533333333336</v>
      </c>
      <c r="AM450" s="621"/>
      <c r="AN450" s="1275"/>
      <c r="AO450" s="1273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">
      <c r="A451" s="532" t="str">
        <f t="shared" si="111"/>
        <v>Frais bancaires</v>
      </c>
      <c r="B451" s="621" t="s">
        <v>131</v>
      </c>
      <c r="C451" s="621"/>
      <c r="D451" s="1275"/>
      <c r="E451" s="1273">
        <f t="shared" si="138"/>
        <v>105503.59130434784</v>
      </c>
      <c r="F451" s="621"/>
      <c r="G451" s="1275"/>
      <c r="H451" s="1273">
        <f t="shared" si="163"/>
        <v>5625.3038846172858</v>
      </c>
      <c r="I451" s="621"/>
      <c r="J451" s="1275"/>
      <c r="K451" s="1273">
        <f t="shared" si="164"/>
        <v>5901.4808649523075</v>
      </c>
      <c r="L451" s="621"/>
      <c r="M451" s="1275"/>
      <c r="N451" s="1273">
        <f t="shared" si="165"/>
        <v>9079.5625293453213</v>
      </c>
      <c r="O451" s="621"/>
      <c r="P451" s="1275"/>
      <c r="Q451" s="1273">
        <f t="shared" si="166"/>
        <v>10736.636444693677</v>
      </c>
      <c r="R451" s="621"/>
      <c r="S451" s="1275"/>
      <c r="T451" s="1273">
        <f t="shared" si="167"/>
        <v>11969.181292239955</v>
      </c>
      <c r="U451" s="621"/>
      <c r="V451" s="1275"/>
      <c r="W451" s="1273">
        <f t="shared" si="168"/>
        <v>9945.5593580182776</v>
      </c>
      <c r="X451" s="621"/>
      <c r="Y451" s="1275"/>
      <c r="Z451" s="1273">
        <f t="shared" si="169"/>
        <v>8049.6895310394757</v>
      </c>
      <c r="AA451" s="621"/>
      <c r="AB451" s="1275"/>
      <c r="AC451" s="1273">
        <f t="shared" si="170"/>
        <v>8060.2860615361133</v>
      </c>
      <c r="AD451" s="621"/>
      <c r="AE451" s="1275"/>
      <c r="AF451" s="1273">
        <f t="shared" si="171"/>
        <v>9562.1964573080531</v>
      </c>
      <c r="AG451" s="621"/>
      <c r="AH451" s="1275"/>
      <c r="AI451" s="1273">
        <f t="shared" si="172"/>
        <v>10562.799315335535</v>
      </c>
      <c r="AJ451" s="621"/>
      <c r="AK451" s="1275"/>
      <c r="AL451" s="1273">
        <f t="shared" si="173"/>
        <v>9671.8076064850466</v>
      </c>
      <c r="AM451" s="621"/>
      <c r="AN451" s="1275"/>
      <c r="AO451" s="1273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5"/>
      <c r="E452" s="1273">
        <f t="shared" si="138"/>
        <v>0</v>
      </c>
      <c r="F452" s="621"/>
      <c r="G452" s="1275"/>
      <c r="H452" s="1273">
        <f t="shared" si="163"/>
        <v>0</v>
      </c>
      <c r="I452" s="621"/>
      <c r="J452" s="1275"/>
      <c r="K452" s="1273">
        <f t="shared" si="164"/>
        <v>0</v>
      </c>
      <c r="L452" s="621"/>
      <c r="M452" s="1275"/>
      <c r="N452" s="1273">
        <f t="shared" si="165"/>
        <v>0</v>
      </c>
      <c r="O452" s="621"/>
      <c r="P452" s="1275"/>
      <c r="Q452" s="1273">
        <f t="shared" si="166"/>
        <v>0</v>
      </c>
      <c r="R452" s="621"/>
      <c r="S452" s="1275"/>
      <c r="T452" s="1273">
        <f t="shared" si="167"/>
        <v>0</v>
      </c>
      <c r="U452" s="621"/>
      <c r="V452" s="1275"/>
      <c r="W452" s="1273">
        <f t="shared" si="168"/>
        <v>0</v>
      </c>
      <c r="X452" s="621"/>
      <c r="Y452" s="1275"/>
      <c r="Z452" s="1273">
        <f t="shared" si="169"/>
        <v>0</v>
      </c>
      <c r="AA452" s="621"/>
      <c r="AB452" s="1275"/>
      <c r="AC452" s="1273">
        <f t="shared" si="170"/>
        <v>0</v>
      </c>
      <c r="AD452" s="621"/>
      <c r="AE452" s="1275"/>
      <c r="AF452" s="1273">
        <f t="shared" si="171"/>
        <v>0</v>
      </c>
      <c r="AG452" s="621"/>
      <c r="AH452" s="1275"/>
      <c r="AI452" s="1273">
        <f t="shared" si="172"/>
        <v>0</v>
      </c>
      <c r="AJ452" s="621"/>
      <c r="AK452" s="1275"/>
      <c r="AL452" s="1273">
        <f t="shared" si="173"/>
        <v>0</v>
      </c>
      <c r="AM452" s="621"/>
      <c r="AN452" s="1275"/>
      <c r="AO452" s="1273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5"/>
      <c r="E453" s="1273">
        <f t="shared" si="138"/>
        <v>0</v>
      </c>
      <c r="F453" s="621"/>
      <c r="G453" s="1275"/>
      <c r="H453" s="1273">
        <f t="shared" si="163"/>
        <v>0</v>
      </c>
      <c r="I453" s="621"/>
      <c r="J453" s="1275"/>
      <c r="K453" s="1273">
        <f t="shared" si="164"/>
        <v>0</v>
      </c>
      <c r="L453" s="621"/>
      <c r="M453" s="1275"/>
      <c r="N453" s="1273">
        <f t="shared" si="165"/>
        <v>0</v>
      </c>
      <c r="O453" s="621"/>
      <c r="P453" s="1275"/>
      <c r="Q453" s="1273">
        <f t="shared" si="166"/>
        <v>0</v>
      </c>
      <c r="R453" s="621"/>
      <c r="S453" s="1275"/>
      <c r="T453" s="1273">
        <f t="shared" si="167"/>
        <v>0</v>
      </c>
      <c r="U453" s="621"/>
      <c r="V453" s="1275"/>
      <c r="W453" s="1273">
        <f t="shared" si="168"/>
        <v>0</v>
      </c>
      <c r="X453" s="621"/>
      <c r="Y453" s="1275"/>
      <c r="Z453" s="1273">
        <f t="shared" si="169"/>
        <v>0</v>
      </c>
      <c r="AA453" s="621"/>
      <c r="AB453" s="1275"/>
      <c r="AC453" s="1273">
        <f t="shared" si="170"/>
        <v>0</v>
      </c>
      <c r="AD453" s="621"/>
      <c r="AE453" s="1275"/>
      <c r="AF453" s="1273">
        <f t="shared" si="171"/>
        <v>0</v>
      </c>
      <c r="AG453" s="621"/>
      <c r="AH453" s="1275"/>
      <c r="AI453" s="1273">
        <f t="shared" si="172"/>
        <v>0</v>
      </c>
      <c r="AJ453" s="621"/>
      <c r="AK453" s="1275"/>
      <c r="AL453" s="1273">
        <f t="shared" si="173"/>
        <v>0</v>
      </c>
      <c r="AM453" s="621"/>
      <c r="AN453" s="1275"/>
      <c r="AO453" s="1273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5"/>
      <c r="E454" s="1273">
        <f t="shared" si="138"/>
        <v>0</v>
      </c>
      <c r="F454" s="621"/>
      <c r="G454" s="1275"/>
      <c r="H454" s="1273">
        <f t="shared" si="163"/>
        <v>0</v>
      </c>
      <c r="I454" s="621"/>
      <c r="J454" s="1275"/>
      <c r="K454" s="1273">
        <f t="shared" si="164"/>
        <v>0</v>
      </c>
      <c r="L454" s="621"/>
      <c r="M454" s="1275"/>
      <c r="N454" s="1273">
        <f t="shared" si="165"/>
        <v>0</v>
      </c>
      <c r="O454" s="621"/>
      <c r="P454" s="1275"/>
      <c r="Q454" s="1273">
        <f t="shared" si="166"/>
        <v>0</v>
      </c>
      <c r="R454" s="621"/>
      <c r="S454" s="1275"/>
      <c r="T454" s="1273">
        <f t="shared" si="167"/>
        <v>0</v>
      </c>
      <c r="U454" s="621"/>
      <c r="V454" s="1275"/>
      <c r="W454" s="1273">
        <f t="shared" si="168"/>
        <v>0</v>
      </c>
      <c r="X454" s="621"/>
      <c r="Y454" s="1275"/>
      <c r="Z454" s="1273">
        <f t="shared" si="169"/>
        <v>0</v>
      </c>
      <c r="AA454" s="621"/>
      <c r="AB454" s="1275"/>
      <c r="AC454" s="1273">
        <f t="shared" si="170"/>
        <v>0</v>
      </c>
      <c r="AD454" s="621"/>
      <c r="AE454" s="1275"/>
      <c r="AF454" s="1273">
        <f t="shared" si="171"/>
        <v>0</v>
      </c>
      <c r="AG454" s="621"/>
      <c r="AH454" s="1275"/>
      <c r="AI454" s="1273">
        <f t="shared" si="172"/>
        <v>0</v>
      </c>
      <c r="AJ454" s="621"/>
      <c r="AK454" s="1275"/>
      <c r="AL454" s="1273">
        <f t="shared" si="173"/>
        <v>0</v>
      </c>
      <c r="AM454" s="621"/>
      <c r="AN454" s="1275"/>
      <c r="AO454" s="1273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">
      <c r="A455" s="532" t="str">
        <f t="shared" si="111"/>
        <v>TOTAL SEMI-FIXES</v>
      </c>
      <c r="B455" s="1379" t="s">
        <v>132</v>
      </c>
      <c r="C455" s="1279">
        <f>IFERROR(E455/E410,0)</f>
        <v>0.16474871386325696</v>
      </c>
      <c r="D455" s="1280"/>
      <c r="E455" s="1281">
        <f>+SUM(E437:E454)</f>
        <v>985113.78130434791</v>
      </c>
      <c r="F455" s="1279">
        <f>IFERROR(H455/H410,0)</f>
        <v>0.2444713767654883</v>
      </c>
      <c r="G455" s="1280"/>
      <c r="H455" s="1281">
        <f>+SUM(H437:H454)</f>
        <v>79663.708305331587</v>
      </c>
      <c r="I455" s="1279">
        <f>IFERROR(K455/K410,0)</f>
        <v>0.24854456901754823</v>
      </c>
      <c r="J455" s="1280"/>
      <c r="K455" s="1281">
        <f>+SUM(K437:K454)</f>
        <v>80341.274948660212</v>
      </c>
      <c r="L455" s="1279">
        <f>IFERROR(N455/N410,0)</f>
        <v>0.17330445563006774</v>
      </c>
      <c r="M455" s="1280"/>
      <c r="N455" s="1281">
        <f>+SUM(N437:N454)</f>
        <v>84004.511954185524</v>
      </c>
      <c r="O455" s="1279">
        <f>IFERROR(Q455/Q410,0)</f>
        <v>0.14197888992467214</v>
      </c>
      <c r="P455" s="1280"/>
      <c r="Q455" s="1281">
        <f>+SUM(Q437:Q454)</f>
        <v>87472.760894625972</v>
      </c>
      <c r="R455" s="1279">
        <f>IFERROR(T455/T410,0)</f>
        <v>0.13310342368944475</v>
      </c>
      <c r="S455" s="1280"/>
      <c r="T455" s="1281">
        <f>+SUM(T437:T454)</f>
        <v>88039.864280309703</v>
      </c>
      <c r="U455" s="1279">
        <f>IFERROR(W455/W410,0)</f>
        <v>0.15111120726582994</v>
      </c>
      <c r="V455" s="1280"/>
      <c r="W455" s="1281">
        <f>+SUM(W437:W454)</f>
        <v>81406.482565175145</v>
      </c>
      <c r="X455" s="1279">
        <f>IFERROR(Z455/Z410,0)</f>
        <v>0.16496914238241764</v>
      </c>
      <c r="Y455" s="1280"/>
      <c r="Z455" s="1281">
        <f>+SUM(Z437:Z454)</f>
        <v>80043.154052531449</v>
      </c>
      <c r="AA455" s="1279">
        <f>IFERROR(AC455/AC410,0)</f>
        <v>0.17240396209186906</v>
      </c>
      <c r="AB455" s="1280"/>
      <c r="AC455" s="1281">
        <f>+SUM(AC437:AC454)</f>
        <v>79365.6264216993</v>
      </c>
      <c r="AD455" s="1279">
        <f>IFERROR(AF455/AF410,0)</f>
        <v>0.16174335063500331</v>
      </c>
      <c r="AE455" s="1280"/>
      <c r="AF455" s="1281">
        <f>+SUM(AF437:AF454)</f>
        <v>80362.703437653036</v>
      </c>
      <c r="AG455" s="1279">
        <f>IFERROR(AI455/AI410,0)</f>
        <v>0.13656063524490725</v>
      </c>
      <c r="AH455" s="1280"/>
      <c r="AI455" s="1281">
        <f>+SUM(AI437:AI454)</f>
        <v>83630.194069603458</v>
      </c>
      <c r="AJ455" s="1279">
        <f>IFERROR(AL455/AL410,0)</f>
        <v>0.1374712124108132</v>
      </c>
      <c r="AK455" s="1280"/>
      <c r="AL455" s="1281">
        <f>+SUM(AL437:AL454)</f>
        <v>83278.501631112362</v>
      </c>
      <c r="AM455" s="1279">
        <f>IFERROR(AO455/AO410,0)</f>
        <v>0.21014634706927587</v>
      </c>
      <c r="AN455" s="1280"/>
      <c r="AO455" s="1281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">
      <c r="A456" s="532" t="str">
        <f t="shared" si="111"/>
        <v>Loyer</v>
      </c>
      <c r="B456" s="621" t="s">
        <v>224</v>
      </c>
      <c r="C456" s="621"/>
      <c r="D456" s="1275"/>
      <c r="E456" s="1273">
        <f t="shared" si="138"/>
        <v>600000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">
      <c r="A457" s="532" t="str">
        <f t="shared" si="111"/>
        <v>Taxes foncières</v>
      </c>
      <c r="B457" s="621" t="s">
        <v>226</v>
      </c>
      <c r="C457" s="621"/>
      <c r="D457" s="1275"/>
      <c r="E457" s="1273">
        <f t="shared" si="138"/>
        <v>76158.36</v>
      </c>
      <c r="F457" s="621"/>
      <c r="G457" s="1275"/>
      <c r="H457" s="1285">
        <v>6346.5300000000007</v>
      </c>
      <c r="I457" s="621"/>
      <c r="J457" s="1275"/>
      <c r="K457" s="1285">
        <v>6346.5300000000007</v>
      </c>
      <c r="L457" s="621"/>
      <c r="M457" s="1275"/>
      <c r="N457" s="1285">
        <v>6346.5300000000007</v>
      </c>
      <c r="O457" s="621"/>
      <c r="P457" s="1275"/>
      <c r="Q457" s="1285">
        <v>6346.5300000000007</v>
      </c>
      <c r="R457" s="621"/>
      <c r="S457" s="1275"/>
      <c r="T457" s="1285">
        <v>6346.5300000000007</v>
      </c>
      <c r="U457" s="621"/>
      <c r="V457" s="1275"/>
      <c r="W457" s="1285">
        <v>6346.5300000000007</v>
      </c>
      <c r="X457" s="621"/>
      <c r="Y457" s="1275"/>
      <c r="Z457" s="1285">
        <v>6346.5300000000007</v>
      </c>
      <c r="AA457" s="621"/>
      <c r="AB457" s="1275"/>
      <c r="AC457" s="1285">
        <v>6346.5300000000007</v>
      </c>
      <c r="AD457" s="621"/>
      <c r="AE457" s="1275"/>
      <c r="AF457" s="1285">
        <v>6346.5300000000007</v>
      </c>
      <c r="AG457" s="621"/>
      <c r="AH457" s="1275"/>
      <c r="AI457" s="1285">
        <v>6346.5300000000007</v>
      </c>
      <c r="AJ457" s="621"/>
      <c r="AK457" s="1275"/>
      <c r="AL457" s="1285">
        <v>6346.5300000000007</v>
      </c>
      <c r="AM457" s="621"/>
      <c r="AN457" s="1275"/>
      <c r="AO457" s="1285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">
      <c r="A458" s="532" t="str">
        <f t="shared" si="111"/>
        <v>Taxes d`affaires</v>
      </c>
      <c r="B458" s="618" t="s">
        <v>228</v>
      </c>
      <c r="C458" s="618"/>
      <c r="D458" s="1277"/>
      <c r="E458" s="1262">
        <f t="shared" si="138"/>
        <v>32639.280000000013</v>
      </c>
      <c r="F458" s="618"/>
      <c r="G458" s="1277"/>
      <c r="H458" s="1302">
        <v>2719.9400000000005</v>
      </c>
      <c r="I458" s="618"/>
      <c r="J458" s="1277"/>
      <c r="K458" s="1302">
        <v>2719.9400000000005</v>
      </c>
      <c r="L458" s="618"/>
      <c r="M458" s="1277"/>
      <c r="N458" s="1302">
        <v>2719.9400000000005</v>
      </c>
      <c r="O458" s="618"/>
      <c r="P458" s="1277"/>
      <c r="Q458" s="1302">
        <v>2719.9400000000005</v>
      </c>
      <c r="R458" s="618"/>
      <c r="S458" s="1277"/>
      <c r="T458" s="1302">
        <v>2719.9400000000005</v>
      </c>
      <c r="U458" s="618"/>
      <c r="V458" s="1277"/>
      <c r="W458" s="1302">
        <v>2719.9400000000005</v>
      </c>
      <c r="X458" s="618"/>
      <c r="Y458" s="1277"/>
      <c r="Z458" s="1302">
        <v>2719.9400000000005</v>
      </c>
      <c r="AA458" s="618"/>
      <c r="AB458" s="1277"/>
      <c r="AC458" s="1302">
        <v>2719.9400000000005</v>
      </c>
      <c r="AD458" s="618"/>
      <c r="AE458" s="1277"/>
      <c r="AF458" s="1302">
        <v>2719.9400000000005</v>
      </c>
      <c r="AG458" s="618"/>
      <c r="AH458" s="1277"/>
      <c r="AI458" s="1302">
        <v>2719.9400000000005</v>
      </c>
      <c r="AJ458" s="618"/>
      <c r="AK458" s="1277"/>
      <c r="AL458" s="1302">
        <v>2719.9400000000005</v>
      </c>
      <c r="AM458" s="618"/>
      <c r="AN458" s="1277"/>
      <c r="AO458" s="1302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">
      <c r="A459" s="532" t="str">
        <f t="shared" si="111"/>
        <v>Taxe sur le capital</v>
      </c>
      <c r="B459" s="621" t="s">
        <v>230</v>
      </c>
      <c r="C459" s="621"/>
      <c r="D459" s="1275"/>
      <c r="E459" s="1273">
        <f t="shared" si="138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">
      <c r="A460" s="532" t="str">
        <f t="shared" si="111"/>
        <v>Assurances</v>
      </c>
      <c r="B460" s="618" t="s">
        <v>231</v>
      </c>
      <c r="C460" s="618"/>
      <c r="D460" s="1277"/>
      <c r="E460" s="1262">
        <f t="shared" si="138"/>
        <v>42854</v>
      </c>
      <c r="F460" s="618"/>
      <c r="G460" s="1277"/>
      <c r="H460" s="1302">
        <v>3571.166666666667</v>
      </c>
      <c r="I460" s="618"/>
      <c r="J460" s="1277"/>
      <c r="K460" s="1302">
        <v>3571.166666666667</v>
      </c>
      <c r="L460" s="618"/>
      <c r="M460" s="1277"/>
      <c r="N460" s="1302">
        <v>3571.166666666667</v>
      </c>
      <c r="O460" s="618"/>
      <c r="P460" s="1277"/>
      <c r="Q460" s="1302">
        <v>3571.166666666667</v>
      </c>
      <c r="R460" s="618"/>
      <c r="S460" s="1277"/>
      <c r="T460" s="1302">
        <v>3571.166666666667</v>
      </c>
      <c r="U460" s="618"/>
      <c r="V460" s="1277"/>
      <c r="W460" s="1302">
        <v>3571.166666666667</v>
      </c>
      <c r="X460" s="618"/>
      <c r="Y460" s="1277"/>
      <c r="Z460" s="1302">
        <v>3571.166666666667</v>
      </c>
      <c r="AA460" s="618"/>
      <c r="AB460" s="1277"/>
      <c r="AC460" s="1302">
        <v>3571.166666666667</v>
      </c>
      <c r="AD460" s="618"/>
      <c r="AE460" s="1277"/>
      <c r="AF460" s="1302">
        <v>3571.166666666667</v>
      </c>
      <c r="AG460" s="618"/>
      <c r="AH460" s="1277"/>
      <c r="AI460" s="1302">
        <v>3571.166666666667</v>
      </c>
      <c r="AJ460" s="618"/>
      <c r="AK460" s="1277"/>
      <c r="AL460" s="1302">
        <v>3571.166666666667</v>
      </c>
      <c r="AM460" s="618"/>
      <c r="AN460" s="1277"/>
      <c r="AO460" s="1302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">
      <c r="A461" s="532" t="str">
        <f t="shared" si="111"/>
        <v>Chauffage, éclairage</v>
      </c>
      <c r="B461" s="621" t="s">
        <v>233</v>
      </c>
      <c r="C461" s="621"/>
      <c r="D461" s="1275"/>
      <c r="E461" s="1273">
        <f t="shared" si="138"/>
        <v>80100</v>
      </c>
      <c r="F461" s="621"/>
      <c r="G461" s="1275"/>
      <c r="H461" s="1285">
        <v>6675</v>
      </c>
      <c r="I461" s="621"/>
      <c r="J461" s="1275"/>
      <c r="K461" s="1285">
        <v>6675</v>
      </c>
      <c r="L461" s="621"/>
      <c r="M461" s="1275"/>
      <c r="N461" s="1285">
        <v>6675</v>
      </c>
      <c r="O461" s="621"/>
      <c r="P461" s="1275"/>
      <c r="Q461" s="1285">
        <v>6675</v>
      </c>
      <c r="R461" s="621"/>
      <c r="S461" s="1275"/>
      <c r="T461" s="1285">
        <v>6675</v>
      </c>
      <c r="U461" s="621"/>
      <c r="V461" s="1275"/>
      <c r="W461" s="1285">
        <v>6675</v>
      </c>
      <c r="X461" s="621"/>
      <c r="Y461" s="1275"/>
      <c r="Z461" s="1285">
        <v>6675</v>
      </c>
      <c r="AA461" s="621"/>
      <c r="AB461" s="1275"/>
      <c r="AC461" s="1285">
        <v>6675</v>
      </c>
      <c r="AD461" s="621"/>
      <c r="AE461" s="1275"/>
      <c r="AF461" s="1285">
        <v>6675</v>
      </c>
      <c r="AG461" s="621"/>
      <c r="AH461" s="1275"/>
      <c r="AI461" s="1285">
        <v>6675</v>
      </c>
      <c r="AJ461" s="621"/>
      <c r="AK461" s="1275"/>
      <c r="AL461" s="1285">
        <v>6675</v>
      </c>
      <c r="AM461" s="621"/>
      <c r="AN461" s="1275"/>
      <c r="AO461" s="1285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">
      <c r="A462" s="532" t="str">
        <f t="shared" si="111"/>
        <v>Honoraires</v>
      </c>
      <c r="B462" s="621" t="s">
        <v>235</v>
      </c>
      <c r="C462" s="621"/>
      <c r="D462" s="1275"/>
      <c r="E462" s="1273">
        <f t="shared" si="138"/>
        <v>21000</v>
      </c>
      <c r="F462" s="621"/>
      <c r="G462" s="1275"/>
      <c r="H462" s="1285">
        <v>1750</v>
      </c>
      <c r="I462" s="621"/>
      <c r="J462" s="1275"/>
      <c r="K462" s="1285">
        <v>1750</v>
      </c>
      <c r="L462" s="621"/>
      <c r="M462" s="1275"/>
      <c r="N462" s="1285">
        <v>1750</v>
      </c>
      <c r="O462" s="621"/>
      <c r="P462" s="1275"/>
      <c r="Q462" s="1285">
        <v>1750</v>
      </c>
      <c r="R462" s="621"/>
      <c r="S462" s="1275"/>
      <c r="T462" s="1285">
        <v>1750</v>
      </c>
      <c r="U462" s="621"/>
      <c r="V462" s="1275"/>
      <c r="W462" s="1285">
        <v>1750</v>
      </c>
      <c r="X462" s="621"/>
      <c r="Y462" s="1275"/>
      <c r="Z462" s="1285">
        <v>1750</v>
      </c>
      <c r="AA462" s="621"/>
      <c r="AB462" s="1275"/>
      <c r="AC462" s="1285">
        <v>1750</v>
      </c>
      <c r="AD462" s="621"/>
      <c r="AE462" s="1275"/>
      <c r="AF462" s="1285">
        <v>1750</v>
      </c>
      <c r="AG462" s="621"/>
      <c r="AH462" s="1275"/>
      <c r="AI462" s="1285">
        <v>1750</v>
      </c>
      <c r="AJ462" s="621"/>
      <c r="AK462" s="1275"/>
      <c r="AL462" s="1285">
        <v>1750</v>
      </c>
      <c r="AM462" s="621"/>
      <c r="AN462" s="1275"/>
      <c r="AO462" s="1285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">
      <c r="A463" s="532" t="str">
        <f t="shared" si="111"/>
        <v>Réparation équipement</v>
      </c>
      <c r="B463" s="618" t="s">
        <v>237</v>
      </c>
      <c r="C463" s="618"/>
      <c r="D463" s="1277"/>
      <c r="E463" s="1262">
        <f t="shared" si="138"/>
        <v>5400</v>
      </c>
      <c r="F463" s="618"/>
      <c r="G463" s="1277"/>
      <c r="H463" s="1302">
        <v>450</v>
      </c>
      <c r="I463" s="618"/>
      <c r="J463" s="1277"/>
      <c r="K463" s="1302">
        <v>450</v>
      </c>
      <c r="L463" s="618"/>
      <c r="M463" s="1277"/>
      <c r="N463" s="1302">
        <v>450</v>
      </c>
      <c r="O463" s="618"/>
      <c r="P463" s="1277"/>
      <c r="Q463" s="1302">
        <v>450</v>
      </c>
      <c r="R463" s="618"/>
      <c r="S463" s="1277"/>
      <c r="T463" s="1302">
        <v>450</v>
      </c>
      <c r="U463" s="618"/>
      <c r="V463" s="1277"/>
      <c r="W463" s="1302">
        <v>450</v>
      </c>
      <c r="X463" s="618"/>
      <c r="Y463" s="1277"/>
      <c r="Z463" s="1302">
        <v>450</v>
      </c>
      <c r="AA463" s="618"/>
      <c r="AB463" s="1277"/>
      <c r="AC463" s="1302">
        <v>450</v>
      </c>
      <c r="AD463" s="618"/>
      <c r="AE463" s="1277"/>
      <c r="AF463" s="1302">
        <v>450</v>
      </c>
      <c r="AG463" s="618"/>
      <c r="AH463" s="1277"/>
      <c r="AI463" s="1302">
        <v>450</v>
      </c>
      <c r="AJ463" s="618"/>
      <c r="AK463" s="1277"/>
      <c r="AL463" s="1302">
        <v>450</v>
      </c>
      <c r="AM463" s="618"/>
      <c r="AN463" s="1277"/>
      <c r="AO463" s="1302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">
      <c r="A464" s="532" t="str">
        <f t="shared" si="111"/>
        <v>Location équipement</v>
      </c>
      <c r="B464" s="621" t="s">
        <v>239</v>
      </c>
      <c r="C464" s="621"/>
      <c r="D464" s="1275"/>
      <c r="E464" s="1273">
        <f t="shared" si="138"/>
        <v>3348</v>
      </c>
      <c r="F464" s="621"/>
      <c r="G464" s="1275"/>
      <c r="H464" s="1285">
        <v>279</v>
      </c>
      <c r="I464" s="621"/>
      <c r="J464" s="1275"/>
      <c r="K464" s="1285">
        <v>279</v>
      </c>
      <c r="L464" s="621"/>
      <c r="M464" s="1275"/>
      <c r="N464" s="1285">
        <v>279</v>
      </c>
      <c r="O464" s="621"/>
      <c r="P464" s="1275"/>
      <c r="Q464" s="1285">
        <v>279</v>
      </c>
      <c r="R464" s="621"/>
      <c r="S464" s="1275"/>
      <c r="T464" s="1285">
        <v>279</v>
      </c>
      <c r="U464" s="621"/>
      <c r="V464" s="1275"/>
      <c r="W464" s="1285">
        <v>279</v>
      </c>
      <c r="X464" s="621"/>
      <c r="Y464" s="1275"/>
      <c r="Z464" s="1285">
        <v>279</v>
      </c>
      <c r="AA464" s="621"/>
      <c r="AB464" s="1275"/>
      <c r="AC464" s="1285">
        <v>279</v>
      </c>
      <c r="AD464" s="621"/>
      <c r="AE464" s="1275"/>
      <c r="AF464" s="1285">
        <v>279</v>
      </c>
      <c r="AG464" s="621"/>
      <c r="AH464" s="1275"/>
      <c r="AI464" s="1285">
        <v>279</v>
      </c>
      <c r="AJ464" s="621"/>
      <c r="AK464" s="1275"/>
      <c r="AL464" s="1285">
        <v>279</v>
      </c>
      <c r="AM464" s="621"/>
      <c r="AN464" s="1275"/>
      <c r="AO464" s="1285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">
      <c r="A465" s="532" t="str">
        <f t="shared" si="111"/>
        <v>Dons</v>
      </c>
      <c r="B465" s="621" t="s">
        <v>241</v>
      </c>
      <c r="C465" s="621"/>
      <c r="D465" s="1275"/>
      <c r="E465" s="1273">
        <f t="shared" si="138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5"/>
      <c r="E466" s="1273">
        <f t="shared" si="138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/>
      <c r="AG466" s="621"/>
      <c r="AH466" s="1275"/>
      <c r="AI466" s="1273"/>
      <c r="AJ466" s="621"/>
      <c r="AK466" s="1275"/>
      <c r="AL466" s="1273"/>
      <c r="AM466" s="621"/>
      <c r="AN466" s="1275"/>
      <c r="AO466" s="1273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5"/>
      <c r="E467" s="1273">
        <f t="shared" si="138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/>
      <c r="AG467" s="621"/>
      <c r="AH467" s="1275"/>
      <c r="AI467" s="1273"/>
      <c r="AJ467" s="621"/>
      <c r="AK467" s="1275"/>
      <c r="AL467" s="1273"/>
      <c r="AM467" s="621"/>
      <c r="AN467" s="1275"/>
      <c r="AO467" s="1273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5"/>
      <c r="E468" s="1273">
        <f t="shared" si="138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/>
      <c r="AG468" s="621"/>
      <c r="AH468" s="1275"/>
      <c r="AI468" s="1273"/>
      <c r="AJ468" s="621"/>
      <c r="AK468" s="1275"/>
      <c r="AL468" s="1273"/>
      <c r="AM468" s="621"/>
      <c r="AN468" s="1275"/>
      <c r="AO468" s="1273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">
      <c r="A469" s="532" t="str">
        <f t="shared" si="111"/>
        <v>TOTAL DÉPENSES FIXES</v>
      </c>
      <c r="B469" s="1379" t="s">
        <v>243</v>
      </c>
      <c r="C469" s="1279">
        <f>IFERROR(E469/E410,0)</f>
        <v>0.14407570006353382</v>
      </c>
      <c r="D469" s="1280"/>
      <c r="E469" s="1281">
        <f>SUM(E456:E468)</f>
        <v>861499.64</v>
      </c>
      <c r="F469" s="1279">
        <f>IFERROR(H469/H410,0)</f>
        <v>0.22031362372536062</v>
      </c>
      <c r="G469" s="1280"/>
      <c r="H469" s="1281">
        <f>SUM(H456:H468)</f>
        <v>71791.636666666658</v>
      </c>
      <c r="I469" s="1279">
        <f>IFERROR(K469/K410,0)</f>
        <v>0.22209532280615915</v>
      </c>
      <c r="J469" s="1280"/>
      <c r="K469" s="1281">
        <f>SUM(K456:K468)</f>
        <v>71791.636666666658</v>
      </c>
      <c r="L469" s="1279">
        <f>IFERROR(N469/N410,0)</f>
        <v>0.14810883632171812</v>
      </c>
      <c r="M469" s="1280"/>
      <c r="N469" s="1281">
        <f>SUM(N456:N468)</f>
        <v>71791.636666666658</v>
      </c>
      <c r="O469" s="1279">
        <f>IFERROR(Q469/Q410,0)</f>
        <v>0.11652652523552551</v>
      </c>
      <c r="P469" s="1280"/>
      <c r="Q469" s="1281">
        <f>SUM(Q456:Q468)</f>
        <v>71791.636666666658</v>
      </c>
      <c r="R469" s="1279">
        <f>IFERROR(T469/T410,0)</f>
        <v>0.10853847527726328</v>
      </c>
      <c r="S469" s="1280"/>
      <c r="T469" s="1281">
        <f>SUM(T456:T468)</f>
        <v>71791.636666666658</v>
      </c>
      <c r="U469" s="1279">
        <f>IFERROR(W469/W410,0)</f>
        <v>0.13326359948796887</v>
      </c>
      <c r="V469" s="1280"/>
      <c r="W469" s="1281">
        <f>SUM(W456:W468)</f>
        <v>71791.636666666658</v>
      </c>
      <c r="X469" s="1279">
        <f>IFERROR(Z469/Z410,0)</f>
        <v>0.14796274423865693</v>
      </c>
      <c r="Y469" s="1280"/>
      <c r="Z469" s="1281">
        <f>SUM(Z456:Z468)</f>
        <v>71791.636666666658</v>
      </c>
      <c r="AA469" s="1279">
        <f>IFERROR(AC469/AC410,0)</f>
        <v>0.15595117388261684</v>
      </c>
      <c r="AB469" s="1280"/>
      <c r="AC469" s="1281">
        <f>SUM(AC456:AC468)</f>
        <v>71791.636666666658</v>
      </c>
      <c r="AD469" s="1279">
        <f>IFERROR(AF469/AF410,0)</f>
        <v>0.14449264852128951</v>
      </c>
      <c r="AE469" s="1280"/>
      <c r="AF469" s="1281">
        <f>SUM(AF456:AF468)</f>
        <v>71791.636666666658</v>
      </c>
      <c r="AG469" s="1279">
        <f>IFERROR(AI469/AI410,0)</f>
        <v>0.11722932868375276</v>
      </c>
      <c r="AH469" s="1280"/>
      <c r="AI469" s="1281">
        <f>SUM(AI456:AI468)</f>
        <v>71791.636666666658</v>
      </c>
      <c r="AJ469" s="1279">
        <f>IFERROR(AL469/AL410,0)</f>
        <v>0.11850937685262281</v>
      </c>
      <c r="AK469" s="1280"/>
      <c r="AL469" s="1281">
        <f>SUM(AL456:AL468)</f>
        <v>71791.636666666658</v>
      </c>
      <c r="AM469" s="1279">
        <f>IFERROR(AO469/AO410,0)</f>
        <v>0.19465518921639499</v>
      </c>
      <c r="AN469" s="1280"/>
      <c r="AO469" s="1281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">
      <c r="A470" s="532">
        <f t="shared" si="111"/>
        <v>0</v>
      </c>
      <c r="B470" s="621"/>
      <c r="C470" s="621"/>
      <c r="D470" s="1272"/>
      <c r="E470" s="1303"/>
      <c r="F470" s="621"/>
      <c r="G470" s="1272"/>
      <c r="H470" s="1303"/>
      <c r="I470" s="621"/>
      <c r="J470" s="1272"/>
      <c r="K470" s="1303"/>
      <c r="L470" s="621"/>
      <c r="M470" s="1272"/>
      <c r="N470" s="1303"/>
      <c r="O470" s="621"/>
      <c r="P470" s="1272"/>
      <c r="Q470" s="1303"/>
      <c r="R470" s="621"/>
      <c r="S470" s="1272"/>
      <c r="T470" s="1303"/>
      <c r="U470" s="621"/>
      <c r="V470" s="1272"/>
      <c r="W470" s="1303"/>
      <c r="X470" s="621"/>
      <c r="Y470" s="1272"/>
      <c r="Z470" s="1303"/>
      <c r="AA470" s="621"/>
      <c r="AB470" s="1272"/>
      <c r="AC470" s="1303"/>
      <c r="AD470" s="621"/>
      <c r="AE470" s="1272"/>
      <c r="AF470" s="1303"/>
      <c r="AG470" s="621"/>
      <c r="AH470" s="1272"/>
      <c r="AI470" s="1303"/>
      <c r="AJ470" s="621"/>
      <c r="AK470" s="1272"/>
      <c r="AL470" s="1303"/>
      <c r="AM470" s="621"/>
      <c r="AN470" s="1272"/>
      <c r="AO470" s="1303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">
      <c r="A471" s="532" t="str">
        <f t="shared" si="111"/>
        <v>TOTAL DES DÉPENSES</v>
      </c>
      <c r="B471" s="1379" t="s">
        <v>133</v>
      </c>
      <c r="C471" s="1279">
        <f>IFERROR(E471/E410,0)</f>
        <v>0.94825682376107623</v>
      </c>
      <c r="D471" s="1280"/>
      <c r="E471" s="1281">
        <f>E422+E436+E455+E469</f>
        <v>5670095.0398815889</v>
      </c>
      <c r="F471" s="1279">
        <f>IFERROR(H471/H410,0)</f>
        <v>1.3074424224613284</v>
      </c>
      <c r="G471" s="1280"/>
      <c r="H471" s="1281">
        <f>H422+H436+H455+H469</f>
        <v>426044.60754065216</v>
      </c>
      <c r="I471" s="1279">
        <f>IFERROR(K471/K410,0)</f>
        <v>1.2305536823846621</v>
      </c>
      <c r="J471" s="1280"/>
      <c r="K471" s="1281">
        <f>K422+K436+K455+K469</f>
        <v>397772.72996285919</v>
      </c>
      <c r="L471" s="1279">
        <f>IFERROR(N471/N410,0)</f>
        <v>0.98290690150201854</v>
      </c>
      <c r="M471" s="1280"/>
      <c r="N471" s="1281">
        <f>N422+N436+N455+N469</f>
        <v>476436.76705766347</v>
      </c>
      <c r="O471" s="1279">
        <f>IFERROR(Q471/Q410,0)</f>
        <v>0.84309591140307816</v>
      </c>
      <c r="P471" s="1280"/>
      <c r="Q471" s="1281">
        <f>Q422+Q436+Q455+Q469</f>
        <v>519428.81866822368</v>
      </c>
      <c r="R471" s="1279">
        <f>IFERROR(T471/T410,0)</f>
        <v>0.79600269022305492</v>
      </c>
      <c r="S471" s="1280"/>
      <c r="T471" s="1281">
        <f>T422+T436+T455+T469</f>
        <v>526507.6349764592</v>
      </c>
      <c r="U471" s="1279">
        <f>IFERROR(W471/W410,0)</f>
        <v>0.91011740070262792</v>
      </c>
      <c r="V471" s="1280"/>
      <c r="W471" s="1281">
        <f>W422+W436+W455+W469</f>
        <v>490297.56067149434</v>
      </c>
      <c r="X471" s="1279">
        <f>IFERROR(Z471/Z410,0)</f>
        <v>0.95793618596909824</v>
      </c>
      <c r="Y471" s="1280"/>
      <c r="Z471" s="1281">
        <f>Z422+Z436+Z455+Z469</f>
        <v>464791.37006286014</v>
      </c>
      <c r="AA471" s="1279">
        <f>IFERROR(AC471/AC410,0)</f>
        <v>0.9678794465015037</v>
      </c>
      <c r="AB471" s="1280"/>
      <c r="AC471" s="1281">
        <f>AC422+AC436+AC455+AC469</f>
        <v>445560.28550751187</v>
      </c>
      <c r="AD471" s="1279">
        <f>IFERROR(AF471/AF410,0)</f>
        <v>0.96048133898868149</v>
      </c>
      <c r="AE471" s="1280"/>
      <c r="AF471" s="1281">
        <f>AF422+AF436+AF455+AF469</f>
        <v>477218.23926308035</v>
      </c>
      <c r="AG471" s="1279">
        <f>IFERROR(AI471/AI410,0)</f>
        <v>0.83178470490531686</v>
      </c>
      <c r="AH471" s="1280"/>
      <c r="AI471" s="1281">
        <f>AI422+AI436+AI455+AI469</f>
        <v>509387.76149222464</v>
      </c>
      <c r="AJ471" s="1279">
        <f>IFERROR(AL471/AL410,0)</f>
        <v>0.78515361952572071</v>
      </c>
      <c r="AK471" s="1280"/>
      <c r="AL471" s="1281">
        <f>AL422+AL436+AL455+AL469</f>
        <v>475637.15950179065</v>
      </c>
      <c r="AM471" s="1279">
        <f>IFERROR(AO471/AO410,0)</f>
        <v>1.2499840194602885</v>
      </c>
      <c r="AN471" s="1280"/>
      <c r="AO471" s="1281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7"/>
      <c r="D472" s="1308"/>
      <c r="E472" s="1309">
        <f t="shared" ref="E472:E483" si="175">+SUM(H472,K472,N472,Q472,T472,W472,Z472,AC472,AF472,AI472,AL472,AO472)</f>
        <v>0</v>
      </c>
      <c r="F472" s="1307"/>
      <c r="G472" s="1308"/>
      <c r="H472" s="1309">
        <v>0</v>
      </c>
      <c r="I472" s="1307"/>
      <c r="J472" s="1308"/>
      <c r="K472" s="1309">
        <v>0</v>
      </c>
      <c r="L472" s="1307"/>
      <c r="M472" s="1308"/>
      <c r="N472" s="1309">
        <v>0</v>
      </c>
      <c r="O472" s="1307"/>
      <c r="P472" s="1308"/>
      <c r="Q472" s="1309">
        <v>0</v>
      </c>
      <c r="R472" s="1307"/>
      <c r="S472" s="1308"/>
      <c r="T472" s="1309">
        <v>0</v>
      </c>
      <c r="U472" s="1307"/>
      <c r="V472" s="1308"/>
      <c r="W472" s="1309">
        <v>0</v>
      </c>
      <c r="X472" s="1307"/>
      <c r="Y472" s="1308"/>
      <c r="Z472" s="1309">
        <v>0</v>
      </c>
      <c r="AA472" s="1307"/>
      <c r="AB472" s="1308"/>
      <c r="AC472" s="1309">
        <v>0</v>
      </c>
      <c r="AD472" s="1307"/>
      <c r="AE472" s="1308"/>
      <c r="AF472" s="1309">
        <v>0</v>
      </c>
      <c r="AG472" s="1307"/>
      <c r="AH472" s="1308"/>
      <c r="AI472" s="1309">
        <v>0</v>
      </c>
      <c r="AJ472" s="1307"/>
      <c r="AK472" s="1308"/>
      <c r="AL472" s="1309">
        <v>0</v>
      </c>
      <c r="AM472" s="1307"/>
      <c r="AN472" s="1308"/>
      <c r="AO472" s="1309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0"/>
      <c r="D473" s="1311"/>
      <c r="E473" s="1273">
        <f t="shared" si="175"/>
        <v>584870</v>
      </c>
      <c r="F473" s="1310"/>
      <c r="G473" s="1311"/>
      <c r="H473" s="1273">
        <f t="shared" ref="H473:H479" si="176">+SUMIF($B$4:$B$402,$B473,H$4:H$402)</f>
        <v>35092.200000000004</v>
      </c>
      <c r="I473" s="1310"/>
      <c r="J473" s="1311"/>
      <c r="K473" s="1273">
        <f t="shared" ref="K473:K479" si="177">+SUMIF($B$4:$B$402,$B473,K$4:K$402)</f>
        <v>31750.085714285713</v>
      </c>
      <c r="L473" s="1310"/>
      <c r="M473" s="1311"/>
      <c r="N473" s="1273">
        <f t="shared" ref="N473:N479" si="178">+SUMIF($B$4:$B$402,$B473,N$4:N$402)</f>
        <v>55144.885714285716</v>
      </c>
      <c r="O473" s="1310"/>
      <c r="P473" s="1311"/>
      <c r="Q473" s="1273">
        <f t="shared" ref="Q473:Q479" si="179">+SUMIF($B$4:$B$402,$B473,Q$4:Q$402)</f>
        <v>60158.057142857149</v>
      </c>
      <c r="R473" s="1310"/>
      <c r="S473" s="1311"/>
      <c r="T473" s="1273">
        <f t="shared" ref="T473:T479" si="180">+SUMIF($B$4:$B$402,$B473,T$4:T$402)</f>
        <v>75197.571428571435</v>
      </c>
      <c r="U473" s="1310"/>
      <c r="V473" s="1311"/>
      <c r="W473" s="1273">
        <f t="shared" ref="W473:W479" si="181">+SUMIF($B$4:$B$402,$B473,W$4:W$402)</f>
        <v>46789.599999999999</v>
      </c>
      <c r="X473" s="1310"/>
      <c r="Y473" s="1311"/>
      <c r="Z473" s="1273">
        <f t="shared" ref="Z473:Z479" si="182">+SUMIF($B$4:$B$402,$B473,Z$4:Z$402)</f>
        <v>36763.257142857146</v>
      </c>
      <c r="AA473" s="1310"/>
      <c r="AB473" s="1311"/>
      <c r="AC473" s="1273">
        <f t="shared" ref="AC473:AC479" si="183">+SUMIF($B$4:$B$402,$B473,AC$4:AC$402)</f>
        <v>40105.37142857143</v>
      </c>
      <c r="AD473" s="1310"/>
      <c r="AE473" s="1311"/>
      <c r="AF473" s="1273">
        <f t="shared" ref="AF473:AF479" si="184">+SUMIF($B$4:$B$402,$B473,AF$4:AF$402)</f>
        <v>60158.057142857149</v>
      </c>
      <c r="AG473" s="1310"/>
      <c r="AH473" s="1311"/>
      <c r="AI473" s="1273">
        <f t="shared" ref="AI473:AI479" si="185">+SUMIF($B$4:$B$402,$B473,AI$4:AI$402)</f>
        <v>56815.942857142858</v>
      </c>
      <c r="AJ473" s="1310"/>
      <c r="AK473" s="1311"/>
      <c r="AL473" s="1273">
        <f t="shared" ref="AL473:AL479" si="186">+SUMIF($B$4:$B$402,$B473,AL$4:AL$402)</f>
        <v>50131.71428571429</v>
      </c>
      <c r="AM473" s="1310"/>
      <c r="AN473" s="1311"/>
      <c r="AO473" s="1273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0"/>
      <c r="D474" s="1311"/>
      <c r="E474" s="1273">
        <f t="shared" si="175"/>
        <v>482517.75</v>
      </c>
      <c r="F474" s="1310"/>
      <c r="G474" s="1311"/>
      <c r="H474" s="1273">
        <f t="shared" si="176"/>
        <v>28951.065000000002</v>
      </c>
      <c r="I474" s="1310"/>
      <c r="J474" s="1311"/>
      <c r="K474" s="1273">
        <f t="shared" si="177"/>
        <v>26193.820714285714</v>
      </c>
      <c r="L474" s="1310"/>
      <c r="M474" s="1311"/>
      <c r="N474" s="1273">
        <f t="shared" si="178"/>
        <v>45494.53071428572</v>
      </c>
      <c r="O474" s="1310"/>
      <c r="P474" s="1311"/>
      <c r="Q474" s="1273">
        <f t="shared" si="179"/>
        <v>49630.397142857146</v>
      </c>
      <c r="R474" s="1310"/>
      <c r="S474" s="1311"/>
      <c r="T474" s="1273">
        <f t="shared" si="180"/>
        <v>62037.99642857143</v>
      </c>
      <c r="U474" s="1310"/>
      <c r="V474" s="1311"/>
      <c r="W474" s="1273">
        <f t="shared" si="181"/>
        <v>38601.42</v>
      </c>
      <c r="X474" s="1310"/>
      <c r="Y474" s="1311"/>
      <c r="Z474" s="1273">
        <f t="shared" si="182"/>
        <v>30329.687142857147</v>
      </c>
      <c r="AA474" s="1310"/>
      <c r="AB474" s="1311"/>
      <c r="AC474" s="1273">
        <f t="shared" si="183"/>
        <v>33086.931428571428</v>
      </c>
      <c r="AD474" s="1310"/>
      <c r="AE474" s="1311"/>
      <c r="AF474" s="1273">
        <f t="shared" si="184"/>
        <v>49630.397142857146</v>
      </c>
      <c r="AG474" s="1310"/>
      <c r="AH474" s="1311"/>
      <c r="AI474" s="1273">
        <f t="shared" si="185"/>
        <v>46873.152857142857</v>
      </c>
      <c r="AJ474" s="1310"/>
      <c r="AK474" s="1311"/>
      <c r="AL474" s="1273">
        <f t="shared" si="186"/>
        <v>41358.664285714294</v>
      </c>
      <c r="AM474" s="1310"/>
      <c r="AN474" s="1311"/>
      <c r="AO474" s="1273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0"/>
      <c r="D475" s="1311"/>
      <c r="E475" s="1273">
        <f t="shared" si="175"/>
        <v>0</v>
      </c>
      <c r="F475" s="1310"/>
      <c r="G475" s="1311"/>
      <c r="H475" s="1273">
        <f t="shared" si="176"/>
        <v>0</v>
      </c>
      <c r="I475" s="1310"/>
      <c r="J475" s="1311"/>
      <c r="K475" s="1273">
        <f t="shared" si="177"/>
        <v>0</v>
      </c>
      <c r="L475" s="1310"/>
      <c r="M475" s="1311"/>
      <c r="N475" s="1273">
        <f t="shared" si="178"/>
        <v>0</v>
      </c>
      <c r="O475" s="1310"/>
      <c r="P475" s="1311"/>
      <c r="Q475" s="1273">
        <f t="shared" si="179"/>
        <v>0</v>
      </c>
      <c r="R475" s="1310"/>
      <c r="S475" s="1311"/>
      <c r="T475" s="1273">
        <f t="shared" si="180"/>
        <v>0</v>
      </c>
      <c r="U475" s="1310"/>
      <c r="V475" s="1311"/>
      <c r="W475" s="1273">
        <f t="shared" si="181"/>
        <v>0</v>
      </c>
      <c r="X475" s="1310"/>
      <c r="Y475" s="1311"/>
      <c r="Z475" s="1273">
        <f t="shared" si="182"/>
        <v>0</v>
      </c>
      <c r="AA475" s="1310"/>
      <c r="AB475" s="1311"/>
      <c r="AC475" s="1273">
        <f t="shared" si="183"/>
        <v>0</v>
      </c>
      <c r="AD475" s="1310"/>
      <c r="AE475" s="1311"/>
      <c r="AF475" s="1273">
        <f t="shared" si="184"/>
        <v>0</v>
      </c>
      <c r="AG475" s="1310"/>
      <c r="AH475" s="1311"/>
      <c r="AI475" s="1273">
        <f t="shared" si="185"/>
        <v>0</v>
      </c>
      <c r="AJ475" s="1310"/>
      <c r="AK475" s="1311"/>
      <c r="AL475" s="1273">
        <f t="shared" si="186"/>
        <v>0</v>
      </c>
      <c r="AM475" s="1310"/>
      <c r="AN475" s="1311"/>
      <c r="AO475" s="1273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0"/>
      <c r="D476" s="1311"/>
      <c r="E476" s="1273">
        <f t="shared" si="175"/>
        <v>0</v>
      </c>
      <c r="F476" s="1310"/>
      <c r="G476" s="1311"/>
      <c r="H476" s="1273">
        <f t="shared" si="176"/>
        <v>0</v>
      </c>
      <c r="I476" s="1310"/>
      <c r="J476" s="1311"/>
      <c r="K476" s="1273">
        <f t="shared" si="177"/>
        <v>0</v>
      </c>
      <c r="L476" s="1310"/>
      <c r="M476" s="1311"/>
      <c r="N476" s="1273">
        <f t="shared" si="178"/>
        <v>0</v>
      </c>
      <c r="O476" s="1310"/>
      <c r="P476" s="1311"/>
      <c r="Q476" s="1273">
        <f t="shared" si="179"/>
        <v>0</v>
      </c>
      <c r="R476" s="1310"/>
      <c r="S476" s="1311"/>
      <c r="T476" s="1273">
        <f t="shared" si="180"/>
        <v>0</v>
      </c>
      <c r="U476" s="1310"/>
      <c r="V476" s="1311"/>
      <c r="W476" s="1273">
        <f t="shared" si="181"/>
        <v>0</v>
      </c>
      <c r="X476" s="1310"/>
      <c r="Y476" s="1311"/>
      <c r="Z476" s="1273">
        <f t="shared" si="182"/>
        <v>0</v>
      </c>
      <c r="AA476" s="1310"/>
      <c r="AB476" s="1311"/>
      <c r="AC476" s="1273">
        <f t="shared" si="183"/>
        <v>0</v>
      </c>
      <c r="AD476" s="1310"/>
      <c r="AE476" s="1311"/>
      <c r="AF476" s="1273">
        <f t="shared" si="184"/>
        <v>0</v>
      </c>
      <c r="AG476" s="1310"/>
      <c r="AH476" s="1311"/>
      <c r="AI476" s="1273">
        <f t="shared" si="185"/>
        <v>0</v>
      </c>
      <c r="AJ476" s="1310"/>
      <c r="AK476" s="1311"/>
      <c r="AL476" s="1273">
        <f t="shared" si="186"/>
        <v>0</v>
      </c>
      <c r="AM476" s="1310"/>
      <c r="AN476" s="1311"/>
      <c r="AO476" s="1273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0"/>
      <c r="D477" s="1311"/>
      <c r="E477" s="1273">
        <f t="shared" si="175"/>
        <v>56250</v>
      </c>
      <c r="F477" s="1310"/>
      <c r="G477" s="1311"/>
      <c r="H477" s="1273">
        <f t="shared" si="176"/>
        <v>3000</v>
      </c>
      <c r="I477" s="1310"/>
      <c r="J477" s="1311"/>
      <c r="K477" s="1273">
        <f t="shared" si="177"/>
        <v>2625</v>
      </c>
      <c r="L477" s="1310"/>
      <c r="M477" s="1311"/>
      <c r="N477" s="1273">
        <f t="shared" si="178"/>
        <v>4500</v>
      </c>
      <c r="O477" s="1310"/>
      <c r="P477" s="1311"/>
      <c r="Q477" s="1273">
        <f t="shared" si="179"/>
        <v>5625</v>
      </c>
      <c r="R477" s="1310"/>
      <c r="S477" s="1311"/>
      <c r="T477" s="1273">
        <f t="shared" si="180"/>
        <v>4500</v>
      </c>
      <c r="U477" s="1310"/>
      <c r="V477" s="1311"/>
      <c r="W477" s="1273">
        <f t="shared" si="181"/>
        <v>7125</v>
      </c>
      <c r="X477" s="1310"/>
      <c r="Y477" s="1311"/>
      <c r="Z477" s="1273">
        <f t="shared" si="182"/>
        <v>5250</v>
      </c>
      <c r="AA477" s="1310"/>
      <c r="AB477" s="1311"/>
      <c r="AC477" s="1273">
        <f t="shared" si="183"/>
        <v>5250</v>
      </c>
      <c r="AD477" s="1310"/>
      <c r="AE477" s="1311"/>
      <c r="AF477" s="1273">
        <f t="shared" si="184"/>
        <v>3750</v>
      </c>
      <c r="AG477" s="1310"/>
      <c r="AH477" s="1311"/>
      <c r="AI477" s="1273">
        <f t="shared" si="185"/>
        <v>6375</v>
      </c>
      <c r="AJ477" s="1310"/>
      <c r="AK477" s="1311"/>
      <c r="AL477" s="1273">
        <f t="shared" si="186"/>
        <v>5250</v>
      </c>
      <c r="AM477" s="1310"/>
      <c r="AN477" s="1311"/>
      <c r="AO477" s="1273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0"/>
      <c r="D478" s="1311"/>
      <c r="E478" s="1273">
        <f t="shared" si="175"/>
        <v>0</v>
      </c>
      <c r="F478" s="1310"/>
      <c r="G478" s="1311"/>
      <c r="H478" s="1273">
        <f t="shared" si="176"/>
        <v>0</v>
      </c>
      <c r="I478" s="1310"/>
      <c r="J478" s="1311"/>
      <c r="K478" s="1273">
        <f t="shared" si="177"/>
        <v>0</v>
      </c>
      <c r="L478" s="1310"/>
      <c r="M478" s="1311"/>
      <c r="N478" s="1273">
        <f t="shared" si="178"/>
        <v>0</v>
      </c>
      <c r="O478" s="1310"/>
      <c r="P478" s="1311"/>
      <c r="Q478" s="1273">
        <f t="shared" si="179"/>
        <v>0</v>
      </c>
      <c r="R478" s="1310"/>
      <c r="S478" s="1311"/>
      <c r="T478" s="1273">
        <f t="shared" si="180"/>
        <v>0</v>
      </c>
      <c r="U478" s="1310"/>
      <c r="V478" s="1311"/>
      <c r="W478" s="1273">
        <f t="shared" si="181"/>
        <v>0</v>
      </c>
      <c r="X478" s="1310"/>
      <c r="Y478" s="1311"/>
      <c r="Z478" s="1273">
        <f t="shared" si="182"/>
        <v>0</v>
      </c>
      <c r="AA478" s="1310"/>
      <c r="AB478" s="1311"/>
      <c r="AC478" s="1273">
        <f t="shared" si="183"/>
        <v>0</v>
      </c>
      <c r="AD478" s="1310"/>
      <c r="AE478" s="1311"/>
      <c r="AF478" s="1273">
        <f t="shared" si="184"/>
        <v>0</v>
      </c>
      <c r="AG478" s="1310"/>
      <c r="AH478" s="1311"/>
      <c r="AI478" s="1273">
        <f t="shared" si="185"/>
        <v>0</v>
      </c>
      <c r="AJ478" s="1310"/>
      <c r="AK478" s="1311"/>
      <c r="AL478" s="1273">
        <f t="shared" si="186"/>
        <v>0</v>
      </c>
      <c r="AM478" s="1310"/>
      <c r="AN478" s="1311"/>
      <c r="AO478" s="1273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0"/>
      <c r="D479" s="1311"/>
      <c r="E479" s="1273">
        <f t="shared" si="175"/>
        <v>0</v>
      </c>
      <c r="F479" s="1310"/>
      <c r="G479" s="1311"/>
      <c r="H479" s="1273">
        <f t="shared" si="176"/>
        <v>0</v>
      </c>
      <c r="I479" s="1310"/>
      <c r="J479" s="1311"/>
      <c r="K479" s="1273">
        <f t="shared" si="177"/>
        <v>0</v>
      </c>
      <c r="L479" s="1310"/>
      <c r="M479" s="1311"/>
      <c r="N479" s="1273">
        <f t="shared" si="178"/>
        <v>0</v>
      </c>
      <c r="O479" s="1310"/>
      <c r="P479" s="1311"/>
      <c r="Q479" s="1273">
        <f t="shared" si="179"/>
        <v>0</v>
      </c>
      <c r="R479" s="1310"/>
      <c r="S479" s="1311"/>
      <c r="T479" s="1273">
        <f t="shared" si="180"/>
        <v>0</v>
      </c>
      <c r="U479" s="1310"/>
      <c r="V479" s="1311"/>
      <c r="W479" s="1273">
        <f t="shared" si="181"/>
        <v>0</v>
      </c>
      <c r="X479" s="1310"/>
      <c r="Y479" s="1311"/>
      <c r="Z479" s="1273">
        <f t="shared" si="182"/>
        <v>0</v>
      </c>
      <c r="AA479" s="1310"/>
      <c r="AB479" s="1311"/>
      <c r="AC479" s="1273">
        <f t="shared" si="183"/>
        <v>0</v>
      </c>
      <c r="AD479" s="1310"/>
      <c r="AE479" s="1311"/>
      <c r="AF479" s="1273">
        <f t="shared" si="184"/>
        <v>0</v>
      </c>
      <c r="AG479" s="1310"/>
      <c r="AH479" s="1311"/>
      <c r="AI479" s="1273">
        <f t="shared" si="185"/>
        <v>0</v>
      </c>
      <c r="AJ479" s="1310"/>
      <c r="AK479" s="1311"/>
      <c r="AL479" s="1273">
        <f t="shared" si="186"/>
        <v>0</v>
      </c>
      <c r="AM479" s="1310"/>
      <c r="AN479" s="1311"/>
      <c r="AO479" s="1273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0"/>
      <c r="D480" s="1311"/>
      <c r="E480" s="1273">
        <f t="shared" si="175"/>
        <v>321678.5</v>
      </c>
      <c r="F480" s="1310"/>
      <c r="G480" s="1311"/>
      <c r="H480" s="1273">
        <v>19300.71</v>
      </c>
      <c r="I480" s="1310"/>
      <c r="J480" s="1311"/>
      <c r="K480" s="1273">
        <v>17462.54714285714</v>
      </c>
      <c r="L480" s="1310"/>
      <c r="M480" s="1311"/>
      <c r="N480" s="1273">
        <v>30329.687142857143</v>
      </c>
      <c r="O480" s="1310"/>
      <c r="P480" s="1311"/>
      <c r="Q480" s="1273">
        <v>33086.931428571428</v>
      </c>
      <c r="R480" s="1310"/>
      <c r="S480" s="1311"/>
      <c r="T480" s="1273">
        <v>41358.66428571428</v>
      </c>
      <c r="U480" s="1310"/>
      <c r="V480" s="1311"/>
      <c r="W480" s="1273">
        <v>25734.28</v>
      </c>
      <c r="X480" s="1310"/>
      <c r="Y480" s="1311"/>
      <c r="Z480" s="1273">
        <v>20219.791428571429</v>
      </c>
      <c r="AA480" s="1310"/>
      <c r="AB480" s="1311"/>
      <c r="AC480" s="1273">
        <v>22057.954285714284</v>
      </c>
      <c r="AD480" s="1310"/>
      <c r="AE480" s="1311"/>
      <c r="AF480" s="1273">
        <v>33086.931428571428</v>
      </c>
      <c r="AG480" s="1310"/>
      <c r="AH480" s="1311"/>
      <c r="AI480" s="1273">
        <v>31248.768571428569</v>
      </c>
      <c r="AJ480" s="1310"/>
      <c r="AK480" s="1311"/>
      <c r="AL480" s="1273">
        <v>27572.442857142858</v>
      </c>
      <c r="AM480" s="1310"/>
      <c r="AN480" s="1311"/>
      <c r="AO480" s="1273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0"/>
      <c r="D481" s="1311"/>
      <c r="E481" s="1273">
        <f t="shared" si="175"/>
        <v>0</v>
      </c>
      <c r="F481" s="1310"/>
      <c r="G481" s="1311"/>
      <c r="H481" s="1273">
        <f>+SUMIF($B$4:$B$402,$B481,H$4:H$402)</f>
        <v>0</v>
      </c>
      <c r="I481" s="1310"/>
      <c r="J481" s="1311"/>
      <c r="K481" s="1273">
        <f>+SUMIF($B$4:$B$402,$B481,K$4:K$402)</f>
        <v>0</v>
      </c>
      <c r="L481" s="1310"/>
      <c r="M481" s="1311"/>
      <c r="N481" s="1273">
        <f>+SUMIF($B$4:$B$402,$B481,N$4:N$402)</f>
        <v>0</v>
      </c>
      <c r="O481" s="1310"/>
      <c r="P481" s="1311"/>
      <c r="Q481" s="1273">
        <f>+SUMIF($B$4:$B$402,$B481,Q$4:Q$402)</f>
        <v>0</v>
      </c>
      <c r="R481" s="1310"/>
      <c r="S481" s="1311"/>
      <c r="T481" s="1273">
        <f>+SUMIF($B$4:$B$402,$B481,T$4:T$402)</f>
        <v>0</v>
      </c>
      <c r="U481" s="1310"/>
      <c r="V481" s="1311"/>
      <c r="W481" s="1273">
        <f>+SUMIF($B$4:$B$402,$B481,W$4:W$402)</f>
        <v>0</v>
      </c>
      <c r="X481" s="1310"/>
      <c r="Y481" s="1311"/>
      <c r="Z481" s="1273">
        <f>+SUMIF($B$4:$B$402,$B481,Z$4:Z$402)</f>
        <v>0</v>
      </c>
      <c r="AA481" s="1310"/>
      <c r="AB481" s="1311"/>
      <c r="AC481" s="1273">
        <f>+SUMIF($B$4:$B$402,$B481,AC$4:AC$402)</f>
        <v>0</v>
      </c>
      <c r="AD481" s="1310"/>
      <c r="AE481" s="1311"/>
      <c r="AF481" s="1273">
        <f>+SUMIF($B$4:$B$402,$B481,AF$4:AF$402)</f>
        <v>0</v>
      </c>
      <c r="AG481" s="1310"/>
      <c r="AH481" s="1311"/>
      <c r="AI481" s="1273">
        <f>+SUMIF($B$4:$B$402,$B481,AI$4:AI$402)</f>
        <v>0</v>
      </c>
      <c r="AJ481" s="1310"/>
      <c r="AK481" s="1311"/>
      <c r="AL481" s="1273">
        <f>+SUMIF($B$4:$B$402,$B481,AL$4:AL$402)</f>
        <v>0</v>
      </c>
      <c r="AM481" s="1310"/>
      <c r="AN481" s="1311"/>
      <c r="AO481" s="1273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0"/>
      <c r="D482" s="1311"/>
      <c r="E482" s="1273">
        <f t="shared" si="175"/>
        <v>0</v>
      </c>
      <c r="F482" s="1310"/>
      <c r="G482" s="1311"/>
      <c r="H482" s="1273">
        <f>+SUMIF($B$4:$B$402,$B482,H$4:H$402)</f>
        <v>0</v>
      </c>
      <c r="I482" s="1310"/>
      <c r="J482" s="1311"/>
      <c r="K482" s="1273">
        <f>+SUMIF($B$4:$B$402,$B482,K$4:K$402)</f>
        <v>0</v>
      </c>
      <c r="L482" s="1310"/>
      <c r="M482" s="1311"/>
      <c r="N482" s="1273">
        <f>+SUMIF($B$4:$B$402,$B482,N$4:N$402)</f>
        <v>0</v>
      </c>
      <c r="O482" s="1310"/>
      <c r="P482" s="1311"/>
      <c r="Q482" s="1273">
        <f>+SUMIF($B$4:$B$402,$B482,Q$4:Q$402)</f>
        <v>0</v>
      </c>
      <c r="R482" s="1310"/>
      <c r="S482" s="1311"/>
      <c r="T482" s="1273">
        <f>+SUMIF($B$4:$B$402,$B482,T$4:T$402)</f>
        <v>0</v>
      </c>
      <c r="U482" s="1310"/>
      <c r="V482" s="1311"/>
      <c r="W482" s="1273">
        <f>+SUMIF($B$4:$B$402,$B482,W$4:W$402)</f>
        <v>0</v>
      </c>
      <c r="X482" s="1310"/>
      <c r="Y482" s="1311"/>
      <c r="Z482" s="1273">
        <f>+SUMIF($B$4:$B$402,$B482,Z$4:Z$402)</f>
        <v>0</v>
      </c>
      <c r="AA482" s="1310"/>
      <c r="AB482" s="1311"/>
      <c r="AC482" s="1273">
        <f>+SUMIF($B$4:$B$402,$B482,AC$4:AC$402)</f>
        <v>0</v>
      </c>
      <c r="AD482" s="1310"/>
      <c r="AE482" s="1311"/>
      <c r="AF482" s="1273">
        <f>+SUMIF($B$4:$B$402,$B482,AF$4:AF$402)</f>
        <v>0</v>
      </c>
      <c r="AG482" s="1310"/>
      <c r="AH482" s="1311"/>
      <c r="AI482" s="1273">
        <f>+SUMIF($B$4:$B$402,$B482,AI$4:AI$402)</f>
        <v>0</v>
      </c>
      <c r="AJ482" s="1310"/>
      <c r="AK482" s="1311"/>
      <c r="AL482" s="1273">
        <f>+SUMIF($B$4:$B$402,$B482,AL$4:AL$402)</f>
        <v>0</v>
      </c>
      <c r="AM482" s="1310"/>
      <c r="AN482" s="1311"/>
      <c r="AO482" s="1273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2"/>
      <c r="D483" s="1311"/>
      <c r="E483" s="1273">
        <f t="shared" si="175"/>
        <v>318860.49999999994</v>
      </c>
      <c r="F483" s="1312"/>
      <c r="G483" s="1311"/>
      <c r="H483" s="1273">
        <f>+SUMIF($B$4:$B$402,$B483,H$4:H$402)</f>
        <v>17225.25</v>
      </c>
      <c r="I483" s="1312"/>
      <c r="J483" s="1311"/>
      <c r="K483" s="1273">
        <f>+SUMIF($B$4:$B$402,$B483,K$4:K$402)</f>
        <v>18082.05</v>
      </c>
      <c r="L483" s="1312"/>
      <c r="M483" s="1311"/>
      <c r="N483" s="1273">
        <f>+SUMIF($B$4:$B$402,$B483,N$4:N$402)</f>
        <v>27685.35</v>
      </c>
      <c r="O483" s="1312"/>
      <c r="P483" s="1311"/>
      <c r="Q483" s="1273">
        <f>+SUMIF($B$4:$B$402,$B483,Q$4:Q$402)</f>
        <v>32469.15</v>
      </c>
      <c r="R483" s="1312"/>
      <c r="S483" s="1311"/>
      <c r="T483" s="1273">
        <f>+SUMIF($B$4:$B$402,$B483,T$4:T$402)</f>
        <v>35188.300000000003</v>
      </c>
      <c r="U483" s="1312"/>
      <c r="V483" s="1311"/>
      <c r="W483" s="1273">
        <f>+SUMIF($B$4:$B$402,$B483,W$4:W$402)</f>
        <v>31344.6</v>
      </c>
      <c r="X483" s="1312"/>
      <c r="Y483" s="1311"/>
      <c r="Z483" s="1273">
        <f>+SUMIF($B$4:$B$402,$B483,Z$4:Z$402)</f>
        <v>24383.1</v>
      </c>
      <c r="AA483" s="1312"/>
      <c r="AB483" s="1311"/>
      <c r="AC483" s="1273">
        <f>+SUMIF($B$4:$B$402,$B483,AC$4:AC$402)</f>
        <v>24537.8</v>
      </c>
      <c r="AD483" s="1312"/>
      <c r="AE483" s="1311"/>
      <c r="AF483" s="1273">
        <f>+SUMIF($B$4:$B$402,$B483,AF$4:AF$402)</f>
        <v>27334.3</v>
      </c>
      <c r="AG483" s="1312"/>
      <c r="AH483" s="1311"/>
      <c r="AI483" s="1273">
        <f>+SUMIF($B$4:$B$402,$B483,AI$4:AI$402)</f>
        <v>32820.199999999997</v>
      </c>
      <c r="AJ483" s="1312"/>
      <c r="AK483" s="1311"/>
      <c r="AL483" s="1273">
        <f>+SUMIF($B$4:$B$402,$B483,AL$4:AL$402)</f>
        <v>28464.799999999999</v>
      </c>
      <c r="AM483" s="1312"/>
      <c r="AN483" s="1311"/>
      <c r="AO483" s="1273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">
      <c r="A484" s="532" t="str">
        <f t="shared" si="188"/>
        <v>TOTAL AUTRES REVENUS</v>
      </c>
      <c r="B484" s="1379" t="s">
        <v>245</v>
      </c>
      <c r="C484" s="1279">
        <f>IFERROR(E484/+E410,0)</f>
        <v>0.29503784852662257</v>
      </c>
      <c r="D484" s="1313"/>
      <c r="E484" s="1281">
        <f>SUM(E472:E483)</f>
        <v>1764176.75</v>
      </c>
      <c r="F484" s="1279">
        <f>IFERROR(H484/+H410,0)</f>
        <v>0.31783244296437152</v>
      </c>
      <c r="G484" s="1313"/>
      <c r="H484" s="1281">
        <f>SUM(H472:H483)</f>
        <v>103569.22500000001</v>
      </c>
      <c r="I484" s="1279">
        <f>IFERROR(K484/+K410,0)</f>
        <v>0.29733769270144833</v>
      </c>
      <c r="J484" s="1313"/>
      <c r="K484" s="1281">
        <f>SUM(K472:K483)</f>
        <v>96113.503571428577</v>
      </c>
      <c r="L484" s="1279">
        <f>IFERROR(N484/+N410,0)</f>
        <v>0.33659375076470249</v>
      </c>
      <c r="M484" s="1313"/>
      <c r="N484" s="1281">
        <f>SUM(N472:N483)</f>
        <v>163154.45357142857</v>
      </c>
      <c r="O484" s="1279">
        <f>IFERROR(Q484/+Q410,0)</f>
        <v>0.29373548437381192</v>
      </c>
      <c r="P484" s="1313"/>
      <c r="Q484" s="1281">
        <f>SUM(Q472:Q483)</f>
        <v>180969.53571428571</v>
      </c>
      <c r="R484" s="1279">
        <f>IFERROR(T484/+T410,0)</f>
        <v>0.33001132608871564</v>
      </c>
      <c r="S484" s="1313"/>
      <c r="T484" s="1281">
        <f>SUM(T472:T483)</f>
        <v>218282.53214285715</v>
      </c>
      <c r="U484" s="1279">
        <f>IFERROR(W484/+W410,0)</f>
        <v>0.27768631228738883</v>
      </c>
      <c r="V484" s="1313"/>
      <c r="W484" s="1281">
        <f>SUM(W472:W483)</f>
        <v>149594.9</v>
      </c>
      <c r="X484" s="1279">
        <f>IFERROR(Z484/+Z410,0)</f>
        <v>0.24102566236107334</v>
      </c>
      <c r="Y484" s="1313"/>
      <c r="Z484" s="1281">
        <f>SUM(Z472:Z483)</f>
        <v>116945.83571428573</v>
      </c>
      <c r="AA484" s="1279">
        <f>IFERROR(AC484/+AC410,0)</f>
        <v>0.2716170392098638</v>
      </c>
      <c r="AB484" s="1313"/>
      <c r="AC484" s="1281">
        <f>SUM(AC472:AC483)</f>
        <v>125038.05714285714</v>
      </c>
      <c r="AD484" s="1279">
        <f>IFERROR(AF484/+AF410,0)</f>
        <v>0.35012289581160977</v>
      </c>
      <c r="AE484" s="1313"/>
      <c r="AF484" s="1281">
        <f>SUM(AF472:AF483)</f>
        <v>173959.6857142857</v>
      </c>
      <c r="AG484" s="1279">
        <f>IFERROR(AI484/+AI410,0)</f>
        <v>0.28434373661991152</v>
      </c>
      <c r="AH484" s="1313"/>
      <c r="AI484" s="1281">
        <f>SUM(AI472:AI483)</f>
        <v>174133.0642857143</v>
      </c>
      <c r="AJ484" s="1279">
        <f>IFERROR(AL484/+AL410,0)</f>
        <v>0.25219623835282273</v>
      </c>
      <c r="AK484" s="1313"/>
      <c r="AL484" s="1281">
        <f>SUM(AL472:AL483)</f>
        <v>152777.62142857144</v>
      </c>
      <c r="AM484" s="1279">
        <f>IFERROR(AO484/+AO410,0)</f>
        <v>0.29727238400937595</v>
      </c>
      <c r="AN484" s="1313"/>
      <c r="AO484" s="1281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6"/>
      <c r="C485" s="1316"/>
      <c r="D485" s="1317"/>
      <c r="E485" s="1309"/>
      <c r="F485" s="1316"/>
      <c r="G485" s="1317"/>
      <c r="H485" s="1309"/>
      <c r="I485" s="1316"/>
      <c r="J485" s="1317"/>
      <c r="K485" s="1309"/>
      <c r="L485" s="1316"/>
      <c r="M485" s="1317"/>
      <c r="N485" s="1309"/>
      <c r="O485" s="1316"/>
      <c r="P485" s="1317"/>
      <c r="Q485" s="1309"/>
      <c r="R485" s="1316"/>
      <c r="S485" s="1317"/>
      <c r="T485" s="1309"/>
      <c r="U485" s="1316"/>
      <c r="V485" s="1317"/>
      <c r="W485" s="1309"/>
      <c r="X485" s="1316"/>
      <c r="Y485" s="1317"/>
      <c r="Z485" s="1309"/>
      <c r="AA485" s="1316"/>
      <c r="AB485" s="1317"/>
      <c r="AC485" s="1309"/>
      <c r="AD485" s="1316"/>
      <c r="AE485" s="1317"/>
      <c r="AF485" s="1309"/>
      <c r="AG485" s="1316"/>
      <c r="AH485" s="1317"/>
      <c r="AI485" s="1309"/>
      <c r="AJ485" s="1316"/>
      <c r="AK485" s="1317"/>
      <c r="AL485" s="1309"/>
      <c r="AM485" s="1316"/>
      <c r="AN485" s="1317"/>
      <c r="AO485" s="1309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2" thickTop="1" thickBot="1">
      <c r="A486" s="532" t="str">
        <f t="shared" si="188"/>
        <v>BAIIA OPÉRATIONNEL</v>
      </c>
      <c r="B486" s="624" t="s">
        <v>246</v>
      </c>
      <c r="C486" s="1322" t="s">
        <v>247</v>
      </c>
      <c r="D486" s="1323">
        <f>IFERROR(E486/E409,0)</f>
        <v>3.5613612394008655E-2</v>
      </c>
      <c r="E486" s="1324">
        <f>E410-E471+E484</f>
        <v>2073574.7101184111</v>
      </c>
      <c r="F486" s="1381" t="s">
        <v>247</v>
      </c>
      <c r="G486" s="1382">
        <f>IFERROR(H486/H409,0)</f>
        <v>1.0947185724265217E-3</v>
      </c>
      <c r="H486" s="1383">
        <f>H410-H471+H484</f>
        <v>3385.7033636900305</v>
      </c>
      <c r="I486" s="1381" t="s">
        <v>247</v>
      </c>
      <c r="J486" s="1382">
        <f>IFERROR(K486/K409,0)</f>
        <v>6.6501675797352505E-3</v>
      </c>
      <c r="K486" s="1383">
        <f>K410-K471+K484</f>
        <v>21587.727932434747</v>
      </c>
      <c r="L486" s="1381" t="s">
        <v>247</v>
      </c>
      <c r="M486" s="1382">
        <f>IFERROR(N486/N409,0)</f>
        <v>3.4207283351635601E-2</v>
      </c>
      <c r="N486" s="1383">
        <f>N410-N471+N484</f>
        <v>171439.85738223881</v>
      </c>
      <c r="O486" s="1381" t="s">
        <v>247</v>
      </c>
      <c r="P486" s="1382">
        <f>IFERROR(Q486/Q409,0)</f>
        <v>4.6800300903591732E-2</v>
      </c>
      <c r="Q486" s="1383">
        <f>Q410-Q471+Q484</f>
        <v>277637.66597301327</v>
      </c>
      <c r="R486" s="1381" t="s">
        <v>247</v>
      </c>
      <c r="S486" s="1382">
        <f>IFERROR(T486/T409,0)</f>
        <v>5.337873069564017E-2</v>
      </c>
      <c r="T486" s="1383">
        <f>T410-T471+T484</f>
        <v>353214.41419732891</v>
      </c>
      <c r="U486" s="1381" t="s">
        <v>247</v>
      </c>
      <c r="V486" s="1382">
        <f>IFERROR(W486/W409,0)</f>
        <v>3.6049490394718754E-2</v>
      </c>
      <c r="W486" s="1383">
        <f>W410-W471+W484</f>
        <v>198016.36644849621</v>
      </c>
      <c r="X486" s="1381" t="s">
        <v>247</v>
      </c>
      <c r="Y486" s="1382">
        <f>IFERROR(Z486/Z409,0)</f>
        <v>3.0938354979787221E-2</v>
      </c>
      <c r="Z486" s="1383">
        <f>Z410-Z471+Z484</f>
        <v>137355.23045253073</v>
      </c>
      <c r="AA486" s="1381" t="s">
        <v>247</v>
      </c>
      <c r="AB486" s="1382">
        <f>IFERROR(AC486/AC409,0)</f>
        <v>3.1452869741610275E-2</v>
      </c>
      <c r="AC486" s="1383">
        <f>AC410-AC471+AC484</f>
        <v>139824.65379926944</v>
      </c>
      <c r="AD486" s="1381" t="s">
        <v>247</v>
      </c>
      <c r="AE486" s="1382">
        <f>IFERROR(AF486/AF409,0)</f>
        <v>3.6666183255329915E-2</v>
      </c>
      <c r="AF486" s="1383">
        <f>AF410-AF471+AF484</f>
        <v>193594.65940957185</v>
      </c>
      <c r="AG486" s="1381" t="s">
        <v>247</v>
      </c>
      <c r="AH486" s="1382">
        <f>IFERROR(AI486/AI409,0)</f>
        <v>4.7491002675053261E-2</v>
      </c>
      <c r="AI486" s="1383">
        <f>AI410-AI471+AI484</f>
        <v>277148.67891737365</v>
      </c>
      <c r="AJ486" s="1381" t="s">
        <v>247</v>
      </c>
      <c r="AK486" s="1382">
        <f>IFERROR(AL486/AL409,0)</f>
        <v>5.2974856539440764E-2</v>
      </c>
      <c r="AL486" s="1383">
        <f>AL410-AL471+AL484</f>
        <v>282929.12248100922</v>
      </c>
      <c r="AM486" s="1381" t="s">
        <v>247</v>
      </c>
      <c r="AN486" s="1382">
        <f>IFERROR(AO486/AO409,0)</f>
        <v>4.9983060066450431E-3</v>
      </c>
      <c r="AO486" s="1383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">
      <c r="A488" s="532"/>
      <c r="B488" s="605" t="str">
        <f>B4</f>
        <v>Budget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/>
      <c r="AF488" s="1045"/>
      <c r="AG488" s="1045"/>
      <c r="AH488" s="1045"/>
      <c r="AI488" s="1045"/>
      <c r="AJ488" s="1045"/>
      <c r="AK488" s="1045"/>
      <c r="AL488" s="1045"/>
      <c r="AM488" s="1045"/>
      <c r="AN488" s="1045"/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">
      <c r="A489" s="532"/>
      <c r="B489" s="605"/>
      <c r="C489" s="596"/>
      <c r="D489" s="596"/>
      <c r="E489" s="1329">
        <f>E422/($E$410+$E$484)</f>
        <v>0.17680780417118847</v>
      </c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">
      <c r="A490" s="532"/>
      <c r="B490" s="605"/>
      <c r="C490" s="596"/>
      <c r="D490" s="596"/>
      <c r="E490" s="1329">
        <f>E436/($E$410+$E$484)</f>
        <v>0.31694796564030708</v>
      </c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28"/>
      <c r="F491" s="596"/>
      <c r="G491" s="596"/>
      <c r="H491" s="1328"/>
      <c r="I491" s="596"/>
      <c r="J491" s="596"/>
      <c r="K491" s="1328"/>
      <c r="L491" s="596"/>
      <c r="M491" s="596"/>
      <c r="N491" s="1328"/>
      <c r="O491" s="596"/>
      <c r="P491" s="596"/>
      <c r="Q491" s="1328"/>
      <c r="R491" s="596"/>
      <c r="S491" s="596"/>
      <c r="T491" s="1328"/>
      <c r="U491" s="596"/>
      <c r="V491" s="596"/>
      <c r="W491" s="1328"/>
      <c r="X491" s="596"/>
      <c r="Y491" s="596"/>
      <c r="Z491" s="1328"/>
      <c r="AA491" s="596"/>
      <c r="AB491" s="596"/>
      <c r="AC491" s="1328"/>
      <c r="AD491" s="596"/>
      <c r="AE491" s="596"/>
      <c r="AF491" s="1328"/>
      <c r="AG491" s="596"/>
      <c r="AH491" s="596"/>
      <c r="AI491" s="1328"/>
      <c r="AJ491" s="596"/>
      <c r="AK491" s="596"/>
      <c r="AL491" s="1328"/>
      <c r="AM491" s="596"/>
      <c r="AN491" s="596"/>
      <c r="AO491" s="1328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4" t="s">
        <v>247</v>
      </c>
      <c r="D492" s="1385">
        <f>IFERROR(E492/E409,0)</f>
        <v>3.5613612394008655E-2</v>
      </c>
      <c r="E492" s="1386">
        <f>E486</f>
        <v>2073574.7101184111</v>
      </c>
      <c r="F492" s="1387" t="s">
        <v>247</v>
      </c>
      <c r="G492" s="1385">
        <f>IFERROR(H492/H409,0)</f>
        <v>1.0947185724265217E-3</v>
      </c>
      <c r="H492" s="1388">
        <f>H486</f>
        <v>3385.7033636900305</v>
      </c>
      <c r="I492" s="1384" t="s">
        <v>247</v>
      </c>
      <c r="J492" s="1385">
        <f>IFERROR(K492/K409,0)</f>
        <v>6.6501675797352505E-3</v>
      </c>
      <c r="K492" s="1388">
        <f>K486</f>
        <v>21587.727932434747</v>
      </c>
      <c r="L492" s="1389" t="s">
        <v>247</v>
      </c>
      <c r="M492" s="1385">
        <f>IFERROR(N492/N409,0)</f>
        <v>3.4207283351635601E-2</v>
      </c>
      <c r="N492" s="1388">
        <f>N486</f>
        <v>171439.85738223881</v>
      </c>
      <c r="O492" s="1389" t="s">
        <v>247</v>
      </c>
      <c r="P492" s="1385">
        <f>IFERROR(Q492/Q409,0)</f>
        <v>4.6800300903591732E-2</v>
      </c>
      <c r="Q492" s="1388">
        <f>Q486</f>
        <v>277637.66597301327</v>
      </c>
      <c r="R492" s="1389" t="s">
        <v>247</v>
      </c>
      <c r="S492" s="1385">
        <f>IFERROR(T492/T409,0)</f>
        <v>5.337873069564017E-2</v>
      </c>
      <c r="T492" s="1388">
        <f>T486</f>
        <v>353214.41419732891</v>
      </c>
      <c r="U492" s="1389" t="s">
        <v>247</v>
      </c>
      <c r="V492" s="1385">
        <f>IFERROR(W492/W409,0)</f>
        <v>3.6049490394718754E-2</v>
      </c>
      <c r="W492" s="1388">
        <f>W486</f>
        <v>198016.36644849621</v>
      </c>
      <c r="X492" s="1389" t="s">
        <v>247</v>
      </c>
      <c r="Y492" s="1385">
        <f>IFERROR(Z492/Z409,0)</f>
        <v>3.0938354979787221E-2</v>
      </c>
      <c r="Z492" s="1388">
        <f>Z486</f>
        <v>137355.23045253073</v>
      </c>
      <c r="AA492" s="1389" t="s">
        <v>247</v>
      </c>
      <c r="AB492" s="1385">
        <f>IFERROR(AC492/AC409,0)</f>
        <v>3.1452869741610275E-2</v>
      </c>
      <c r="AC492" s="1388">
        <f>AC486</f>
        <v>139824.65379926944</v>
      </c>
      <c r="AD492" s="1389" t="s">
        <v>247</v>
      </c>
      <c r="AE492" s="1385">
        <f>IFERROR(AF492/AF409,0)</f>
        <v>3.6666183255329915E-2</v>
      </c>
      <c r="AF492" s="1388">
        <f>AF486</f>
        <v>193594.65940957185</v>
      </c>
      <c r="AG492" s="1389" t="s">
        <v>247</v>
      </c>
      <c r="AH492" s="1385">
        <f>IFERROR(AI492/AI409,0)</f>
        <v>4.7491002675053261E-2</v>
      </c>
      <c r="AI492" s="1388">
        <f>AI486</f>
        <v>277148.67891737365</v>
      </c>
      <c r="AJ492" s="1389" t="s">
        <v>247</v>
      </c>
      <c r="AK492" s="1385">
        <f>IFERROR(AL492/AL409,0)</f>
        <v>5.2974856539440764E-2</v>
      </c>
      <c r="AL492" s="1388">
        <f>AL486</f>
        <v>282929.12248100922</v>
      </c>
      <c r="AM492" s="1389" t="s">
        <v>247</v>
      </c>
      <c r="AN492" s="1385">
        <f>IFERROR(AO492/AO409,0)</f>
        <v>4.9983060066450431E-3</v>
      </c>
      <c r="AO492" s="1388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">
      <c r="A493" s="532"/>
      <c r="B493" s="626"/>
      <c r="C493" s="1240"/>
      <c r="D493" s="1240"/>
      <c r="E493" s="1240"/>
      <c r="F493" s="1341"/>
      <c r="G493" s="1240"/>
      <c r="H493" s="1342"/>
      <c r="I493" s="1240"/>
      <c r="J493" s="1240"/>
      <c r="K493" s="1342"/>
      <c r="L493" s="1390"/>
      <c r="M493" s="1240"/>
      <c r="N493" s="1342"/>
      <c r="O493" s="1390"/>
      <c r="P493" s="1240"/>
      <c r="Q493" s="1342"/>
      <c r="R493" s="1390"/>
      <c r="S493" s="1240"/>
      <c r="T493" s="1342"/>
      <c r="U493" s="1390"/>
      <c r="V493" s="1240"/>
      <c r="W493" s="1342"/>
      <c r="X493" s="1390"/>
      <c r="Y493" s="1240"/>
      <c r="Z493" s="1342"/>
      <c r="AA493" s="1390"/>
      <c r="AB493" s="1240"/>
      <c r="AC493" s="1342"/>
      <c r="AD493" s="1390"/>
      <c r="AE493" s="1240"/>
      <c r="AF493" s="1342"/>
      <c r="AG493" s="1390"/>
      <c r="AH493" s="1240"/>
      <c r="AI493" s="1342"/>
      <c r="AJ493" s="1390"/>
      <c r="AK493" s="1240"/>
      <c r="AL493" s="1342"/>
      <c r="AM493" s="1390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">
      <c r="A494" s="532" t="str">
        <f t="shared" ref="A494:A500" si="189">B494</f>
        <v>Amortissement</v>
      </c>
      <c r="B494" s="627" t="s">
        <v>249</v>
      </c>
      <c r="C494" s="1272"/>
      <c r="D494" s="1275"/>
      <c r="E494" s="1286">
        <f>+SUM(H494,K494,N494,Q494,T494,W494,Z494,AC494,AF494,AI494,AL494,AO494)</f>
        <v>48933</v>
      </c>
      <c r="F494" s="621"/>
      <c r="G494" s="1275"/>
      <c r="H494" s="1285">
        <v>4077.75</v>
      </c>
      <c r="I494" s="621"/>
      <c r="J494" s="1275"/>
      <c r="K494" s="1285">
        <v>4077.75</v>
      </c>
      <c r="L494" s="621"/>
      <c r="M494" s="1275"/>
      <c r="N494" s="1285">
        <v>4077.75</v>
      </c>
      <c r="O494" s="621"/>
      <c r="P494" s="1275"/>
      <c r="Q494" s="1285">
        <v>4077.75</v>
      </c>
      <c r="R494" s="621"/>
      <c r="S494" s="1275"/>
      <c r="T494" s="1285">
        <v>4077.75</v>
      </c>
      <c r="U494" s="621"/>
      <c r="V494" s="1275"/>
      <c r="W494" s="1285">
        <v>4077.75</v>
      </c>
      <c r="X494" s="621"/>
      <c r="Y494" s="1275"/>
      <c r="Z494" s="1285">
        <v>4077.75</v>
      </c>
      <c r="AA494" s="621"/>
      <c r="AB494" s="1275"/>
      <c r="AC494" s="1285">
        <v>4077.75</v>
      </c>
      <c r="AD494" s="621"/>
      <c r="AE494" s="1275"/>
      <c r="AF494" s="1285">
        <v>4077.75</v>
      </c>
      <c r="AG494" s="621"/>
      <c r="AH494" s="1275"/>
      <c r="AI494" s="1285">
        <v>4077.75</v>
      </c>
      <c r="AJ494" s="621"/>
      <c r="AK494" s="1275"/>
      <c r="AL494" s="1285">
        <v>4077.75</v>
      </c>
      <c r="AM494" s="621"/>
      <c r="AN494" s="1275"/>
      <c r="AO494" s="1285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">
      <c r="A495" s="532" t="str">
        <f t="shared" si="189"/>
        <v>Intérêts sur marge</v>
      </c>
      <c r="B495" s="627" t="s">
        <v>250</v>
      </c>
      <c r="C495" s="604"/>
      <c r="D495" s="596"/>
      <c r="E495" s="1286">
        <f>+SUM(H495,K495,N495,Q495,T495,W495,Z495,AC495,AF495,AI495,AL495,AO495)</f>
        <v>0</v>
      </c>
      <c r="F495" s="1343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">
      <c r="A496" s="532" t="str">
        <f t="shared" si="189"/>
        <v>Intérêts sur prêt</v>
      </c>
      <c r="B496" s="627" t="s">
        <v>251</v>
      </c>
      <c r="C496" s="596"/>
      <c r="D496" s="596"/>
      <c r="E496" s="1286">
        <f>+SUM(H496,K496,N496,Q496,T496,W496,Z496,AC496,AF496,AI496,AL496,AO496)</f>
        <v>0</v>
      </c>
      <c r="F496" s="622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">
      <c r="A497" s="532" t="str">
        <f t="shared" si="189"/>
        <v>Intérêts sur avance</v>
      </c>
      <c r="B497" s="627" t="s">
        <v>252</v>
      </c>
      <c r="C497" s="608"/>
      <c r="D497" s="608"/>
      <c r="E497" s="1286">
        <f>+SUM(H497,K497,N497,Q497,T497,W497,Z497,AC497,AF497,AI497,AL497,AO497)</f>
        <v>0</v>
      </c>
      <c r="F497" s="1344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6"/>
      <c r="F498" s="1344"/>
      <c r="G498" s="608"/>
      <c r="H498" s="1273"/>
      <c r="I498" s="608"/>
      <c r="J498" s="608"/>
      <c r="K498" s="1273"/>
      <c r="L498" s="1391"/>
      <c r="M498" s="608"/>
      <c r="N498" s="1273"/>
      <c r="O498" s="1391"/>
      <c r="P498" s="608"/>
      <c r="Q498" s="1273"/>
      <c r="R498" s="1391"/>
      <c r="S498" s="608"/>
      <c r="T498" s="1273"/>
      <c r="U498" s="1391"/>
      <c r="V498" s="608"/>
      <c r="W498" s="1273"/>
      <c r="X498" s="1391"/>
      <c r="Y498" s="608"/>
      <c r="Z498" s="1273"/>
      <c r="AA498" s="1391"/>
      <c r="AB498" s="608"/>
      <c r="AC498" s="1273"/>
      <c r="AD498" s="1391"/>
      <c r="AE498" s="608"/>
      <c r="AF498" s="1273"/>
      <c r="AG498" s="1391"/>
      <c r="AH498" s="608"/>
      <c r="AI498" s="1273"/>
      <c r="AJ498" s="1391"/>
      <c r="AK498" s="608"/>
      <c r="AL498" s="1273"/>
      <c r="AM498" s="1391"/>
      <c r="AN498" s="608"/>
      <c r="AO498" s="1273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6">
        <f>+SUM(H499,K499,N499,Q499,T499,W499,Z499,AC499,AF499,AI499,AL499,AO499)</f>
        <v>0</v>
      </c>
      <c r="F499" s="1344"/>
      <c r="G499" s="608"/>
      <c r="H499" s="1273">
        <v>0</v>
      </c>
      <c r="I499" s="608"/>
      <c r="J499" s="608"/>
      <c r="K499" s="1273">
        <v>0</v>
      </c>
      <c r="L499" s="1391"/>
      <c r="M499" s="608"/>
      <c r="N499" s="1273">
        <v>0</v>
      </c>
      <c r="O499" s="1391"/>
      <c r="P499" s="608"/>
      <c r="Q499" s="1273">
        <v>0</v>
      </c>
      <c r="R499" s="1391"/>
      <c r="S499" s="608"/>
      <c r="T499" s="1273">
        <v>0</v>
      </c>
      <c r="U499" s="1391"/>
      <c r="V499" s="608"/>
      <c r="W499" s="1273">
        <v>0</v>
      </c>
      <c r="X499" s="1391"/>
      <c r="Y499" s="608"/>
      <c r="Z499" s="1273">
        <v>0</v>
      </c>
      <c r="AA499" s="1391"/>
      <c r="AB499" s="608"/>
      <c r="AC499" s="1273">
        <v>0</v>
      </c>
      <c r="AD499" s="1391"/>
      <c r="AE499" s="608"/>
      <c r="AF499" s="1273">
        <v>0</v>
      </c>
      <c r="AG499" s="1391"/>
      <c r="AH499" s="608"/>
      <c r="AI499" s="1273">
        <v>0</v>
      </c>
      <c r="AJ499" s="1391"/>
      <c r="AK499" s="608"/>
      <c r="AL499" s="1273">
        <v>0</v>
      </c>
      <c r="AM499" s="1391"/>
      <c r="AN499" s="608"/>
      <c r="AO499" s="1273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6"/>
      <c r="F500" s="1344"/>
      <c r="G500" s="608"/>
      <c r="H500" s="1273"/>
      <c r="I500" s="608"/>
      <c r="J500" s="608"/>
      <c r="K500" s="1273"/>
      <c r="L500" s="1391"/>
      <c r="M500" s="608"/>
      <c r="N500" s="1273"/>
      <c r="O500" s="1391"/>
      <c r="P500" s="608"/>
      <c r="Q500" s="1273"/>
      <c r="R500" s="1391"/>
      <c r="S500" s="608"/>
      <c r="T500" s="1273"/>
      <c r="U500" s="1391"/>
      <c r="V500" s="608"/>
      <c r="W500" s="1273"/>
      <c r="X500" s="1391"/>
      <c r="Y500" s="608"/>
      <c r="Z500" s="1273"/>
      <c r="AA500" s="1391"/>
      <c r="AB500" s="608"/>
      <c r="AC500" s="1273"/>
      <c r="AD500" s="1391"/>
      <c r="AE500" s="608"/>
      <c r="AF500" s="1273"/>
      <c r="AG500" s="1391"/>
      <c r="AH500" s="608"/>
      <c r="AI500" s="1273"/>
      <c r="AJ500" s="1391"/>
      <c r="AK500" s="608"/>
      <c r="AL500" s="1273"/>
      <c r="AM500" s="1391"/>
      <c r="AN500" s="608"/>
      <c r="AO500" s="1273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20" thickTop="1" thickBot="1">
      <c r="B501" s="630" t="s">
        <v>253</v>
      </c>
      <c r="C501" s="1392" t="s">
        <v>247</v>
      </c>
      <c r="D501" s="1347">
        <f>IFERROR(E501/E409,0)</f>
        <v>3.4773188903708417E-2</v>
      </c>
      <c r="E501" s="1393">
        <f>E492-E494-E495-E496-E497-E499</f>
        <v>2024641.7101184111</v>
      </c>
      <c r="F501" s="1346" t="s">
        <v>247</v>
      </c>
      <c r="G501" s="1347">
        <f>IFERROR(H501/H409,0)</f>
        <v>-2.2376334379398569E-4</v>
      </c>
      <c r="H501" s="1393">
        <f>H492-H494-H495-H496-H497-H499</f>
        <v>-692.04663630996947</v>
      </c>
      <c r="I501" s="1392" t="s">
        <v>247</v>
      </c>
      <c r="J501" s="1347">
        <f>IFERROR(K501/K409,0)</f>
        <v>5.3940038494372572E-3</v>
      </c>
      <c r="K501" s="1393">
        <f>K492-K494-K495-K496-K497-K499</f>
        <v>17509.977932434747</v>
      </c>
      <c r="L501" s="1394" t="s">
        <v>247</v>
      </c>
      <c r="M501" s="1347">
        <f>IFERROR(N501/N409,0)</f>
        <v>3.3393652543625002E-2</v>
      </c>
      <c r="N501" s="1393">
        <f>N492-N494-N495-N496-N497-N499</f>
        <v>167362.10738223881</v>
      </c>
      <c r="O501" s="1394" t="s">
        <v>247</v>
      </c>
      <c r="P501" s="1347">
        <f>IFERROR(Q501/Q409,0)</f>
        <v>4.6112930454986351E-2</v>
      </c>
      <c r="Q501" s="1393">
        <f>Q492-Q494-Q495-Q496-Q497-Q499</f>
        <v>273559.91597301327</v>
      </c>
      <c r="R501" s="1394" t="s">
        <v>247</v>
      </c>
      <c r="S501" s="1347">
        <f>IFERROR(T501/T409,0)</f>
        <v>5.2762489935509284E-2</v>
      </c>
      <c r="T501" s="1393">
        <f>T492-T494-T495-T496-T497-T499</f>
        <v>349136.66419732891</v>
      </c>
      <c r="U501" s="1394" t="s">
        <v>247</v>
      </c>
      <c r="V501" s="1347">
        <f>IFERROR(W501/W409,0)</f>
        <v>3.5307123427313063E-2</v>
      </c>
      <c r="W501" s="1393">
        <f>W492-W494-W495-W496-W497-W499</f>
        <v>193938.61644849621</v>
      </c>
      <c r="X501" s="1394" t="s">
        <v>247</v>
      </c>
      <c r="Y501" s="1347">
        <f>IFERROR(Z501/Z409,0)</f>
        <v>3.0019868828199226E-2</v>
      </c>
      <c r="Z501" s="1393">
        <f>Z492-Z494-Z495-Z496-Z497-Z499</f>
        <v>133277.48045253073</v>
      </c>
      <c r="AA501" s="1394" t="s">
        <v>247</v>
      </c>
      <c r="AB501" s="1347">
        <f>IFERROR(AC501/AC409,0)</f>
        <v>3.053559988894913E-2</v>
      </c>
      <c r="AC501" s="1393">
        <f>AC492-AC494-AC495-AC496-AC497-AC499</f>
        <v>135746.90379926944</v>
      </c>
      <c r="AD501" s="1394" t="s">
        <v>247</v>
      </c>
      <c r="AE501" s="1347">
        <f>IFERROR(AF501/AF409,0)</f>
        <v>3.5893870996172472E-2</v>
      </c>
      <c r="AF501" s="1393">
        <f>AF492-AF494-AF495-AF496-AF497-AF499</f>
        <v>189516.90940957185</v>
      </c>
      <c r="AG501" s="1394" t="s">
        <v>247</v>
      </c>
      <c r="AH501" s="1347">
        <f>IFERROR(AI501/AI409,0)</f>
        <v>4.6792257016532793E-2</v>
      </c>
      <c r="AI501" s="1393">
        <f>AI492-AI494-AI495-AI496-AI497-AI499</f>
        <v>273070.92891737365</v>
      </c>
      <c r="AJ501" s="1394" t="s">
        <v>247</v>
      </c>
      <c r="AK501" s="1347">
        <f>IFERROR(AL501/AL409,0)</f>
        <v>5.2211350049336677E-2</v>
      </c>
      <c r="AL501" s="1393">
        <f>AL492-AL494-AL495-AL496-AL497-AL499</f>
        <v>278851.37248100922</v>
      </c>
      <c r="AM501" s="1394" t="s">
        <v>247</v>
      </c>
      <c r="AN501" s="1347">
        <f>IFERROR(AO501/AO409,0)</f>
        <v>3.82966458730576E-3</v>
      </c>
      <c r="AO501" s="1393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7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6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6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6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6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6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6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6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6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">
      <c r="B529" s="1041"/>
      <c r="C529" s="1042"/>
      <c r="D529" s="1042"/>
      <c r="E529" s="1042"/>
      <c r="F529" s="1042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2"/>
      <c r="AD529" s="1042"/>
      <c r="AE529" s="1042"/>
      <c r="AF529" s="1042"/>
      <c r="AG529" s="1042"/>
      <c r="AH529" s="1042"/>
      <c r="AI529" s="1042"/>
      <c r="AJ529" s="1042"/>
      <c r="AK529" s="1042"/>
      <c r="AL529" s="1042"/>
      <c r="AM529" s="1042"/>
      <c r="AN529" s="1042"/>
      <c r="AO529" s="1042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6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6">
      <c r="B531" s="517"/>
      <c r="C531" s="517"/>
      <c r="D531" s="517"/>
      <c r="E531" s="1043"/>
      <c r="F531" s="517"/>
      <c r="G531" s="517"/>
      <c r="H531" s="1043"/>
      <c r="I531" s="517"/>
      <c r="J531" s="517"/>
      <c r="K531" s="1043"/>
      <c r="L531" s="517"/>
      <c r="M531" s="517"/>
      <c r="N531" s="1043"/>
      <c r="O531" s="517"/>
      <c r="P531" s="517"/>
      <c r="Q531" s="1043"/>
      <c r="R531" s="517"/>
      <c r="S531" s="517"/>
      <c r="T531" s="1043"/>
      <c r="U531" s="517"/>
      <c r="V531" s="517"/>
      <c r="W531" s="1043"/>
      <c r="X531" s="517"/>
      <c r="Y531" s="517"/>
      <c r="Z531" s="1043"/>
      <c r="AA531" s="517"/>
      <c r="AB531" s="517"/>
      <c r="AC531" s="1043"/>
      <c r="AD531" s="517"/>
      <c r="AE531" s="517"/>
      <c r="AF531" s="1043"/>
      <c r="AG531" s="517"/>
      <c r="AH531" s="517"/>
      <c r="AI531" s="1043"/>
      <c r="AJ531" s="517"/>
      <c r="AK531" s="517"/>
      <c r="AL531" s="1043"/>
      <c r="AM531" s="517"/>
      <c r="AN531" s="517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6">
      <c r="B532" s="517"/>
      <c r="C532" s="527"/>
      <c r="D532" s="516"/>
      <c r="E532" s="1043"/>
      <c r="F532" s="527"/>
      <c r="G532" s="516"/>
      <c r="H532" s="1043"/>
      <c r="I532" s="527"/>
      <c r="J532" s="516"/>
      <c r="K532" s="1043"/>
      <c r="L532" s="527"/>
      <c r="M532" s="516"/>
      <c r="N532" s="1043"/>
      <c r="O532" s="527"/>
      <c r="P532" s="516"/>
      <c r="Q532" s="1043"/>
      <c r="R532" s="527"/>
      <c r="S532" s="516"/>
      <c r="T532" s="1043"/>
      <c r="U532" s="527"/>
      <c r="V532" s="516"/>
      <c r="W532" s="1043"/>
      <c r="X532" s="527"/>
      <c r="Y532" s="516"/>
      <c r="Z532" s="1043"/>
      <c r="AA532" s="527"/>
      <c r="AB532" s="516"/>
      <c r="AC532" s="1043"/>
      <c r="AD532" s="527"/>
      <c r="AE532" s="516"/>
      <c r="AF532" s="1043"/>
      <c r="AG532" s="527"/>
      <c r="AH532" s="516"/>
      <c r="AI532" s="1043"/>
      <c r="AJ532" s="527"/>
      <c r="AK532" s="516"/>
      <c r="AL532" s="1043"/>
      <c r="AM532" s="527"/>
      <c r="AN532" s="516"/>
      <c r="AO532" s="1043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6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6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6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6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6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6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6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6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6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6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6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6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6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6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6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6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6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6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6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6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6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6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6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6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6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6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6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6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">
      <c r="B650" s="1041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6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6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6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6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6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6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6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6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6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6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6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6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6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6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6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6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6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6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6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6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6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6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6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6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">
      <c r="B712" s="1041"/>
      <c r="C712" s="1042"/>
      <c r="D712" s="1042"/>
      <c r="E712" s="1042"/>
      <c r="F712" s="1042"/>
      <c r="G712" s="1042"/>
      <c r="H712" s="1042"/>
      <c r="I712" s="1042"/>
      <c r="J712" s="1042"/>
      <c r="K712" s="1042"/>
      <c r="L712" s="1042"/>
      <c r="M712" s="1042"/>
      <c r="N712" s="1042"/>
      <c r="O712" s="1042"/>
      <c r="P712" s="1042"/>
      <c r="Q712" s="1042"/>
      <c r="R712" s="1042"/>
      <c r="S712" s="1042"/>
      <c r="T712" s="1042"/>
      <c r="U712" s="1042"/>
      <c r="V712" s="1042"/>
      <c r="W712" s="1042"/>
      <c r="X712" s="1042"/>
      <c r="Y712" s="1042"/>
      <c r="Z712" s="1042"/>
      <c r="AA712" s="1042"/>
      <c r="AB712" s="1042"/>
      <c r="AC712" s="1042"/>
      <c r="AD712" s="1042"/>
      <c r="AE712" s="1042"/>
      <c r="AF712" s="1042"/>
      <c r="AG712" s="1042"/>
      <c r="AH712" s="1042"/>
      <c r="AI712" s="1042"/>
      <c r="AJ712" s="1042"/>
      <c r="AK712" s="1042"/>
      <c r="AL712" s="1042"/>
      <c r="AM712" s="1042"/>
      <c r="AN712" s="1042"/>
      <c r="AO712" s="1042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6">
      <c r="B713" s="517"/>
      <c r="C713" s="1044"/>
      <c r="D713" s="1043"/>
      <c r="E713" s="1044"/>
      <c r="F713" s="1044"/>
      <c r="G713" s="1043"/>
      <c r="H713" s="1044"/>
      <c r="I713" s="1044"/>
      <c r="J713" s="1043"/>
      <c r="K713" s="1044"/>
      <c r="L713" s="1044"/>
      <c r="M713" s="1043"/>
      <c r="N713" s="1044"/>
      <c r="O713" s="1044"/>
      <c r="P713" s="1043"/>
      <c r="Q713" s="1044"/>
      <c r="R713" s="1044"/>
      <c r="S713" s="1043"/>
      <c r="T713" s="1044"/>
      <c r="U713" s="1044"/>
      <c r="V713" s="1043"/>
      <c r="W713" s="1044"/>
      <c r="X713" s="1044"/>
      <c r="Y713" s="1043"/>
      <c r="Z713" s="1044"/>
      <c r="AA713" s="1044"/>
      <c r="AB713" s="1043"/>
      <c r="AC713" s="1044"/>
      <c r="AD713" s="1044"/>
      <c r="AE713" s="1043"/>
      <c r="AF713" s="1044"/>
      <c r="AG713" s="1044"/>
      <c r="AH713" s="1043"/>
      <c r="AI713" s="1044"/>
      <c r="AJ713" s="1044"/>
      <c r="AK713" s="1043"/>
      <c r="AL713" s="1044"/>
      <c r="AM713" s="1044"/>
      <c r="AN713" s="1043"/>
      <c r="AO713" s="1044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6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6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6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6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6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6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6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6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6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6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6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6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6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6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6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6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6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6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6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W475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1640625" style="529" customWidth="1"/>
    <col min="2" max="2" width="34.6640625" style="505" customWidth="1"/>
    <col min="3" max="3" width="16.6640625" style="505" customWidth="1"/>
    <col min="4" max="4" width="17.1640625" style="505" bestFit="1" customWidth="1"/>
    <col min="5" max="5" width="17.33203125" style="505" bestFit="1" customWidth="1"/>
    <col min="6" max="6" width="16.6640625" style="505" customWidth="1"/>
    <col min="7" max="7" width="14.5" style="505" customWidth="1"/>
    <col min="8" max="8" width="15.83203125" style="505" customWidth="1"/>
    <col min="9" max="9" width="16.6640625" style="505" customWidth="1"/>
    <col min="10" max="10" width="14.5" style="505" customWidth="1"/>
    <col min="11" max="11" width="15.83203125" style="505" customWidth="1"/>
    <col min="12" max="12" width="16.6640625" style="505" customWidth="1"/>
    <col min="13" max="13" width="14.5" style="505" customWidth="1"/>
    <col min="14" max="14" width="15.83203125" style="505" customWidth="1"/>
    <col min="15" max="15" width="16.6640625" style="505" customWidth="1"/>
    <col min="16" max="16" width="14.5" style="505" customWidth="1"/>
    <col min="17" max="17" width="15.83203125" style="505" customWidth="1"/>
    <col min="18" max="18" width="16.6640625" style="505" customWidth="1"/>
    <col min="19" max="19" width="14.5" style="505" customWidth="1"/>
    <col min="20" max="20" width="15.83203125" style="505" customWidth="1"/>
    <col min="21" max="21" width="16.6640625" style="505" customWidth="1"/>
    <col min="22" max="22" width="14.5" style="505" customWidth="1"/>
    <col min="23" max="23" width="15.83203125" style="505" customWidth="1"/>
    <col min="24" max="24" width="16.6640625" style="505" customWidth="1"/>
    <col min="25" max="25" width="14.5" style="505" customWidth="1"/>
    <col min="26" max="26" width="15.83203125" style="505" customWidth="1"/>
    <col min="27" max="27" width="16.6640625" style="505" customWidth="1"/>
    <col min="28" max="28" width="14.5" style="505" customWidth="1"/>
    <col min="29" max="29" width="15.83203125" style="505" customWidth="1"/>
    <col min="30" max="30" width="16.6640625" style="505" customWidth="1"/>
    <col min="31" max="31" width="14.5" style="505" customWidth="1"/>
    <col min="32" max="32" width="15.83203125" style="505" customWidth="1"/>
    <col min="33" max="33" width="16.6640625" style="505" customWidth="1"/>
    <col min="34" max="34" width="14.5" style="505" customWidth="1"/>
    <col min="35" max="35" width="15.83203125" style="505" customWidth="1"/>
    <col min="36" max="36" width="16.6640625" style="505" customWidth="1"/>
    <col min="37" max="37" width="14.5" style="505" customWidth="1"/>
    <col min="38" max="38" width="15.83203125" style="505" customWidth="1"/>
    <col min="39" max="39" width="16.6640625" style="505" customWidth="1"/>
    <col min="40" max="40" width="14.5" style="505" customWidth="1"/>
    <col min="41" max="41" width="15.83203125" style="505" customWidth="1"/>
    <col min="42" max="228" width="11" style="505"/>
    <col min="229" max="229" width="32.6640625" style="505" customWidth="1"/>
    <col min="230" max="230" width="14.5" style="505" customWidth="1"/>
    <col min="231" max="231" width="15.6640625" style="505" bestFit="1" customWidth="1"/>
    <col min="232" max="232" width="15.5" style="505" customWidth="1"/>
    <col min="233" max="233" width="15.6640625" style="505" customWidth="1"/>
    <col min="234" max="234" width="15.6640625" style="505" bestFit="1" customWidth="1"/>
    <col min="235" max="235" width="15.83203125" style="505" customWidth="1"/>
    <col min="236" max="236" width="14.83203125" style="505" customWidth="1"/>
    <col min="237" max="237" width="14.5" style="505" customWidth="1"/>
    <col min="238" max="238" width="15.83203125" style="505" customWidth="1"/>
    <col min="239" max="239" width="12" style="505" bestFit="1" customWidth="1"/>
    <col min="240" max="240" width="18.6640625" style="505" customWidth="1"/>
    <col min="241" max="241" width="15.1640625" style="505" customWidth="1"/>
    <col min="242" max="242" width="15.6640625" style="505" bestFit="1" customWidth="1"/>
    <col min="243" max="243" width="16.33203125" style="505" customWidth="1"/>
    <col min="244" max="244" width="13.83203125" style="505" customWidth="1"/>
    <col min="245" max="245" width="18.6640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3203125" style="505" customWidth="1"/>
    <col min="250" max="250" width="10.83203125" style="505" customWidth="1"/>
    <col min="251" max="251" width="10" style="505" customWidth="1"/>
    <col min="252" max="252" width="17.33203125" style="505" customWidth="1"/>
    <col min="253" max="253" width="10.83203125" style="505" customWidth="1"/>
    <col min="254" max="254" width="10" style="505" customWidth="1"/>
    <col min="255" max="255" width="16.1640625" style="505" customWidth="1"/>
    <col min="256" max="256" width="10.83203125" style="505" customWidth="1"/>
    <col min="257" max="257" width="12" style="505" customWidth="1"/>
    <col min="258" max="258" width="18.83203125" style="505" customWidth="1"/>
    <col min="259" max="259" width="10.83203125" style="505" customWidth="1"/>
    <col min="260" max="260" width="16.1640625" style="505" bestFit="1" customWidth="1"/>
    <col min="261" max="261" width="12.33203125" style="505" bestFit="1" customWidth="1"/>
    <col min="262" max="262" width="10.83203125" style="505" customWidth="1"/>
    <col min="263" max="263" width="10" style="505" customWidth="1"/>
    <col min="264" max="264" width="17.5" style="505" customWidth="1"/>
    <col min="265" max="265" width="10.83203125" style="505" customWidth="1"/>
    <col min="266" max="266" width="16" style="505" customWidth="1"/>
    <col min="267" max="267" width="12.33203125" style="505" bestFit="1" customWidth="1"/>
    <col min="268" max="484" width="11" style="505"/>
    <col min="485" max="485" width="32.6640625" style="505" customWidth="1"/>
    <col min="486" max="486" width="14.5" style="505" customWidth="1"/>
    <col min="487" max="487" width="15.6640625" style="505" bestFit="1" customWidth="1"/>
    <col min="488" max="488" width="15.5" style="505" customWidth="1"/>
    <col min="489" max="489" width="15.6640625" style="505" customWidth="1"/>
    <col min="490" max="490" width="15.6640625" style="505" bestFit="1" customWidth="1"/>
    <col min="491" max="491" width="15.83203125" style="505" customWidth="1"/>
    <col min="492" max="492" width="14.83203125" style="505" customWidth="1"/>
    <col min="493" max="493" width="14.5" style="505" customWidth="1"/>
    <col min="494" max="494" width="15.83203125" style="505" customWidth="1"/>
    <col min="495" max="495" width="12" style="505" bestFit="1" customWidth="1"/>
    <col min="496" max="496" width="18.6640625" style="505" customWidth="1"/>
    <col min="497" max="497" width="15.1640625" style="505" customWidth="1"/>
    <col min="498" max="498" width="15.6640625" style="505" bestFit="1" customWidth="1"/>
    <col min="499" max="499" width="16.33203125" style="505" customWidth="1"/>
    <col min="500" max="500" width="13.83203125" style="505" customWidth="1"/>
    <col min="501" max="501" width="18.6640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3203125" style="505" customWidth="1"/>
    <col min="506" max="506" width="10.83203125" style="505" customWidth="1"/>
    <col min="507" max="507" width="10" style="505" customWidth="1"/>
    <col min="508" max="508" width="17.33203125" style="505" customWidth="1"/>
    <col min="509" max="509" width="10.83203125" style="505" customWidth="1"/>
    <col min="510" max="510" width="10" style="505" customWidth="1"/>
    <col min="511" max="511" width="16.1640625" style="505" customWidth="1"/>
    <col min="512" max="512" width="10.83203125" style="505" customWidth="1"/>
    <col min="513" max="513" width="12" style="505" customWidth="1"/>
    <col min="514" max="514" width="18.83203125" style="505" customWidth="1"/>
    <col min="515" max="515" width="10.83203125" style="505" customWidth="1"/>
    <col min="516" max="516" width="16.1640625" style="505" bestFit="1" customWidth="1"/>
    <col min="517" max="517" width="12.33203125" style="505" bestFit="1" customWidth="1"/>
    <col min="518" max="518" width="10.83203125" style="505" customWidth="1"/>
    <col min="519" max="519" width="10" style="505" customWidth="1"/>
    <col min="520" max="520" width="17.5" style="505" customWidth="1"/>
    <col min="521" max="521" width="10.83203125" style="505" customWidth="1"/>
    <col min="522" max="522" width="16" style="505" customWidth="1"/>
    <col min="523" max="523" width="12.33203125" style="505" bestFit="1" customWidth="1"/>
    <col min="524" max="740" width="11" style="505"/>
    <col min="741" max="741" width="32.6640625" style="505" customWidth="1"/>
    <col min="742" max="742" width="14.5" style="505" customWidth="1"/>
    <col min="743" max="743" width="15.6640625" style="505" bestFit="1" customWidth="1"/>
    <col min="744" max="744" width="15.5" style="505" customWidth="1"/>
    <col min="745" max="745" width="15.6640625" style="505" customWidth="1"/>
    <col min="746" max="746" width="15.6640625" style="505" bestFit="1" customWidth="1"/>
    <col min="747" max="747" width="15.83203125" style="505" customWidth="1"/>
    <col min="748" max="748" width="14.83203125" style="505" customWidth="1"/>
    <col min="749" max="749" width="14.5" style="505" customWidth="1"/>
    <col min="750" max="750" width="15.83203125" style="505" customWidth="1"/>
    <col min="751" max="751" width="12" style="505" bestFit="1" customWidth="1"/>
    <col min="752" max="752" width="18.6640625" style="505" customWidth="1"/>
    <col min="753" max="753" width="15.1640625" style="505" customWidth="1"/>
    <col min="754" max="754" width="15.6640625" style="505" bestFit="1" customWidth="1"/>
    <col min="755" max="755" width="16.33203125" style="505" customWidth="1"/>
    <col min="756" max="756" width="13.83203125" style="505" customWidth="1"/>
    <col min="757" max="757" width="18.6640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3203125" style="505" customWidth="1"/>
    <col min="762" max="762" width="10.83203125" style="505" customWidth="1"/>
    <col min="763" max="763" width="10" style="505" customWidth="1"/>
    <col min="764" max="764" width="17.33203125" style="505" customWidth="1"/>
    <col min="765" max="765" width="10.83203125" style="505" customWidth="1"/>
    <col min="766" max="766" width="10" style="505" customWidth="1"/>
    <col min="767" max="767" width="16.1640625" style="505" customWidth="1"/>
    <col min="768" max="768" width="10.83203125" style="505" customWidth="1"/>
    <col min="769" max="769" width="12" style="505" customWidth="1"/>
    <col min="770" max="770" width="18.83203125" style="505" customWidth="1"/>
    <col min="771" max="771" width="10.83203125" style="505" customWidth="1"/>
    <col min="772" max="772" width="16.1640625" style="505" bestFit="1" customWidth="1"/>
    <col min="773" max="773" width="12.33203125" style="505" bestFit="1" customWidth="1"/>
    <col min="774" max="774" width="10.83203125" style="505" customWidth="1"/>
    <col min="775" max="775" width="10" style="505" customWidth="1"/>
    <col min="776" max="776" width="17.5" style="505" customWidth="1"/>
    <col min="777" max="777" width="10.83203125" style="505" customWidth="1"/>
    <col min="778" max="778" width="16" style="505" customWidth="1"/>
    <col min="779" max="779" width="12.33203125" style="505" bestFit="1" customWidth="1"/>
    <col min="780" max="996" width="11" style="505"/>
    <col min="997" max="997" width="32.6640625" style="505" customWidth="1"/>
    <col min="998" max="998" width="14.5" style="505" customWidth="1"/>
    <col min="999" max="999" width="15.6640625" style="505" bestFit="1" customWidth="1"/>
    <col min="1000" max="1000" width="15.5" style="505" customWidth="1"/>
    <col min="1001" max="1001" width="15.6640625" style="505" customWidth="1"/>
    <col min="1002" max="1002" width="15.6640625" style="505" bestFit="1" customWidth="1"/>
    <col min="1003" max="1003" width="15.83203125" style="505" customWidth="1"/>
    <col min="1004" max="1004" width="14.83203125" style="505" customWidth="1"/>
    <col min="1005" max="1005" width="14.5" style="505" customWidth="1"/>
    <col min="1006" max="1006" width="15.83203125" style="505" customWidth="1"/>
    <col min="1007" max="1007" width="12" style="505" bestFit="1" customWidth="1"/>
    <col min="1008" max="1008" width="18.6640625" style="505" customWidth="1"/>
    <col min="1009" max="1009" width="15.1640625" style="505" customWidth="1"/>
    <col min="1010" max="1010" width="15.6640625" style="505" bestFit="1" customWidth="1"/>
    <col min="1011" max="1011" width="16.33203125" style="505" customWidth="1"/>
    <col min="1012" max="1012" width="13.83203125" style="505" customWidth="1"/>
    <col min="1013" max="1013" width="18.6640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3203125" style="505" customWidth="1"/>
    <col min="1018" max="1018" width="10.83203125" style="505" customWidth="1"/>
    <col min="1019" max="1019" width="10" style="505" customWidth="1"/>
    <col min="1020" max="1020" width="17.33203125" style="505" customWidth="1"/>
    <col min="1021" max="1021" width="10.83203125" style="505" customWidth="1"/>
    <col min="1022" max="1022" width="10" style="505" customWidth="1"/>
    <col min="1023" max="1023" width="16.1640625" style="505" customWidth="1"/>
    <col min="1024" max="1024" width="10.83203125" style="505" customWidth="1"/>
    <col min="1025" max="1025" width="12" style="505" customWidth="1"/>
    <col min="1026" max="1026" width="18.83203125" style="505" customWidth="1"/>
    <col min="1027" max="1027" width="10.83203125" style="505" customWidth="1"/>
    <col min="1028" max="1028" width="16.1640625" style="505" bestFit="1" customWidth="1"/>
    <col min="1029" max="1029" width="12.33203125" style="505" bestFit="1" customWidth="1"/>
    <col min="1030" max="1030" width="10.83203125" style="505" customWidth="1"/>
    <col min="1031" max="1031" width="10" style="505" customWidth="1"/>
    <col min="1032" max="1032" width="17.5" style="505" customWidth="1"/>
    <col min="1033" max="1033" width="10.83203125" style="505" customWidth="1"/>
    <col min="1034" max="1034" width="16" style="505" customWidth="1"/>
    <col min="1035" max="1035" width="12.33203125" style="505" bestFit="1" customWidth="1"/>
    <col min="1036" max="1252" width="11" style="505"/>
    <col min="1253" max="1253" width="32.6640625" style="505" customWidth="1"/>
    <col min="1254" max="1254" width="14.5" style="505" customWidth="1"/>
    <col min="1255" max="1255" width="15.6640625" style="505" bestFit="1" customWidth="1"/>
    <col min="1256" max="1256" width="15.5" style="505" customWidth="1"/>
    <col min="1257" max="1257" width="15.6640625" style="505" customWidth="1"/>
    <col min="1258" max="1258" width="15.6640625" style="505" bestFit="1" customWidth="1"/>
    <col min="1259" max="1259" width="15.83203125" style="505" customWidth="1"/>
    <col min="1260" max="1260" width="14.83203125" style="505" customWidth="1"/>
    <col min="1261" max="1261" width="14.5" style="505" customWidth="1"/>
    <col min="1262" max="1262" width="15.83203125" style="505" customWidth="1"/>
    <col min="1263" max="1263" width="12" style="505" bestFit="1" customWidth="1"/>
    <col min="1264" max="1264" width="18.6640625" style="505" customWidth="1"/>
    <col min="1265" max="1265" width="15.1640625" style="505" customWidth="1"/>
    <col min="1266" max="1266" width="15.6640625" style="505" bestFit="1" customWidth="1"/>
    <col min="1267" max="1267" width="16.33203125" style="505" customWidth="1"/>
    <col min="1268" max="1268" width="13.83203125" style="505" customWidth="1"/>
    <col min="1269" max="1269" width="18.6640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3203125" style="505" customWidth="1"/>
    <col min="1274" max="1274" width="10.83203125" style="505" customWidth="1"/>
    <col min="1275" max="1275" width="10" style="505" customWidth="1"/>
    <col min="1276" max="1276" width="17.33203125" style="505" customWidth="1"/>
    <col min="1277" max="1277" width="10.83203125" style="505" customWidth="1"/>
    <col min="1278" max="1278" width="10" style="505" customWidth="1"/>
    <col min="1279" max="1279" width="16.1640625" style="505" customWidth="1"/>
    <col min="1280" max="1280" width="10.83203125" style="505" customWidth="1"/>
    <col min="1281" max="1281" width="12" style="505" customWidth="1"/>
    <col min="1282" max="1282" width="18.83203125" style="505" customWidth="1"/>
    <col min="1283" max="1283" width="10.83203125" style="505" customWidth="1"/>
    <col min="1284" max="1284" width="16.1640625" style="505" bestFit="1" customWidth="1"/>
    <col min="1285" max="1285" width="12.33203125" style="505" bestFit="1" customWidth="1"/>
    <col min="1286" max="1286" width="10.83203125" style="505" customWidth="1"/>
    <col min="1287" max="1287" width="10" style="505" customWidth="1"/>
    <col min="1288" max="1288" width="17.5" style="505" customWidth="1"/>
    <col min="1289" max="1289" width="10.83203125" style="505" customWidth="1"/>
    <col min="1290" max="1290" width="16" style="505" customWidth="1"/>
    <col min="1291" max="1291" width="12.33203125" style="505" bestFit="1" customWidth="1"/>
    <col min="1292" max="1508" width="11" style="505"/>
    <col min="1509" max="1509" width="32.6640625" style="505" customWidth="1"/>
    <col min="1510" max="1510" width="14.5" style="505" customWidth="1"/>
    <col min="1511" max="1511" width="15.6640625" style="505" bestFit="1" customWidth="1"/>
    <col min="1512" max="1512" width="15.5" style="505" customWidth="1"/>
    <col min="1513" max="1513" width="15.6640625" style="505" customWidth="1"/>
    <col min="1514" max="1514" width="15.6640625" style="505" bestFit="1" customWidth="1"/>
    <col min="1515" max="1515" width="15.83203125" style="505" customWidth="1"/>
    <col min="1516" max="1516" width="14.83203125" style="505" customWidth="1"/>
    <col min="1517" max="1517" width="14.5" style="505" customWidth="1"/>
    <col min="1518" max="1518" width="15.83203125" style="505" customWidth="1"/>
    <col min="1519" max="1519" width="12" style="505" bestFit="1" customWidth="1"/>
    <col min="1520" max="1520" width="18.6640625" style="505" customWidth="1"/>
    <col min="1521" max="1521" width="15.1640625" style="505" customWidth="1"/>
    <col min="1522" max="1522" width="15.6640625" style="505" bestFit="1" customWidth="1"/>
    <col min="1523" max="1523" width="16.33203125" style="505" customWidth="1"/>
    <col min="1524" max="1524" width="13.83203125" style="505" customWidth="1"/>
    <col min="1525" max="1525" width="18.6640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3203125" style="505" customWidth="1"/>
    <col min="1530" max="1530" width="10.83203125" style="505" customWidth="1"/>
    <col min="1531" max="1531" width="10" style="505" customWidth="1"/>
    <col min="1532" max="1532" width="17.33203125" style="505" customWidth="1"/>
    <col min="1533" max="1533" width="10.83203125" style="505" customWidth="1"/>
    <col min="1534" max="1534" width="10" style="505" customWidth="1"/>
    <col min="1535" max="1535" width="16.1640625" style="505" customWidth="1"/>
    <col min="1536" max="1536" width="10.83203125" style="505" customWidth="1"/>
    <col min="1537" max="1537" width="12" style="505" customWidth="1"/>
    <col min="1538" max="1538" width="18.83203125" style="505" customWidth="1"/>
    <col min="1539" max="1539" width="10.83203125" style="505" customWidth="1"/>
    <col min="1540" max="1540" width="16.1640625" style="505" bestFit="1" customWidth="1"/>
    <col min="1541" max="1541" width="12.33203125" style="505" bestFit="1" customWidth="1"/>
    <col min="1542" max="1542" width="10.83203125" style="505" customWidth="1"/>
    <col min="1543" max="1543" width="10" style="505" customWidth="1"/>
    <col min="1544" max="1544" width="17.5" style="505" customWidth="1"/>
    <col min="1545" max="1545" width="10.83203125" style="505" customWidth="1"/>
    <col min="1546" max="1546" width="16" style="505" customWidth="1"/>
    <col min="1547" max="1547" width="12.33203125" style="505" bestFit="1" customWidth="1"/>
    <col min="1548" max="1764" width="11" style="505"/>
    <col min="1765" max="1765" width="32.6640625" style="505" customWidth="1"/>
    <col min="1766" max="1766" width="14.5" style="505" customWidth="1"/>
    <col min="1767" max="1767" width="15.6640625" style="505" bestFit="1" customWidth="1"/>
    <col min="1768" max="1768" width="15.5" style="505" customWidth="1"/>
    <col min="1769" max="1769" width="15.6640625" style="505" customWidth="1"/>
    <col min="1770" max="1770" width="15.6640625" style="505" bestFit="1" customWidth="1"/>
    <col min="1771" max="1771" width="15.83203125" style="505" customWidth="1"/>
    <col min="1772" max="1772" width="14.83203125" style="505" customWidth="1"/>
    <col min="1773" max="1773" width="14.5" style="505" customWidth="1"/>
    <col min="1774" max="1774" width="15.83203125" style="505" customWidth="1"/>
    <col min="1775" max="1775" width="12" style="505" bestFit="1" customWidth="1"/>
    <col min="1776" max="1776" width="18.6640625" style="505" customWidth="1"/>
    <col min="1777" max="1777" width="15.1640625" style="505" customWidth="1"/>
    <col min="1778" max="1778" width="15.6640625" style="505" bestFit="1" customWidth="1"/>
    <col min="1779" max="1779" width="16.33203125" style="505" customWidth="1"/>
    <col min="1780" max="1780" width="13.83203125" style="505" customWidth="1"/>
    <col min="1781" max="1781" width="18.6640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3203125" style="505" customWidth="1"/>
    <col min="1786" max="1786" width="10.83203125" style="505" customWidth="1"/>
    <col min="1787" max="1787" width="10" style="505" customWidth="1"/>
    <col min="1788" max="1788" width="17.33203125" style="505" customWidth="1"/>
    <col min="1789" max="1789" width="10.83203125" style="505" customWidth="1"/>
    <col min="1790" max="1790" width="10" style="505" customWidth="1"/>
    <col min="1791" max="1791" width="16.1640625" style="505" customWidth="1"/>
    <col min="1792" max="1792" width="10.83203125" style="505" customWidth="1"/>
    <col min="1793" max="1793" width="12" style="505" customWidth="1"/>
    <col min="1794" max="1794" width="18.83203125" style="505" customWidth="1"/>
    <col min="1795" max="1795" width="10.83203125" style="505" customWidth="1"/>
    <col min="1796" max="1796" width="16.1640625" style="505" bestFit="1" customWidth="1"/>
    <col min="1797" max="1797" width="12.33203125" style="505" bestFit="1" customWidth="1"/>
    <col min="1798" max="1798" width="10.83203125" style="505" customWidth="1"/>
    <col min="1799" max="1799" width="10" style="505" customWidth="1"/>
    <col min="1800" max="1800" width="17.5" style="505" customWidth="1"/>
    <col min="1801" max="1801" width="10.83203125" style="505" customWidth="1"/>
    <col min="1802" max="1802" width="16" style="505" customWidth="1"/>
    <col min="1803" max="1803" width="12.33203125" style="505" bestFit="1" customWidth="1"/>
    <col min="1804" max="2020" width="11" style="505"/>
    <col min="2021" max="2021" width="32.6640625" style="505" customWidth="1"/>
    <col min="2022" max="2022" width="14.5" style="505" customWidth="1"/>
    <col min="2023" max="2023" width="15.6640625" style="505" bestFit="1" customWidth="1"/>
    <col min="2024" max="2024" width="15.5" style="505" customWidth="1"/>
    <col min="2025" max="2025" width="15.6640625" style="505" customWidth="1"/>
    <col min="2026" max="2026" width="15.6640625" style="505" bestFit="1" customWidth="1"/>
    <col min="2027" max="2027" width="15.83203125" style="505" customWidth="1"/>
    <col min="2028" max="2028" width="14.83203125" style="505" customWidth="1"/>
    <col min="2029" max="2029" width="14.5" style="505" customWidth="1"/>
    <col min="2030" max="2030" width="15.83203125" style="505" customWidth="1"/>
    <col min="2031" max="2031" width="12" style="505" bestFit="1" customWidth="1"/>
    <col min="2032" max="2032" width="18.6640625" style="505" customWidth="1"/>
    <col min="2033" max="2033" width="15.1640625" style="505" customWidth="1"/>
    <col min="2034" max="2034" width="15.6640625" style="505" bestFit="1" customWidth="1"/>
    <col min="2035" max="2035" width="16.33203125" style="505" customWidth="1"/>
    <col min="2036" max="2036" width="13.83203125" style="505" customWidth="1"/>
    <col min="2037" max="2037" width="18.6640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3203125" style="505" customWidth="1"/>
    <col min="2042" max="2042" width="10.83203125" style="505" customWidth="1"/>
    <col min="2043" max="2043" width="10" style="505" customWidth="1"/>
    <col min="2044" max="2044" width="17.33203125" style="505" customWidth="1"/>
    <col min="2045" max="2045" width="10.83203125" style="505" customWidth="1"/>
    <col min="2046" max="2046" width="10" style="505" customWidth="1"/>
    <col min="2047" max="2047" width="16.1640625" style="505" customWidth="1"/>
    <col min="2048" max="2048" width="10.83203125" style="505" customWidth="1"/>
    <col min="2049" max="2049" width="12" style="505" customWidth="1"/>
    <col min="2050" max="2050" width="18.83203125" style="505" customWidth="1"/>
    <col min="2051" max="2051" width="10.83203125" style="505" customWidth="1"/>
    <col min="2052" max="2052" width="16.1640625" style="505" bestFit="1" customWidth="1"/>
    <col min="2053" max="2053" width="12.33203125" style="505" bestFit="1" customWidth="1"/>
    <col min="2054" max="2054" width="10.83203125" style="505" customWidth="1"/>
    <col min="2055" max="2055" width="10" style="505" customWidth="1"/>
    <col min="2056" max="2056" width="17.5" style="505" customWidth="1"/>
    <col min="2057" max="2057" width="10.83203125" style="505" customWidth="1"/>
    <col min="2058" max="2058" width="16" style="505" customWidth="1"/>
    <col min="2059" max="2059" width="12.33203125" style="505" bestFit="1" customWidth="1"/>
    <col min="2060" max="2276" width="11" style="505"/>
    <col min="2277" max="2277" width="32.6640625" style="505" customWidth="1"/>
    <col min="2278" max="2278" width="14.5" style="505" customWidth="1"/>
    <col min="2279" max="2279" width="15.6640625" style="505" bestFit="1" customWidth="1"/>
    <col min="2280" max="2280" width="15.5" style="505" customWidth="1"/>
    <col min="2281" max="2281" width="15.6640625" style="505" customWidth="1"/>
    <col min="2282" max="2282" width="15.6640625" style="505" bestFit="1" customWidth="1"/>
    <col min="2283" max="2283" width="15.83203125" style="505" customWidth="1"/>
    <col min="2284" max="2284" width="14.83203125" style="505" customWidth="1"/>
    <col min="2285" max="2285" width="14.5" style="505" customWidth="1"/>
    <col min="2286" max="2286" width="15.83203125" style="505" customWidth="1"/>
    <col min="2287" max="2287" width="12" style="505" bestFit="1" customWidth="1"/>
    <col min="2288" max="2288" width="18.6640625" style="505" customWidth="1"/>
    <col min="2289" max="2289" width="15.1640625" style="505" customWidth="1"/>
    <col min="2290" max="2290" width="15.6640625" style="505" bestFit="1" customWidth="1"/>
    <col min="2291" max="2291" width="16.33203125" style="505" customWidth="1"/>
    <col min="2292" max="2292" width="13.83203125" style="505" customWidth="1"/>
    <col min="2293" max="2293" width="18.6640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3203125" style="505" customWidth="1"/>
    <col min="2298" max="2298" width="10.83203125" style="505" customWidth="1"/>
    <col min="2299" max="2299" width="10" style="505" customWidth="1"/>
    <col min="2300" max="2300" width="17.33203125" style="505" customWidth="1"/>
    <col min="2301" max="2301" width="10.83203125" style="505" customWidth="1"/>
    <col min="2302" max="2302" width="10" style="505" customWidth="1"/>
    <col min="2303" max="2303" width="16.1640625" style="505" customWidth="1"/>
    <col min="2304" max="2304" width="10.83203125" style="505" customWidth="1"/>
    <col min="2305" max="2305" width="12" style="505" customWidth="1"/>
    <col min="2306" max="2306" width="18.83203125" style="505" customWidth="1"/>
    <col min="2307" max="2307" width="10.83203125" style="505" customWidth="1"/>
    <col min="2308" max="2308" width="16.1640625" style="505" bestFit="1" customWidth="1"/>
    <col min="2309" max="2309" width="12.33203125" style="505" bestFit="1" customWidth="1"/>
    <col min="2310" max="2310" width="10.83203125" style="505" customWidth="1"/>
    <col min="2311" max="2311" width="10" style="505" customWidth="1"/>
    <col min="2312" max="2312" width="17.5" style="505" customWidth="1"/>
    <col min="2313" max="2313" width="10.83203125" style="505" customWidth="1"/>
    <col min="2314" max="2314" width="16" style="505" customWidth="1"/>
    <col min="2315" max="2315" width="12.33203125" style="505" bestFit="1" customWidth="1"/>
    <col min="2316" max="2532" width="11" style="505"/>
    <col min="2533" max="2533" width="32.6640625" style="505" customWidth="1"/>
    <col min="2534" max="2534" width="14.5" style="505" customWidth="1"/>
    <col min="2535" max="2535" width="15.6640625" style="505" bestFit="1" customWidth="1"/>
    <col min="2536" max="2536" width="15.5" style="505" customWidth="1"/>
    <col min="2537" max="2537" width="15.6640625" style="505" customWidth="1"/>
    <col min="2538" max="2538" width="15.6640625" style="505" bestFit="1" customWidth="1"/>
    <col min="2539" max="2539" width="15.83203125" style="505" customWidth="1"/>
    <col min="2540" max="2540" width="14.83203125" style="505" customWidth="1"/>
    <col min="2541" max="2541" width="14.5" style="505" customWidth="1"/>
    <col min="2542" max="2542" width="15.83203125" style="505" customWidth="1"/>
    <col min="2543" max="2543" width="12" style="505" bestFit="1" customWidth="1"/>
    <col min="2544" max="2544" width="18.6640625" style="505" customWidth="1"/>
    <col min="2545" max="2545" width="15.1640625" style="505" customWidth="1"/>
    <col min="2546" max="2546" width="15.6640625" style="505" bestFit="1" customWidth="1"/>
    <col min="2547" max="2547" width="16.33203125" style="505" customWidth="1"/>
    <col min="2548" max="2548" width="13.83203125" style="505" customWidth="1"/>
    <col min="2549" max="2549" width="18.6640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3203125" style="505" customWidth="1"/>
    <col min="2554" max="2554" width="10.83203125" style="505" customWidth="1"/>
    <col min="2555" max="2555" width="10" style="505" customWidth="1"/>
    <col min="2556" max="2556" width="17.33203125" style="505" customWidth="1"/>
    <col min="2557" max="2557" width="10.83203125" style="505" customWidth="1"/>
    <col min="2558" max="2558" width="10" style="505" customWidth="1"/>
    <col min="2559" max="2559" width="16.1640625" style="505" customWidth="1"/>
    <col min="2560" max="2560" width="10.83203125" style="505" customWidth="1"/>
    <col min="2561" max="2561" width="12" style="505" customWidth="1"/>
    <col min="2562" max="2562" width="18.83203125" style="505" customWidth="1"/>
    <col min="2563" max="2563" width="10.83203125" style="505" customWidth="1"/>
    <col min="2564" max="2564" width="16.1640625" style="505" bestFit="1" customWidth="1"/>
    <col min="2565" max="2565" width="12.33203125" style="505" bestFit="1" customWidth="1"/>
    <col min="2566" max="2566" width="10.83203125" style="505" customWidth="1"/>
    <col min="2567" max="2567" width="10" style="505" customWidth="1"/>
    <col min="2568" max="2568" width="17.5" style="505" customWidth="1"/>
    <col min="2569" max="2569" width="10.83203125" style="505" customWidth="1"/>
    <col min="2570" max="2570" width="16" style="505" customWidth="1"/>
    <col min="2571" max="2571" width="12.33203125" style="505" bestFit="1" customWidth="1"/>
    <col min="2572" max="2788" width="11" style="505"/>
    <col min="2789" max="2789" width="32.6640625" style="505" customWidth="1"/>
    <col min="2790" max="2790" width="14.5" style="505" customWidth="1"/>
    <col min="2791" max="2791" width="15.6640625" style="505" bestFit="1" customWidth="1"/>
    <col min="2792" max="2792" width="15.5" style="505" customWidth="1"/>
    <col min="2793" max="2793" width="15.6640625" style="505" customWidth="1"/>
    <col min="2794" max="2794" width="15.6640625" style="505" bestFit="1" customWidth="1"/>
    <col min="2795" max="2795" width="15.83203125" style="505" customWidth="1"/>
    <col min="2796" max="2796" width="14.83203125" style="505" customWidth="1"/>
    <col min="2797" max="2797" width="14.5" style="505" customWidth="1"/>
    <col min="2798" max="2798" width="15.83203125" style="505" customWidth="1"/>
    <col min="2799" max="2799" width="12" style="505" bestFit="1" customWidth="1"/>
    <col min="2800" max="2800" width="18.6640625" style="505" customWidth="1"/>
    <col min="2801" max="2801" width="15.1640625" style="505" customWidth="1"/>
    <col min="2802" max="2802" width="15.6640625" style="505" bestFit="1" customWidth="1"/>
    <col min="2803" max="2803" width="16.33203125" style="505" customWidth="1"/>
    <col min="2804" max="2804" width="13.83203125" style="505" customWidth="1"/>
    <col min="2805" max="2805" width="18.6640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3203125" style="505" customWidth="1"/>
    <col min="2810" max="2810" width="10.83203125" style="505" customWidth="1"/>
    <col min="2811" max="2811" width="10" style="505" customWidth="1"/>
    <col min="2812" max="2812" width="17.33203125" style="505" customWidth="1"/>
    <col min="2813" max="2813" width="10.83203125" style="505" customWidth="1"/>
    <col min="2814" max="2814" width="10" style="505" customWidth="1"/>
    <col min="2815" max="2815" width="16.1640625" style="505" customWidth="1"/>
    <col min="2816" max="2816" width="10.83203125" style="505" customWidth="1"/>
    <col min="2817" max="2817" width="12" style="505" customWidth="1"/>
    <col min="2818" max="2818" width="18.83203125" style="505" customWidth="1"/>
    <col min="2819" max="2819" width="10.83203125" style="505" customWidth="1"/>
    <col min="2820" max="2820" width="16.1640625" style="505" bestFit="1" customWidth="1"/>
    <col min="2821" max="2821" width="12.33203125" style="505" bestFit="1" customWidth="1"/>
    <col min="2822" max="2822" width="10.83203125" style="505" customWidth="1"/>
    <col min="2823" max="2823" width="10" style="505" customWidth="1"/>
    <col min="2824" max="2824" width="17.5" style="505" customWidth="1"/>
    <col min="2825" max="2825" width="10.83203125" style="505" customWidth="1"/>
    <col min="2826" max="2826" width="16" style="505" customWidth="1"/>
    <col min="2827" max="2827" width="12.33203125" style="505" bestFit="1" customWidth="1"/>
    <col min="2828" max="3044" width="11" style="505"/>
    <col min="3045" max="3045" width="32.6640625" style="505" customWidth="1"/>
    <col min="3046" max="3046" width="14.5" style="505" customWidth="1"/>
    <col min="3047" max="3047" width="15.6640625" style="505" bestFit="1" customWidth="1"/>
    <col min="3048" max="3048" width="15.5" style="505" customWidth="1"/>
    <col min="3049" max="3049" width="15.6640625" style="505" customWidth="1"/>
    <col min="3050" max="3050" width="15.6640625" style="505" bestFit="1" customWidth="1"/>
    <col min="3051" max="3051" width="15.83203125" style="505" customWidth="1"/>
    <col min="3052" max="3052" width="14.83203125" style="505" customWidth="1"/>
    <col min="3053" max="3053" width="14.5" style="505" customWidth="1"/>
    <col min="3054" max="3054" width="15.83203125" style="505" customWidth="1"/>
    <col min="3055" max="3055" width="12" style="505" bestFit="1" customWidth="1"/>
    <col min="3056" max="3056" width="18.6640625" style="505" customWidth="1"/>
    <col min="3057" max="3057" width="15.1640625" style="505" customWidth="1"/>
    <col min="3058" max="3058" width="15.6640625" style="505" bestFit="1" customWidth="1"/>
    <col min="3059" max="3059" width="16.33203125" style="505" customWidth="1"/>
    <col min="3060" max="3060" width="13.83203125" style="505" customWidth="1"/>
    <col min="3061" max="3061" width="18.6640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3203125" style="505" customWidth="1"/>
    <col min="3066" max="3066" width="10.83203125" style="505" customWidth="1"/>
    <col min="3067" max="3067" width="10" style="505" customWidth="1"/>
    <col min="3068" max="3068" width="17.33203125" style="505" customWidth="1"/>
    <col min="3069" max="3069" width="10.83203125" style="505" customWidth="1"/>
    <col min="3070" max="3070" width="10" style="505" customWidth="1"/>
    <col min="3071" max="3071" width="16.1640625" style="505" customWidth="1"/>
    <col min="3072" max="3072" width="10.83203125" style="505" customWidth="1"/>
    <col min="3073" max="3073" width="12" style="505" customWidth="1"/>
    <col min="3074" max="3074" width="18.83203125" style="505" customWidth="1"/>
    <col min="3075" max="3075" width="10.83203125" style="505" customWidth="1"/>
    <col min="3076" max="3076" width="16.1640625" style="505" bestFit="1" customWidth="1"/>
    <col min="3077" max="3077" width="12.33203125" style="505" bestFit="1" customWidth="1"/>
    <col min="3078" max="3078" width="10.83203125" style="505" customWidth="1"/>
    <col min="3079" max="3079" width="10" style="505" customWidth="1"/>
    <col min="3080" max="3080" width="17.5" style="505" customWidth="1"/>
    <col min="3081" max="3081" width="10.83203125" style="505" customWidth="1"/>
    <col min="3082" max="3082" width="16" style="505" customWidth="1"/>
    <col min="3083" max="3083" width="12.33203125" style="505" bestFit="1" customWidth="1"/>
    <col min="3084" max="3300" width="11" style="505"/>
    <col min="3301" max="3301" width="32.6640625" style="505" customWidth="1"/>
    <col min="3302" max="3302" width="14.5" style="505" customWidth="1"/>
    <col min="3303" max="3303" width="15.6640625" style="505" bestFit="1" customWidth="1"/>
    <col min="3304" max="3304" width="15.5" style="505" customWidth="1"/>
    <col min="3305" max="3305" width="15.6640625" style="505" customWidth="1"/>
    <col min="3306" max="3306" width="15.6640625" style="505" bestFit="1" customWidth="1"/>
    <col min="3307" max="3307" width="15.83203125" style="505" customWidth="1"/>
    <col min="3308" max="3308" width="14.83203125" style="505" customWidth="1"/>
    <col min="3309" max="3309" width="14.5" style="505" customWidth="1"/>
    <col min="3310" max="3310" width="15.83203125" style="505" customWidth="1"/>
    <col min="3311" max="3311" width="12" style="505" bestFit="1" customWidth="1"/>
    <col min="3312" max="3312" width="18.6640625" style="505" customWidth="1"/>
    <col min="3313" max="3313" width="15.1640625" style="505" customWidth="1"/>
    <col min="3314" max="3314" width="15.6640625" style="505" bestFit="1" customWidth="1"/>
    <col min="3315" max="3315" width="16.33203125" style="505" customWidth="1"/>
    <col min="3316" max="3316" width="13.83203125" style="505" customWidth="1"/>
    <col min="3317" max="3317" width="18.6640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3203125" style="505" customWidth="1"/>
    <col min="3322" max="3322" width="10.83203125" style="505" customWidth="1"/>
    <col min="3323" max="3323" width="10" style="505" customWidth="1"/>
    <col min="3324" max="3324" width="17.33203125" style="505" customWidth="1"/>
    <col min="3325" max="3325" width="10.83203125" style="505" customWidth="1"/>
    <col min="3326" max="3326" width="10" style="505" customWidth="1"/>
    <col min="3327" max="3327" width="16.1640625" style="505" customWidth="1"/>
    <col min="3328" max="3328" width="10.83203125" style="505" customWidth="1"/>
    <col min="3329" max="3329" width="12" style="505" customWidth="1"/>
    <col min="3330" max="3330" width="18.83203125" style="505" customWidth="1"/>
    <col min="3331" max="3331" width="10.83203125" style="505" customWidth="1"/>
    <col min="3332" max="3332" width="16.1640625" style="505" bestFit="1" customWidth="1"/>
    <col min="3333" max="3333" width="12.33203125" style="505" bestFit="1" customWidth="1"/>
    <col min="3334" max="3334" width="10.83203125" style="505" customWidth="1"/>
    <col min="3335" max="3335" width="10" style="505" customWidth="1"/>
    <col min="3336" max="3336" width="17.5" style="505" customWidth="1"/>
    <col min="3337" max="3337" width="10.83203125" style="505" customWidth="1"/>
    <col min="3338" max="3338" width="16" style="505" customWidth="1"/>
    <col min="3339" max="3339" width="12.33203125" style="505" bestFit="1" customWidth="1"/>
    <col min="3340" max="3556" width="11" style="505"/>
    <col min="3557" max="3557" width="32.6640625" style="505" customWidth="1"/>
    <col min="3558" max="3558" width="14.5" style="505" customWidth="1"/>
    <col min="3559" max="3559" width="15.6640625" style="505" bestFit="1" customWidth="1"/>
    <col min="3560" max="3560" width="15.5" style="505" customWidth="1"/>
    <col min="3561" max="3561" width="15.6640625" style="505" customWidth="1"/>
    <col min="3562" max="3562" width="15.6640625" style="505" bestFit="1" customWidth="1"/>
    <col min="3563" max="3563" width="15.83203125" style="505" customWidth="1"/>
    <col min="3564" max="3564" width="14.83203125" style="505" customWidth="1"/>
    <col min="3565" max="3565" width="14.5" style="505" customWidth="1"/>
    <col min="3566" max="3566" width="15.83203125" style="505" customWidth="1"/>
    <col min="3567" max="3567" width="12" style="505" bestFit="1" customWidth="1"/>
    <col min="3568" max="3568" width="18.6640625" style="505" customWidth="1"/>
    <col min="3569" max="3569" width="15.1640625" style="505" customWidth="1"/>
    <col min="3570" max="3570" width="15.6640625" style="505" bestFit="1" customWidth="1"/>
    <col min="3571" max="3571" width="16.33203125" style="505" customWidth="1"/>
    <col min="3572" max="3572" width="13.83203125" style="505" customWidth="1"/>
    <col min="3573" max="3573" width="18.6640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3203125" style="505" customWidth="1"/>
    <col min="3578" max="3578" width="10.83203125" style="505" customWidth="1"/>
    <col min="3579" max="3579" width="10" style="505" customWidth="1"/>
    <col min="3580" max="3580" width="17.33203125" style="505" customWidth="1"/>
    <col min="3581" max="3581" width="10.83203125" style="505" customWidth="1"/>
    <col min="3582" max="3582" width="10" style="505" customWidth="1"/>
    <col min="3583" max="3583" width="16.1640625" style="505" customWidth="1"/>
    <col min="3584" max="3584" width="10.83203125" style="505" customWidth="1"/>
    <col min="3585" max="3585" width="12" style="505" customWidth="1"/>
    <col min="3586" max="3586" width="18.83203125" style="505" customWidth="1"/>
    <col min="3587" max="3587" width="10.83203125" style="505" customWidth="1"/>
    <col min="3588" max="3588" width="16.1640625" style="505" bestFit="1" customWidth="1"/>
    <col min="3589" max="3589" width="12.33203125" style="505" bestFit="1" customWidth="1"/>
    <col min="3590" max="3590" width="10.83203125" style="505" customWidth="1"/>
    <col min="3591" max="3591" width="10" style="505" customWidth="1"/>
    <col min="3592" max="3592" width="17.5" style="505" customWidth="1"/>
    <col min="3593" max="3593" width="10.83203125" style="505" customWidth="1"/>
    <col min="3594" max="3594" width="16" style="505" customWidth="1"/>
    <col min="3595" max="3595" width="12.33203125" style="505" bestFit="1" customWidth="1"/>
    <col min="3596" max="3812" width="11" style="505"/>
    <col min="3813" max="3813" width="32.6640625" style="505" customWidth="1"/>
    <col min="3814" max="3814" width="14.5" style="505" customWidth="1"/>
    <col min="3815" max="3815" width="15.6640625" style="505" bestFit="1" customWidth="1"/>
    <col min="3816" max="3816" width="15.5" style="505" customWidth="1"/>
    <col min="3817" max="3817" width="15.6640625" style="505" customWidth="1"/>
    <col min="3818" max="3818" width="15.6640625" style="505" bestFit="1" customWidth="1"/>
    <col min="3819" max="3819" width="15.83203125" style="505" customWidth="1"/>
    <col min="3820" max="3820" width="14.83203125" style="505" customWidth="1"/>
    <col min="3821" max="3821" width="14.5" style="505" customWidth="1"/>
    <col min="3822" max="3822" width="15.83203125" style="505" customWidth="1"/>
    <col min="3823" max="3823" width="12" style="505" bestFit="1" customWidth="1"/>
    <col min="3824" max="3824" width="18.6640625" style="505" customWidth="1"/>
    <col min="3825" max="3825" width="15.1640625" style="505" customWidth="1"/>
    <col min="3826" max="3826" width="15.6640625" style="505" bestFit="1" customWidth="1"/>
    <col min="3827" max="3827" width="16.33203125" style="505" customWidth="1"/>
    <col min="3828" max="3828" width="13.83203125" style="505" customWidth="1"/>
    <col min="3829" max="3829" width="18.6640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3203125" style="505" customWidth="1"/>
    <col min="3834" max="3834" width="10.83203125" style="505" customWidth="1"/>
    <col min="3835" max="3835" width="10" style="505" customWidth="1"/>
    <col min="3836" max="3836" width="17.33203125" style="505" customWidth="1"/>
    <col min="3837" max="3837" width="10.83203125" style="505" customWidth="1"/>
    <col min="3838" max="3838" width="10" style="505" customWidth="1"/>
    <col min="3839" max="3839" width="16.1640625" style="505" customWidth="1"/>
    <col min="3840" max="3840" width="10.83203125" style="505" customWidth="1"/>
    <col min="3841" max="3841" width="12" style="505" customWidth="1"/>
    <col min="3842" max="3842" width="18.83203125" style="505" customWidth="1"/>
    <col min="3843" max="3843" width="10.83203125" style="505" customWidth="1"/>
    <col min="3844" max="3844" width="16.1640625" style="505" bestFit="1" customWidth="1"/>
    <col min="3845" max="3845" width="12.33203125" style="505" bestFit="1" customWidth="1"/>
    <col min="3846" max="3846" width="10.83203125" style="505" customWidth="1"/>
    <col min="3847" max="3847" width="10" style="505" customWidth="1"/>
    <col min="3848" max="3848" width="17.5" style="505" customWidth="1"/>
    <col min="3849" max="3849" width="10.83203125" style="505" customWidth="1"/>
    <col min="3850" max="3850" width="16" style="505" customWidth="1"/>
    <col min="3851" max="3851" width="12.33203125" style="505" bestFit="1" customWidth="1"/>
    <col min="3852" max="4068" width="11" style="505"/>
    <col min="4069" max="4069" width="32.6640625" style="505" customWidth="1"/>
    <col min="4070" max="4070" width="14.5" style="505" customWidth="1"/>
    <col min="4071" max="4071" width="15.6640625" style="505" bestFit="1" customWidth="1"/>
    <col min="4072" max="4072" width="15.5" style="505" customWidth="1"/>
    <col min="4073" max="4073" width="15.6640625" style="505" customWidth="1"/>
    <col min="4074" max="4074" width="15.6640625" style="505" bestFit="1" customWidth="1"/>
    <col min="4075" max="4075" width="15.83203125" style="505" customWidth="1"/>
    <col min="4076" max="4076" width="14.83203125" style="505" customWidth="1"/>
    <col min="4077" max="4077" width="14.5" style="505" customWidth="1"/>
    <col min="4078" max="4078" width="15.83203125" style="505" customWidth="1"/>
    <col min="4079" max="4079" width="12" style="505" bestFit="1" customWidth="1"/>
    <col min="4080" max="4080" width="18.6640625" style="505" customWidth="1"/>
    <col min="4081" max="4081" width="15.1640625" style="505" customWidth="1"/>
    <col min="4082" max="4082" width="15.6640625" style="505" bestFit="1" customWidth="1"/>
    <col min="4083" max="4083" width="16.33203125" style="505" customWidth="1"/>
    <col min="4084" max="4084" width="13.83203125" style="505" customWidth="1"/>
    <col min="4085" max="4085" width="18.6640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3203125" style="505" customWidth="1"/>
    <col min="4090" max="4090" width="10.83203125" style="505" customWidth="1"/>
    <col min="4091" max="4091" width="10" style="505" customWidth="1"/>
    <col min="4092" max="4092" width="17.33203125" style="505" customWidth="1"/>
    <col min="4093" max="4093" width="10.83203125" style="505" customWidth="1"/>
    <col min="4094" max="4094" width="10" style="505" customWidth="1"/>
    <col min="4095" max="4095" width="16.1640625" style="505" customWidth="1"/>
    <col min="4096" max="4096" width="10.83203125" style="505" customWidth="1"/>
    <col min="4097" max="4097" width="12" style="505" customWidth="1"/>
    <col min="4098" max="4098" width="18.83203125" style="505" customWidth="1"/>
    <col min="4099" max="4099" width="10.83203125" style="505" customWidth="1"/>
    <col min="4100" max="4100" width="16.1640625" style="505" bestFit="1" customWidth="1"/>
    <col min="4101" max="4101" width="12.33203125" style="505" bestFit="1" customWidth="1"/>
    <col min="4102" max="4102" width="10.83203125" style="505" customWidth="1"/>
    <col min="4103" max="4103" width="10" style="505" customWidth="1"/>
    <col min="4104" max="4104" width="17.5" style="505" customWidth="1"/>
    <col min="4105" max="4105" width="10.83203125" style="505" customWidth="1"/>
    <col min="4106" max="4106" width="16" style="505" customWidth="1"/>
    <col min="4107" max="4107" width="12.33203125" style="505" bestFit="1" customWidth="1"/>
    <col min="4108" max="4324" width="11" style="505"/>
    <col min="4325" max="4325" width="32.6640625" style="505" customWidth="1"/>
    <col min="4326" max="4326" width="14.5" style="505" customWidth="1"/>
    <col min="4327" max="4327" width="15.6640625" style="505" bestFit="1" customWidth="1"/>
    <col min="4328" max="4328" width="15.5" style="505" customWidth="1"/>
    <col min="4329" max="4329" width="15.6640625" style="505" customWidth="1"/>
    <col min="4330" max="4330" width="15.6640625" style="505" bestFit="1" customWidth="1"/>
    <col min="4331" max="4331" width="15.83203125" style="505" customWidth="1"/>
    <col min="4332" max="4332" width="14.83203125" style="505" customWidth="1"/>
    <col min="4333" max="4333" width="14.5" style="505" customWidth="1"/>
    <col min="4334" max="4334" width="15.83203125" style="505" customWidth="1"/>
    <col min="4335" max="4335" width="12" style="505" bestFit="1" customWidth="1"/>
    <col min="4336" max="4336" width="18.6640625" style="505" customWidth="1"/>
    <col min="4337" max="4337" width="15.1640625" style="505" customWidth="1"/>
    <col min="4338" max="4338" width="15.6640625" style="505" bestFit="1" customWidth="1"/>
    <col min="4339" max="4339" width="16.33203125" style="505" customWidth="1"/>
    <col min="4340" max="4340" width="13.83203125" style="505" customWidth="1"/>
    <col min="4341" max="4341" width="18.6640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3203125" style="505" customWidth="1"/>
    <col min="4346" max="4346" width="10.83203125" style="505" customWidth="1"/>
    <col min="4347" max="4347" width="10" style="505" customWidth="1"/>
    <col min="4348" max="4348" width="17.33203125" style="505" customWidth="1"/>
    <col min="4349" max="4349" width="10.83203125" style="505" customWidth="1"/>
    <col min="4350" max="4350" width="10" style="505" customWidth="1"/>
    <col min="4351" max="4351" width="16.1640625" style="505" customWidth="1"/>
    <col min="4352" max="4352" width="10.83203125" style="505" customWidth="1"/>
    <col min="4353" max="4353" width="12" style="505" customWidth="1"/>
    <col min="4354" max="4354" width="18.83203125" style="505" customWidth="1"/>
    <col min="4355" max="4355" width="10.83203125" style="505" customWidth="1"/>
    <col min="4356" max="4356" width="16.1640625" style="505" bestFit="1" customWidth="1"/>
    <col min="4357" max="4357" width="12.33203125" style="505" bestFit="1" customWidth="1"/>
    <col min="4358" max="4358" width="10.83203125" style="505" customWidth="1"/>
    <col min="4359" max="4359" width="10" style="505" customWidth="1"/>
    <col min="4360" max="4360" width="17.5" style="505" customWidth="1"/>
    <col min="4361" max="4361" width="10.83203125" style="505" customWidth="1"/>
    <col min="4362" max="4362" width="16" style="505" customWidth="1"/>
    <col min="4363" max="4363" width="12.33203125" style="505" bestFit="1" customWidth="1"/>
    <col min="4364" max="4580" width="11" style="505"/>
    <col min="4581" max="4581" width="32.6640625" style="505" customWidth="1"/>
    <col min="4582" max="4582" width="14.5" style="505" customWidth="1"/>
    <col min="4583" max="4583" width="15.6640625" style="505" bestFit="1" customWidth="1"/>
    <col min="4584" max="4584" width="15.5" style="505" customWidth="1"/>
    <col min="4585" max="4585" width="15.6640625" style="505" customWidth="1"/>
    <col min="4586" max="4586" width="15.6640625" style="505" bestFit="1" customWidth="1"/>
    <col min="4587" max="4587" width="15.83203125" style="505" customWidth="1"/>
    <col min="4588" max="4588" width="14.83203125" style="505" customWidth="1"/>
    <col min="4589" max="4589" width="14.5" style="505" customWidth="1"/>
    <col min="4590" max="4590" width="15.83203125" style="505" customWidth="1"/>
    <col min="4591" max="4591" width="12" style="505" bestFit="1" customWidth="1"/>
    <col min="4592" max="4592" width="18.6640625" style="505" customWidth="1"/>
    <col min="4593" max="4593" width="15.1640625" style="505" customWidth="1"/>
    <col min="4594" max="4594" width="15.6640625" style="505" bestFit="1" customWidth="1"/>
    <col min="4595" max="4595" width="16.33203125" style="505" customWidth="1"/>
    <col min="4596" max="4596" width="13.83203125" style="505" customWidth="1"/>
    <col min="4597" max="4597" width="18.6640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3203125" style="505" customWidth="1"/>
    <col min="4602" max="4602" width="10.83203125" style="505" customWidth="1"/>
    <col min="4603" max="4603" width="10" style="505" customWidth="1"/>
    <col min="4604" max="4604" width="17.33203125" style="505" customWidth="1"/>
    <col min="4605" max="4605" width="10.83203125" style="505" customWidth="1"/>
    <col min="4606" max="4606" width="10" style="505" customWidth="1"/>
    <col min="4607" max="4607" width="16.1640625" style="505" customWidth="1"/>
    <col min="4608" max="4608" width="10.83203125" style="505" customWidth="1"/>
    <col min="4609" max="4609" width="12" style="505" customWidth="1"/>
    <col min="4610" max="4610" width="18.83203125" style="505" customWidth="1"/>
    <col min="4611" max="4611" width="10.83203125" style="505" customWidth="1"/>
    <col min="4612" max="4612" width="16.1640625" style="505" bestFit="1" customWidth="1"/>
    <col min="4613" max="4613" width="12.33203125" style="505" bestFit="1" customWidth="1"/>
    <col min="4614" max="4614" width="10.83203125" style="505" customWidth="1"/>
    <col min="4615" max="4615" width="10" style="505" customWidth="1"/>
    <col min="4616" max="4616" width="17.5" style="505" customWidth="1"/>
    <col min="4617" max="4617" width="10.83203125" style="505" customWidth="1"/>
    <col min="4618" max="4618" width="16" style="505" customWidth="1"/>
    <col min="4619" max="4619" width="12.33203125" style="505" bestFit="1" customWidth="1"/>
    <col min="4620" max="4836" width="11" style="505"/>
    <col min="4837" max="4837" width="32.6640625" style="505" customWidth="1"/>
    <col min="4838" max="4838" width="14.5" style="505" customWidth="1"/>
    <col min="4839" max="4839" width="15.6640625" style="505" bestFit="1" customWidth="1"/>
    <col min="4840" max="4840" width="15.5" style="505" customWidth="1"/>
    <col min="4841" max="4841" width="15.6640625" style="505" customWidth="1"/>
    <col min="4842" max="4842" width="15.6640625" style="505" bestFit="1" customWidth="1"/>
    <col min="4843" max="4843" width="15.83203125" style="505" customWidth="1"/>
    <col min="4844" max="4844" width="14.83203125" style="505" customWidth="1"/>
    <col min="4845" max="4845" width="14.5" style="505" customWidth="1"/>
    <col min="4846" max="4846" width="15.83203125" style="505" customWidth="1"/>
    <col min="4847" max="4847" width="12" style="505" bestFit="1" customWidth="1"/>
    <col min="4848" max="4848" width="18.6640625" style="505" customWidth="1"/>
    <col min="4849" max="4849" width="15.1640625" style="505" customWidth="1"/>
    <col min="4850" max="4850" width="15.6640625" style="505" bestFit="1" customWidth="1"/>
    <col min="4851" max="4851" width="16.33203125" style="505" customWidth="1"/>
    <col min="4852" max="4852" width="13.83203125" style="505" customWidth="1"/>
    <col min="4853" max="4853" width="18.6640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3203125" style="505" customWidth="1"/>
    <col min="4858" max="4858" width="10.83203125" style="505" customWidth="1"/>
    <col min="4859" max="4859" width="10" style="505" customWidth="1"/>
    <col min="4860" max="4860" width="17.33203125" style="505" customWidth="1"/>
    <col min="4861" max="4861" width="10.83203125" style="505" customWidth="1"/>
    <col min="4862" max="4862" width="10" style="505" customWidth="1"/>
    <col min="4863" max="4863" width="16.1640625" style="505" customWidth="1"/>
    <col min="4864" max="4864" width="10.83203125" style="505" customWidth="1"/>
    <col min="4865" max="4865" width="12" style="505" customWidth="1"/>
    <col min="4866" max="4866" width="18.83203125" style="505" customWidth="1"/>
    <col min="4867" max="4867" width="10.83203125" style="505" customWidth="1"/>
    <col min="4868" max="4868" width="16.1640625" style="505" bestFit="1" customWidth="1"/>
    <col min="4869" max="4869" width="12.33203125" style="505" bestFit="1" customWidth="1"/>
    <col min="4870" max="4870" width="10.83203125" style="505" customWidth="1"/>
    <col min="4871" max="4871" width="10" style="505" customWidth="1"/>
    <col min="4872" max="4872" width="17.5" style="505" customWidth="1"/>
    <col min="4873" max="4873" width="10.83203125" style="505" customWidth="1"/>
    <col min="4874" max="4874" width="16" style="505" customWidth="1"/>
    <col min="4875" max="4875" width="12.33203125" style="505" bestFit="1" customWidth="1"/>
    <col min="4876" max="5092" width="11" style="505"/>
    <col min="5093" max="5093" width="32.6640625" style="505" customWidth="1"/>
    <col min="5094" max="5094" width="14.5" style="505" customWidth="1"/>
    <col min="5095" max="5095" width="15.6640625" style="505" bestFit="1" customWidth="1"/>
    <col min="5096" max="5096" width="15.5" style="505" customWidth="1"/>
    <col min="5097" max="5097" width="15.6640625" style="505" customWidth="1"/>
    <col min="5098" max="5098" width="15.6640625" style="505" bestFit="1" customWidth="1"/>
    <col min="5099" max="5099" width="15.83203125" style="505" customWidth="1"/>
    <col min="5100" max="5100" width="14.83203125" style="505" customWidth="1"/>
    <col min="5101" max="5101" width="14.5" style="505" customWidth="1"/>
    <col min="5102" max="5102" width="15.83203125" style="505" customWidth="1"/>
    <col min="5103" max="5103" width="12" style="505" bestFit="1" customWidth="1"/>
    <col min="5104" max="5104" width="18.6640625" style="505" customWidth="1"/>
    <col min="5105" max="5105" width="15.1640625" style="505" customWidth="1"/>
    <col min="5106" max="5106" width="15.6640625" style="505" bestFit="1" customWidth="1"/>
    <col min="5107" max="5107" width="16.33203125" style="505" customWidth="1"/>
    <col min="5108" max="5108" width="13.83203125" style="505" customWidth="1"/>
    <col min="5109" max="5109" width="18.6640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3203125" style="505" customWidth="1"/>
    <col min="5114" max="5114" width="10.83203125" style="505" customWidth="1"/>
    <col min="5115" max="5115" width="10" style="505" customWidth="1"/>
    <col min="5116" max="5116" width="17.33203125" style="505" customWidth="1"/>
    <col min="5117" max="5117" width="10.83203125" style="505" customWidth="1"/>
    <col min="5118" max="5118" width="10" style="505" customWidth="1"/>
    <col min="5119" max="5119" width="16.1640625" style="505" customWidth="1"/>
    <col min="5120" max="5120" width="10.83203125" style="505" customWidth="1"/>
    <col min="5121" max="5121" width="12" style="505" customWidth="1"/>
    <col min="5122" max="5122" width="18.83203125" style="505" customWidth="1"/>
    <col min="5123" max="5123" width="10.83203125" style="505" customWidth="1"/>
    <col min="5124" max="5124" width="16.1640625" style="505" bestFit="1" customWidth="1"/>
    <col min="5125" max="5125" width="12.33203125" style="505" bestFit="1" customWidth="1"/>
    <col min="5126" max="5126" width="10.83203125" style="505" customWidth="1"/>
    <col min="5127" max="5127" width="10" style="505" customWidth="1"/>
    <col min="5128" max="5128" width="17.5" style="505" customWidth="1"/>
    <col min="5129" max="5129" width="10.83203125" style="505" customWidth="1"/>
    <col min="5130" max="5130" width="16" style="505" customWidth="1"/>
    <col min="5131" max="5131" width="12.33203125" style="505" bestFit="1" customWidth="1"/>
    <col min="5132" max="5348" width="11" style="505"/>
    <col min="5349" max="5349" width="32.6640625" style="505" customWidth="1"/>
    <col min="5350" max="5350" width="14.5" style="505" customWidth="1"/>
    <col min="5351" max="5351" width="15.6640625" style="505" bestFit="1" customWidth="1"/>
    <col min="5352" max="5352" width="15.5" style="505" customWidth="1"/>
    <col min="5353" max="5353" width="15.6640625" style="505" customWidth="1"/>
    <col min="5354" max="5354" width="15.6640625" style="505" bestFit="1" customWidth="1"/>
    <col min="5355" max="5355" width="15.83203125" style="505" customWidth="1"/>
    <col min="5356" max="5356" width="14.83203125" style="505" customWidth="1"/>
    <col min="5357" max="5357" width="14.5" style="505" customWidth="1"/>
    <col min="5358" max="5358" width="15.83203125" style="505" customWidth="1"/>
    <col min="5359" max="5359" width="12" style="505" bestFit="1" customWidth="1"/>
    <col min="5360" max="5360" width="18.6640625" style="505" customWidth="1"/>
    <col min="5361" max="5361" width="15.1640625" style="505" customWidth="1"/>
    <col min="5362" max="5362" width="15.6640625" style="505" bestFit="1" customWidth="1"/>
    <col min="5363" max="5363" width="16.33203125" style="505" customWidth="1"/>
    <col min="5364" max="5364" width="13.83203125" style="505" customWidth="1"/>
    <col min="5365" max="5365" width="18.6640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3203125" style="505" customWidth="1"/>
    <col min="5370" max="5370" width="10.83203125" style="505" customWidth="1"/>
    <col min="5371" max="5371" width="10" style="505" customWidth="1"/>
    <col min="5372" max="5372" width="17.33203125" style="505" customWidth="1"/>
    <col min="5373" max="5373" width="10.83203125" style="505" customWidth="1"/>
    <col min="5374" max="5374" width="10" style="505" customWidth="1"/>
    <col min="5375" max="5375" width="16.1640625" style="505" customWidth="1"/>
    <col min="5376" max="5376" width="10.83203125" style="505" customWidth="1"/>
    <col min="5377" max="5377" width="12" style="505" customWidth="1"/>
    <col min="5378" max="5378" width="18.83203125" style="505" customWidth="1"/>
    <col min="5379" max="5379" width="10.83203125" style="505" customWidth="1"/>
    <col min="5380" max="5380" width="16.1640625" style="505" bestFit="1" customWidth="1"/>
    <col min="5381" max="5381" width="12.33203125" style="505" bestFit="1" customWidth="1"/>
    <col min="5382" max="5382" width="10.83203125" style="505" customWidth="1"/>
    <col min="5383" max="5383" width="10" style="505" customWidth="1"/>
    <col min="5384" max="5384" width="17.5" style="505" customWidth="1"/>
    <col min="5385" max="5385" width="10.83203125" style="505" customWidth="1"/>
    <col min="5386" max="5386" width="16" style="505" customWidth="1"/>
    <col min="5387" max="5387" width="12.33203125" style="505" bestFit="1" customWidth="1"/>
    <col min="5388" max="5604" width="11" style="505"/>
    <col min="5605" max="5605" width="32.6640625" style="505" customWidth="1"/>
    <col min="5606" max="5606" width="14.5" style="505" customWidth="1"/>
    <col min="5607" max="5607" width="15.6640625" style="505" bestFit="1" customWidth="1"/>
    <col min="5608" max="5608" width="15.5" style="505" customWidth="1"/>
    <col min="5609" max="5609" width="15.6640625" style="505" customWidth="1"/>
    <col min="5610" max="5610" width="15.6640625" style="505" bestFit="1" customWidth="1"/>
    <col min="5611" max="5611" width="15.83203125" style="505" customWidth="1"/>
    <col min="5612" max="5612" width="14.83203125" style="505" customWidth="1"/>
    <col min="5613" max="5613" width="14.5" style="505" customWidth="1"/>
    <col min="5614" max="5614" width="15.83203125" style="505" customWidth="1"/>
    <col min="5615" max="5615" width="12" style="505" bestFit="1" customWidth="1"/>
    <col min="5616" max="5616" width="18.6640625" style="505" customWidth="1"/>
    <col min="5617" max="5617" width="15.1640625" style="505" customWidth="1"/>
    <col min="5618" max="5618" width="15.6640625" style="505" bestFit="1" customWidth="1"/>
    <col min="5619" max="5619" width="16.33203125" style="505" customWidth="1"/>
    <col min="5620" max="5620" width="13.83203125" style="505" customWidth="1"/>
    <col min="5621" max="5621" width="18.6640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3203125" style="505" customWidth="1"/>
    <col min="5626" max="5626" width="10.83203125" style="505" customWidth="1"/>
    <col min="5627" max="5627" width="10" style="505" customWidth="1"/>
    <col min="5628" max="5628" width="17.33203125" style="505" customWidth="1"/>
    <col min="5629" max="5629" width="10.83203125" style="505" customWidth="1"/>
    <col min="5630" max="5630" width="10" style="505" customWidth="1"/>
    <col min="5631" max="5631" width="16.1640625" style="505" customWidth="1"/>
    <col min="5632" max="5632" width="10.83203125" style="505" customWidth="1"/>
    <col min="5633" max="5633" width="12" style="505" customWidth="1"/>
    <col min="5634" max="5634" width="18.83203125" style="505" customWidth="1"/>
    <col min="5635" max="5635" width="10.83203125" style="505" customWidth="1"/>
    <col min="5636" max="5636" width="16.1640625" style="505" bestFit="1" customWidth="1"/>
    <col min="5637" max="5637" width="12.33203125" style="505" bestFit="1" customWidth="1"/>
    <col min="5638" max="5638" width="10.83203125" style="505" customWidth="1"/>
    <col min="5639" max="5639" width="10" style="505" customWidth="1"/>
    <col min="5640" max="5640" width="17.5" style="505" customWidth="1"/>
    <col min="5641" max="5641" width="10.83203125" style="505" customWidth="1"/>
    <col min="5642" max="5642" width="16" style="505" customWidth="1"/>
    <col min="5643" max="5643" width="12.33203125" style="505" bestFit="1" customWidth="1"/>
    <col min="5644" max="5860" width="11" style="505"/>
    <col min="5861" max="5861" width="32.6640625" style="505" customWidth="1"/>
    <col min="5862" max="5862" width="14.5" style="505" customWidth="1"/>
    <col min="5863" max="5863" width="15.6640625" style="505" bestFit="1" customWidth="1"/>
    <col min="5864" max="5864" width="15.5" style="505" customWidth="1"/>
    <col min="5865" max="5865" width="15.6640625" style="505" customWidth="1"/>
    <col min="5866" max="5866" width="15.6640625" style="505" bestFit="1" customWidth="1"/>
    <col min="5867" max="5867" width="15.83203125" style="505" customWidth="1"/>
    <col min="5868" max="5868" width="14.83203125" style="505" customWidth="1"/>
    <col min="5869" max="5869" width="14.5" style="505" customWidth="1"/>
    <col min="5870" max="5870" width="15.83203125" style="505" customWidth="1"/>
    <col min="5871" max="5871" width="12" style="505" bestFit="1" customWidth="1"/>
    <col min="5872" max="5872" width="18.6640625" style="505" customWidth="1"/>
    <col min="5873" max="5873" width="15.1640625" style="505" customWidth="1"/>
    <col min="5874" max="5874" width="15.6640625" style="505" bestFit="1" customWidth="1"/>
    <col min="5875" max="5875" width="16.33203125" style="505" customWidth="1"/>
    <col min="5876" max="5876" width="13.83203125" style="505" customWidth="1"/>
    <col min="5877" max="5877" width="18.6640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3203125" style="505" customWidth="1"/>
    <col min="5882" max="5882" width="10.83203125" style="505" customWidth="1"/>
    <col min="5883" max="5883" width="10" style="505" customWidth="1"/>
    <col min="5884" max="5884" width="17.33203125" style="505" customWidth="1"/>
    <col min="5885" max="5885" width="10.83203125" style="505" customWidth="1"/>
    <col min="5886" max="5886" width="10" style="505" customWidth="1"/>
    <col min="5887" max="5887" width="16.1640625" style="505" customWidth="1"/>
    <col min="5888" max="5888" width="10.83203125" style="505" customWidth="1"/>
    <col min="5889" max="5889" width="12" style="505" customWidth="1"/>
    <col min="5890" max="5890" width="18.83203125" style="505" customWidth="1"/>
    <col min="5891" max="5891" width="10.83203125" style="505" customWidth="1"/>
    <col min="5892" max="5892" width="16.1640625" style="505" bestFit="1" customWidth="1"/>
    <col min="5893" max="5893" width="12.33203125" style="505" bestFit="1" customWidth="1"/>
    <col min="5894" max="5894" width="10.83203125" style="505" customWidth="1"/>
    <col min="5895" max="5895" width="10" style="505" customWidth="1"/>
    <col min="5896" max="5896" width="17.5" style="505" customWidth="1"/>
    <col min="5897" max="5897" width="10.83203125" style="505" customWidth="1"/>
    <col min="5898" max="5898" width="16" style="505" customWidth="1"/>
    <col min="5899" max="5899" width="12.33203125" style="505" bestFit="1" customWidth="1"/>
    <col min="5900" max="6116" width="11" style="505"/>
    <col min="6117" max="6117" width="32.6640625" style="505" customWidth="1"/>
    <col min="6118" max="6118" width="14.5" style="505" customWidth="1"/>
    <col min="6119" max="6119" width="15.6640625" style="505" bestFit="1" customWidth="1"/>
    <col min="6120" max="6120" width="15.5" style="505" customWidth="1"/>
    <col min="6121" max="6121" width="15.6640625" style="505" customWidth="1"/>
    <col min="6122" max="6122" width="15.6640625" style="505" bestFit="1" customWidth="1"/>
    <col min="6123" max="6123" width="15.83203125" style="505" customWidth="1"/>
    <col min="6124" max="6124" width="14.83203125" style="505" customWidth="1"/>
    <col min="6125" max="6125" width="14.5" style="505" customWidth="1"/>
    <col min="6126" max="6126" width="15.83203125" style="505" customWidth="1"/>
    <col min="6127" max="6127" width="12" style="505" bestFit="1" customWidth="1"/>
    <col min="6128" max="6128" width="18.6640625" style="505" customWidth="1"/>
    <col min="6129" max="6129" width="15.1640625" style="505" customWidth="1"/>
    <col min="6130" max="6130" width="15.6640625" style="505" bestFit="1" customWidth="1"/>
    <col min="6131" max="6131" width="16.33203125" style="505" customWidth="1"/>
    <col min="6132" max="6132" width="13.83203125" style="505" customWidth="1"/>
    <col min="6133" max="6133" width="18.6640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3203125" style="505" customWidth="1"/>
    <col min="6138" max="6138" width="10.83203125" style="505" customWidth="1"/>
    <col min="6139" max="6139" width="10" style="505" customWidth="1"/>
    <col min="6140" max="6140" width="17.33203125" style="505" customWidth="1"/>
    <col min="6141" max="6141" width="10.83203125" style="505" customWidth="1"/>
    <col min="6142" max="6142" width="10" style="505" customWidth="1"/>
    <col min="6143" max="6143" width="16.1640625" style="505" customWidth="1"/>
    <col min="6144" max="6144" width="10.83203125" style="505" customWidth="1"/>
    <col min="6145" max="6145" width="12" style="505" customWidth="1"/>
    <col min="6146" max="6146" width="18.83203125" style="505" customWidth="1"/>
    <col min="6147" max="6147" width="10.83203125" style="505" customWidth="1"/>
    <col min="6148" max="6148" width="16.1640625" style="505" bestFit="1" customWidth="1"/>
    <col min="6149" max="6149" width="12.33203125" style="505" bestFit="1" customWidth="1"/>
    <col min="6150" max="6150" width="10.83203125" style="505" customWidth="1"/>
    <col min="6151" max="6151" width="10" style="505" customWidth="1"/>
    <col min="6152" max="6152" width="17.5" style="505" customWidth="1"/>
    <col min="6153" max="6153" width="10.83203125" style="505" customWidth="1"/>
    <col min="6154" max="6154" width="16" style="505" customWidth="1"/>
    <col min="6155" max="6155" width="12.33203125" style="505" bestFit="1" customWidth="1"/>
    <col min="6156" max="6372" width="11" style="505"/>
    <col min="6373" max="6373" width="32.6640625" style="505" customWidth="1"/>
    <col min="6374" max="6374" width="14.5" style="505" customWidth="1"/>
    <col min="6375" max="6375" width="15.6640625" style="505" bestFit="1" customWidth="1"/>
    <col min="6376" max="6376" width="15.5" style="505" customWidth="1"/>
    <col min="6377" max="6377" width="15.6640625" style="505" customWidth="1"/>
    <col min="6378" max="6378" width="15.6640625" style="505" bestFit="1" customWidth="1"/>
    <col min="6379" max="6379" width="15.83203125" style="505" customWidth="1"/>
    <col min="6380" max="6380" width="14.83203125" style="505" customWidth="1"/>
    <col min="6381" max="6381" width="14.5" style="505" customWidth="1"/>
    <col min="6382" max="6382" width="15.83203125" style="505" customWidth="1"/>
    <col min="6383" max="6383" width="12" style="505" bestFit="1" customWidth="1"/>
    <col min="6384" max="6384" width="18.6640625" style="505" customWidth="1"/>
    <col min="6385" max="6385" width="15.1640625" style="505" customWidth="1"/>
    <col min="6386" max="6386" width="15.6640625" style="505" bestFit="1" customWidth="1"/>
    <col min="6387" max="6387" width="16.33203125" style="505" customWidth="1"/>
    <col min="6388" max="6388" width="13.83203125" style="505" customWidth="1"/>
    <col min="6389" max="6389" width="18.6640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3203125" style="505" customWidth="1"/>
    <col min="6394" max="6394" width="10.83203125" style="505" customWidth="1"/>
    <col min="6395" max="6395" width="10" style="505" customWidth="1"/>
    <col min="6396" max="6396" width="17.33203125" style="505" customWidth="1"/>
    <col min="6397" max="6397" width="10.83203125" style="505" customWidth="1"/>
    <col min="6398" max="6398" width="10" style="505" customWidth="1"/>
    <col min="6399" max="6399" width="16.1640625" style="505" customWidth="1"/>
    <col min="6400" max="6400" width="10.83203125" style="505" customWidth="1"/>
    <col min="6401" max="6401" width="12" style="505" customWidth="1"/>
    <col min="6402" max="6402" width="18.83203125" style="505" customWidth="1"/>
    <col min="6403" max="6403" width="10.83203125" style="505" customWidth="1"/>
    <col min="6404" max="6404" width="16.1640625" style="505" bestFit="1" customWidth="1"/>
    <col min="6405" max="6405" width="12.33203125" style="505" bestFit="1" customWidth="1"/>
    <col min="6406" max="6406" width="10.83203125" style="505" customWidth="1"/>
    <col min="6407" max="6407" width="10" style="505" customWidth="1"/>
    <col min="6408" max="6408" width="17.5" style="505" customWidth="1"/>
    <col min="6409" max="6409" width="10.83203125" style="505" customWidth="1"/>
    <col min="6410" max="6410" width="16" style="505" customWidth="1"/>
    <col min="6411" max="6411" width="12.33203125" style="505" bestFit="1" customWidth="1"/>
    <col min="6412" max="6628" width="11" style="505"/>
    <col min="6629" max="6629" width="32.6640625" style="505" customWidth="1"/>
    <col min="6630" max="6630" width="14.5" style="505" customWidth="1"/>
    <col min="6631" max="6631" width="15.6640625" style="505" bestFit="1" customWidth="1"/>
    <col min="6632" max="6632" width="15.5" style="505" customWidth="1"/>
    <col min="6633" max="6633" width="15.6640625" style="505" customWidth="1"/>
    <col min="6634" max="6634" width="15.6640625" style="505" bestFit="1" customWidth="1"/>
    <col min="6635" max="6635" width="15.83203125" style="505" customWidth="1"/>
    <col min="6636" max="6636" width="14.83203125" style="505" customWidth="1"/>
    <col min="6637" max="6637" width="14.5" style="505" customWidth="1"/>
    <col min="6638" max="6638" width="15.83203125" style="505" customWidth="1"/>
    <col min="6639" max="6639" width="12" style="505" bestFit="1" customWidth="1"/>
    <col min="6640" max="6640" width="18.6640625" style="505" customWidth="1"/>
    <col min="6641" max="6641" width="15.1640625" style="505" customWidth="1"/>
    <col min="6642" max="6642" width="15.6640625" style="505" bestFit="1" customWidth="1"/>
    <col min="6643" max="6643" width="16.33203125" style="505" customWidth="1"/>
    <col min="6644" max="6644" width="13.83203125" style="505" customWidth="1"/>
    <col min="6645" max="6645" width="18.6640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3203125" style="505" customWidth="1"/>
    <col min="6650" max="6650" width="10.83203125" style="505" customWidth="1"/>
    <col min="6651" max="6651" width="10" style="505" customWidth="1"/>
    <col min="6652" max="6652" width="17.33203125" style="505" customWidth="1"/>
    <col min="6653" max="6653" width="10.83203125" style="505" customWidth="1"/>
    <col min="6654" max="6654" width="10" style="505" customWidth="1"/>
    <col min="6655" max="6655" width="16.1640625" style="505" customWidth="1"/>
    <col min="6656" max="6656" width="10.83203125" style="505" customWidth="1"/>
    <col min="6657" max="6657" width="12" style="505" customWidth="1"/>
    <col min="6658" max="6658" width="18.83203125" style="505" customWidth="1"/>
    <col min="6659" max="6659" width="10.83203125" style="505" customWidth="1"/>
    <col min="6660" max="6660" width="16.1640625" style="505" bestFit="1" customWidth="1"/>
    <col min="6661" max="6661" width="12.33203125" style="505" bestFit="1" customWidth="1"/>
    <col min="6662" max="6662" width="10.83203125" style="505" customWidth="1"/>
    <col min="6663" max="6663" width="10" style="505" customWidth="1"/>
    <col min="6664" max="6664" width="17.5" style="505" customWidth="1"/>
    <col min="6665" max="6665" width="10.83203125" style="505" customWidth="1"/>
    <col min="6666" max="6666" width="16" style="505" customWidth="1"/>
    <col min="6667" max="6667" width="12.33203125" style="505" bestFit="1" customWidth="1"/>
    <col min="6668" max="6884" width="11" style="505"/>
    <col min="6885" max="6885" width="32.6640625" style="505" customWidth="1"/>
    <col min="6886" max="6886" width="14.5" style="505" customWidth="1"/>
    <col min="6887" max="6887" width="15.6640625" style="505" bestFit="1" customWidth="1"/>
    <col min="6888" max="6888" width="15.5" style="505" customWidth="1"/>
    <col min="6889" max="6889" width="15.6640625" style="505" customWidth="1"/>
    <col min="6890" max="6890" width="15.6640625" style="505" bestFit="1" customWidth="1"/>
    <col min="6891" max="6891" width="15.83203125" style="505" customWidth="1"/>
    <col min="6892" max="6892" width="14.83203125" style="505" customWidth="1"/>
    <col min="6893" max="6893" width="14.5" style="505" customWidth="1"/>
    <col min="6894" max="6894" width="15.83203125" style="505" customWidth="1"/>
    <col min="6895" max="6895" width="12" style="505" bestFit="1" customWidth="1"/>
    <col min="6896" max="6896" width="18.6640625" style="505" customWidth="1"/>
    <col min="6897" max="6897" width="15.1640625" style="505" customWidth="1"/>
    <col min="6898" max="6898" width="15.6640625" style="505" bestFit="1" customWidth="1"/>
    <col min="6899" max="6899" width="16.33203125" style="505" customWidth="1"/>
    <col min="6900" max="6900" width="13.83203125" style="505" customWidth="1"/>
    <col min="6901" max="6901" width="18.6640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3203125" style="505" customWidth="1"/>
    <col min="6906" max="6906" width="10.83203125" style="505" customWidth="1"/>
    <col min="6907" max="6907" width="10" style="505" customWidth="1"/>
    <col min="6908" max="6908" width="17.33203125" style="505" customWidth="1"/>
    <col min="6909" max="6909" width="10.83203125" style="505" customWidth="1"/>
    <col min="6910" max="6910" width="10" style="505" customWidth="1"/>
    <col min="6911" max="6911" width="16.1640625" style="505" customWidth="1"/>
    <col min="6912" max="6912" width="10.83203125" style="505" customWidth="1"/>
    <col min="6913" max="6913" width="12" style="505" customWidth="1"/>
    <col min="6914" max="6914" width="18.83203125" style="505" customWidth="1"/>
    <col min="6915" max="6915" width="10.83203125" style="505" customWidth="1"/>
    <col min="6916" max="6916" width="16.1640625" style="505" bestFit="1" customWidth="1"/>
    <col min="6917" max="6917" width="12.33203125" style="505" bestFit="1" customWidth="1"/>
    <col min="6918" max="6918" width="10.83203125" style="505" customWidth="1"/>
    <col min="6919" max="6919" width="10" style="505" customWidth="1"/>
    <col min="6920" max="6920" width="17.5" style="505" customWidth="1"/>
    <col min="6921" max="6921" width="10.83203125" style="505" customWidth="1"/>
    <col min="6922" max="6922" width="16" style="505" customWidth="1"/>
    <col min="6923" max="6923" width="12.33203125" style="505" bestFit="1" customWidth="1"/>
    <col min="6924" max="7140" width="11" style="505"/>
    <col min="7141" max="7141" width="32.6640625" style="505" customWidth="1"/>
    <col min="7142" max="7142" width="14.5" style="505" customWidth="1"/>
    <col min="7143" max="7143" width="15.6640625" style="505" bestFit="1" customWidth="1"/>
    <col min="7144" max="7144" width="15.5" style="505" customWidth="1"/>
    <col min="7145" max="7145" width="15.6640625" style="505" customWidth="1"/>
    <col min="7146" max="7146" width="15.6640625" style="505" bestFit="1" customWidth="1"/>
    <col min="7147" max="7147" width="15.83203125" style="505" customWidth="1"/>
    <col min="7148" max="7148" width="14.83203125" style="505" customWidth="1"/>
    <col min="7149" max="7149" width="14.5" style="505" customWidth="1"/>
    <col min="7150" max="7150" width="15.83203125" style="505" customWidth="1"/>
    <col min="7151" max="7151" width="12" style="505" bestFit="1" customWidth="1"/>
    <col min="7152" max="7152" width="18.6640625" style="505" customWidth="1"/>
    <col min="7153" max="7153" width="15.1640625" style="505" customWidth="1"/>
    <col min="7154" max="7154" width="15.6640625" style="505" bestFit="1" customWidth="1"/>
    <col min="7155" max="7155" width="16.33203125" style="505" customWidth="1"/>
    <col min="7156" max="7156" width="13.83203125" style="505" customWidth="1"/>
    <col min="7157" max="7157" width="18.6640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3203125" style="505" customWidth="1"/>
    <col min="7162" max="7162" width="10.83203125" style="505" customWidth="1"/>
    <col min="7163" max="7163" width="10" style="505" customWidth="1"/>
    <col min="7164" max="7164" width="17.33203125" style="505" customWidth="1"/>
    <col min="7165" max="7165" width="10.83203125" style="505" customWidth="1"/>
    <col min="7166" max="7166" width="10" style="505" customWidth="1"/>
    <col min="7167" max="7167" width="16.1640625" style="505" customWidth="1"/>
    <col min="7168" max="7168" width="10.83203125" style="505" customWidth="1"/>
    <col min="7169" max="7169" width="12" style="505" customWidth="1"/>
    <col min="7170" max="7170" width="18.83203125" style="505" customWidth="1"/>
    <col min="7171" max="7171" width="10.83203125" style="505" customWidth="1"/>
    <col min="7172" max="7172" width="16.1640625" style="505" bestFit="1" customWidth="1"/>
    <col min="7173" max="7173" width="12.33203125" style="505" bestFit="1" customWidth="1"/>
    <col min="7174" max="7174" width="10.83203125" style="505" customWidth="1"/>
    <col min="7175" max="7175" width="10" style="505" customWidth="1"/>
    <col min="7176" max="7176" width="17.5" style="505" customWidth="1"/>
    <col min="7177" max="7177" width="10.83203125" style="505" customWidth="1"/>
    <col min="7178" max="7178" width="16" style="505" customWidth="1"/>
    <col min="7179" max="7179" width="12.33203125" style="505" bestFit="1" customWidth="1"/>
    <col min="7180" max="7396" width="11" style="505"/>
    <col min="7397" max="7397" width="32.6640625" style="505" customWidth="1"/>
    <col min="7398" max="7398" width="14.5" style="505" customWidth="1"/>
    <col min="7399" max="7399" width="15.6640625" style="505" bestFit="1" customWidth="1"/>
    <col min="7400" max="7400" width="15.5" style="505" customWidth="1"/>
    <col min="7401" max="7401" width="15.6640625" style="505" customWidth="1"/>
    <col min="7402" max="7402" width="15.6640625" style="505" bestFit="1" customWidth="1"/>
    <col min="7403" max="7403" width="15.83203125" style="505" customWidth="1"/>
    <col min="7404" max="7404" width="14.83203125" style="505" customWidth="1"/>
    <col min="7405" max="7405" width="14.5" style="505" customWidth="1"/>
    <col min="7406" max="7406" width="15.83203125" style="505" customWidth="1"/>
    <col min="7407" max="7407" width="12" style="505" bestFit="1" customWidth="1"/>
    <col min="7408" max="7408" width="18.6640625" style="505" customWidth="1"/>
    <col min="7409" max="7409" width="15.1640625" style="505" customWidth="1"/>
    <col min="7410" max="7410" width="15.6640625" style="505" bestFit="1" customWidth="1"/>
    <col min="7411" max="7411" width="16.33203125" style="505" customWidth="1"/>
    <col min="7412" max="7412" width="13.83203125" style="505" customWidth="1"/>
    <col min="7413" max="7413" width="18.6640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3203125" style="505" customWidth="1"/>
    <col min="7418" max="7418" width="10.83203125" style="505" customWidth="1"/>
    <col min="7419" max="7419" width="10" style="505" customWidth="1"/>
    <col min="7420" max="7420" width="17.33203125" style="505" customWidth="1"/>
    <col min="7421" max="7421" width="10.83203125" style="505" customWidth="1"/>
    <col min="7422" max="7422" width="10" style="505" customWidth="1"/>
    <col min="7423" max="7423" width="16.1640625" style="505" customWidth="1"/>
    <col min="7424" max="7424" width="10.83203125" style="505" customWidth="1"/>
    <col min="7425" max="7425" width="12" style="505" customWidth="1"/>
    <col min="7426" max="7426" width="18.83203125" style="505" customWidth="1"/>
    <col min="7427" max="7427" width="10.83203125" style="505" customWidth="1"/>
    <col min="7428" max="7428" width="16.1640625" style="505" bestFit="1" customWidth="1"/>
    <col min="7429" max="7429" width="12.33203125" style="505" bestFit="1" customWidth="1"/>
    <col min="7430" max="7430" width="10.83203125" style="505" customWidth="1"/>
    <col min="7431" max="7431" width="10" style="505" customWidth="1"/>
    <col min="7432" max="7432" width="17.5" style="505" customWidth="1"/>
    <col min="7433" max="7433" width="10.83203125" style="505" customWidth="1"/>
    <col min="7434" max="7434" width="16" style="505" customWidth="1"/>
    <col min="7435" max="7435" width="12.33203125" style="505" bestFit="1" customWidth="1"/>
    <col min="7436" max="7652" width="11" style="505"/>
    <col min="7653" max="7653" width="32.6640625" style="505" customWidth="1"/>
    <col min="7654" max="7654" width="14.5" style="505" customWidth="1"/>
    <col min="7655" max="7655" width="15.6640625" style="505" bestFit="1" customWidth="1"/>
    <col min="7656" max="7656" width="15.5" style="505" customWidth="1"/>
    <col min="7657" max="7657" width="15.6640625" style="505" customWidth="1"/>
    <col min="7658" max="7658" width="15.6640625" style="505" bestFit="1" customWidth="1"/>
    <col min="7659" max="7659" width="15.83203125" style="505" customWidth="1"/>
    <col min="7660" max="7660" width="14.83203125" style="505" customWidth="1"/>
    <col min="7661" max="7661" width="14.5" style="505" customWidth="1"/>
    <col min="7662" max="7662" width="15.83203125" style="505" customWidth="1"/>
    <col min="7663" max="7663" width="12" style="505" bestFit="1" customWidth="1"/>
    <col min="7664" max="7664" width="18.6640625" style="505" customWidth="1"/>
    <col min="7665" max="7665" width="15.1640625" style="505" customWidth="1"/>
    <col min="7666" max="7666" width="15.6640625" style="505" bestFit="1" customWidth="1"/>
    <col min="7667" max="7667" width="16.33203125" style="505" customWidth="1"/>
    <col min="7668" max="7668" width="13.83203125" style="505" customWidth="1"/>
    <col min="7669" max="7669" width="18.6640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3203125" style="505" customWidth="1"/>
    <col min="7674" max="7674" width="10.83203125" style="505" customWidth="1"/>
    <col min="7675" max="7675" width="10" style="505" customWidth="1"/>
    <col min="7676" max="7676" width="17.33203125" style="505" customWidth="1"/>
    <col min="7677" max="7677" width="10.83203125" style="505" customWidth="1"/>
    <col min="7678" max="7678" width="10" style="505" customWidth="1"/>
    <col min="7679" max="7679" width="16.1640625" style="505" customWidth="1"/>
    <col min="7680" max="7680" width="10.83203125" style="505" customWidth="1"/>
    <col min="7681" max="7681" width="12" style="505" customWidth="1"/>
    <col min="7682" max="7682" width="18.83203125" style="505" customWidth="1"/>
    <col min="7683" max="7683" width="10.83203125" style="505" customWidth="1"/>
    <col min="7684" max="7684" width="16.1640625" style="505" bestFit="1" customWidth="1"/>
    <col min="7685" max="7685" width="12.33203125" style="505" bestFit="1" customWidth="1"/>
    <col min="7686" max="7686" width="10.83203125" style="505" customWidth="1"/>
    <col min="7687" max="7687" width="10" style="505" customWidth="1"/>
    <col min="7688" max="7688" width="17.5" style="505" customWidth="1"/>
    <col min="7689" max="7689" width="10.83203125" style="505" customWidth="1"/>
    <col min="7690" max="7690" width="16" style="505" customWidth="1"/>
    <col min="7691" max="7691" width="12.33203125" style="505" bestFit="1" customWidth="1"/>
    <col min="7692" max="7908" width="11" style="505"/>
    <col min="7909" max="7909" width="32.6640625" style="505" customWidth="1"/>
    <col min="7910" max="7910" width="14.5" style="505" customWidth="1"/>
    <col min="7911" max="7911" width="15.6640625" style="505" bestFit="1" customWidth="1"/>
    <col min="7912" max="7912" width="15.5" style="505" customWidth="1"/>
    <col min="7913" max="7913" width="15.6640625" style="505" customWidth="1"/>
    <col min="7914" max="7914" width="15.6640625" style="505" bestFit="1" customWidth="1"/>
    <col min="7915" max="7915" width="15.83203125" style="505" customWidth="1"/>
    <col min="7916" max="7916" width="14.83203125" style="505" customWidth="1"/>
    <col min="7917" max="7917" width="14.5" style="505" customWidth="1"/>
    <col min="7918" max="7918" width="15.83203125" style="505" customWidth="1"/>
    <col min="7919" max="7919" width="12" style="505" bestFit="1" customWidth="1"/>
    <col min="7920" max="7920" width="18.6640625" style="505" customWidth="1"/>
    <col min="7921" max="7921" width="15.1640625" style="505" customWidth="1"/>
    <col min="7922" max="7922" width="15.6640625" style="505" bestFit="1" customWidth="1"/>
    <col min="7923" max="7923" width="16.33203125" style="505" customWidth="1"/>
    <col min="7924" max="7924" width="13.83203125" style="505" customWidth="1"/>
    <col min="7925" max="7925" width="18.6640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3203125" style="505" customWidth="1"/>
    <col min="7930" max="7930" width="10.83203125" style="505" customWidth="1"/>
    <col min="7931" max="7931" width="10" style="505" customWidth="1"/>
    <col min="7932" max="7932" width="17.33203125" style="505" customWidth="1"/>
    <col min="7933" max="7933" width="10.83203125" style="505" customWidth="1"/>
    <col min="7934" max="7934" width="10" style="505" customWidth="1"/>
    <col min="7935" max="7935" width="16.1640625" style="505" customWidth="1"/>
    <col min="7936" max="7936" width="10.83203125" style="505" customWidth="1"/>
    <col min="7937" max="7937" width="12" style="505" customWidth="1"/>
    <col min="7938" max="7938" width="18.83203125" style="505" customWidth="1"/>
    <col min="7939" max="7939" width="10.83203125" style="505" customWidth="1"/>
    <col min="7940" max="7940" width="16.1640625" style="505" bestFit="1" customWidth="1"/>
    <col min="7941" max="7941" width="12.33203125" style="505" bestFit="1" customWidth="1"/>
    <col min="7942" max="7942" width="10.83203125" style="505" customWidth="1"/>
    <col min="7943" max="7943" width="10" style="505" customWidth="1"/>
    <col min="7944" max="7944" width="17.5" style="505" customWidth="1"/>
    <col min="7945" max="7945" width="10.83203125" style="505" customWidth="1"/>
    <col min="7946" max="7946" width="16" style="505" customWidth="1"/>
    <col min="7947" max="7947" width="12.33203125" style="505" bestFit="1" customWidth="1"/>
    <col min="7948" max="8164" width="11" style="505"/>
    <col min="8165" max="8165" width="32.6640625" style="505" customWidth="1"/>
    <col min="8166" max="8166" width="14.5" style="505" customWidth="1"/>
    <col min="8167" max="8167" width="15.6640625" style="505" bestFit="1" customWidth="1"/>
    <col min="8168" max="8168" width="15.5" style="505" customWidth="1"/>
    <col min="8169" max="8169" width="15.6640625" style="505" customWidth="1"/>
    <col min="8170" max="8170" width="15.6640625" style="505" bestFit="1" customWidth="1"/>
    <col min="8171" max="8171" width="15.83203125" style="505" customWidth="1"/>
    <col min="8172" max="8172" width="14.83203125" style="505" customWidth="1"/>
    <col min="8173" max="8173" width="14.5" style="505" customWidth="1"/>
    <col min="8174" max="8174" width="15.83203125" style="505" customWidth="1"/>
    <col min="8175" max="8175" width="12" style="505" bestFit="1" customWidth="1"/>
    <col min="8176" max="8176" width="18.6640625" style="505" customWidth="1"/>
    <col min="8177" max="8177" width="15.1640625" style="505" customWidth="1"/>
    <col min="8178" max="8178" width="15.6640625" style="505" bestFit="1" customWidth="1"/>
    <col min="8179" max="8179" width="16.33203125" style="505" customWidth="1"/>
    <col min="8180" max="8180" width="13.83203125" style="505" customWidth="1"/>
    <col min="8181" max="8181" width="18.6640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3203125" style="505" customWidth="1"/>
    <col min="8186" max="8186" width="10.83203125" style="505" customWidth="1"/>
    <col min="8187" max="8187" width="10" style="505" customWidth="1"/>
    <col min="8188" max="8188" width="17.33203125" style="505" customWidth="1"/>
    <col min="8189" max="8189" width="10.83203125" style="505" customWidth="1"/>
    <col min="8190" max="8190" width="10" style="505" customWidth="1"/>
    <col min="8191" max="8191" width="16.1640625" style="505" customWidth="1"/>
    <col min="8192" max="8192" width="10.83203125" style="505" customWidth="1"/>
    <col min="8193" max="8193" width="12" style="505" customWidth="1"/>
    <col min="8194" max="8194" width="18.83203125" style="505" customWidth="1"/>
    <col min="8195" max="8195" width="10.83203125" style="505" customWidth="1"/>
    <col min="8196" max="8196" width="16.1640625" style="505" bestFit="1" customWidth="1"/>
    <col min="8197" max="8197" width="12.33203125" style="505" bestFit="1" customWidth="1"/>
    <col min="8198" max="8198" width="10.83203125" style="505" customWidth="1"/>
    <col min="8199" max="8199" width="10" style="505" customWidth="1"/>
    <col min="8200" max="8200" width="17.5" style="505" customWidth="1"/>
    <col min="8201" max="8201" width="10.83203125" style="505" customWidth="1"/>
    <col min="8202" max="8202" width="16" style="505" customWidth="1"/>
    <col min="8203" max="8203" width="12.33203125" style="505" bestFit="1" customWidth="1"/>
    <col min="8204" max="8420" width="11" style="505"/>
    <col min="8421" max="8421" width="32.6640625" style="505" customWidth="1"/>
    <col min="8422" max="8422" width="14.5" style="505" customWidth="1"/>
    <col min="8423" max="8423" width="15.6640625" style="505" bestFit="1" customWidth="1"/>
    <col min="8424" max="8424" width="15.5" style="505" customWidth="1"/>
    <col min="8425" max="8425" width="15.6640625" style="505" customWidth="1"/>
    <col min="8426" max="8426" width="15.6640625" style="505" bestFit="1" customWidth="1"/>
    <col min="8427" max="8427" width="15.83203125" style="505" customWidth="1"/>
    <col min="8428" max="8428" width="14.83203125" style="505" customWidth="1"/>
    <col min="8429" max="8429" width="14.5" style="505" customWidth="1"/>
    <col min="8430" max="8430" width="15.83203125" style="505" customWidth="1"/>
    <col min="8431" max="8431" width="12" style="505" bestFit="1" customWidth="1"/>
    <col min="8432" max="8432" width="18.6640625" style="505" customWidth="1"/>
    <col min="8433" max="8433" width="15.1640625" style="505" customWidth="1"/>
    <col min="8434" max="8434" width="15.6640625" style="505" bestFit="1" customWidth="1"/>
    <col min="8435" max="8435" width="16.33203125" style="505" customWidth="1"/>
    <col min="8436" max="8436" width="13.83203125" style="505" customWidth="1"/>
    <col min="8437" max="8437" width="18.6640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3203125" style="505" customWidth="1"/>
    <col min="8442" max="8442" width="10.83203125" style="505" customWidth="1"/>
    <col min="8443" max="8443" width="10" style="505" customWidth="1"/>
    <col min="8444" max="8444" width="17.33203125" style="505" customWidth="1"/>
    <col min="8445" max="8445" width="10.83203125" style="505" customWidth="1"/>
    <col min="8446" max="8446" width="10" style="505" customWidth="1"/>
    <col min="8447" max="8447" width="16.1640625" style="505" customWidth="1"/>
    <col min="8448" max="8448" width="10.83203125" style="505" customWidth="1"/>
    <col min="8449" max="8449" width="12" style="505" customWidth="1"/>
    <col min="8450" max="8450" width="18.83203125" style="505" customWidth="1"/>
    <col min="8451" max="8451" width="10.83203125" style="505" customWidth="1"/>
    <col min="8452" max="8452" width="16.1640625" style="505" bestFit="1" customWidth="1"/>
    <col min="8453" max="8453" width="12.33203125" style="505" bestFit="1" customWidth="1"/>
    <col min="8454" max="8454" width="10.83203125" style="505" customWidth="1"/>
    <col min="8455" max="8455" width="10" style="505" customWidth="1"/>
    <col min="8456" max="8456" width="17.5" style="505" customWidth="1"/>
    <col min="8457" max="8457" width="10.83203125" style="505" customWidth="1"/>
    <col min="8458" max="8458" width="16" style="505" customWidth="1"/>
    <col min="8459" max="8459" width="12.33203125" style="505" bestFit="1" customWidth="1"/>
    <col min="8460" max="8676" width="11" style="505"/>
    <col min="8677" max="8677" width="32.6640625" style="505" customWidth="1"/>
    <col min="8678" max="8678" width="14.5" style="505" customWidth="1"/>
    <col min="8679" max="8679" width="15.6640625" style="505" bestFit="1" customWidth="1"/>
    <col min="8680" max="8680" width="15.5" style="505" customWidth="1"/>
    <col min="8681" max="8681" width="15.6640625" style="505" customWidth="1"/>
    <col min="8682" max="8682" width="15.6640625" style="505" bestFit="1" customWidth="1"/>
    <col min="8683" max="8683" width="15.83203125" style="505" customWidth="1"/>
    <col min="8684" max="8684" width="14.83203125" style="505" customWidth="1"/>
    <col min="8685" max="8685" width="14.5" style="505" customWidth="1"/>
    <col min="8686" max="8686" width="15.83203125" style="505" customWidth="1"/>
    <col min="8687" max="8687" width="12" style="505" bestFit="1" customWidth="1"/>
    <col min="8688" max="8688" width="18.6640625" style="505" customWidth="1"/>
    <col min="8689" max="8689" width="15.1640625" style="505" customWidth="1"/>
    <col min="8690" max="8690" width="15.6640625" style="505" bestFit="1" customWidth="1"/>
    <col min="8691" max="8691" width="16.33203125" style="505" customWidth="1"/>
    <col min="8692" max="8692" width="13.83203125" style="505" customWidth="1"/>
    <col min="8693" max="8693" width="18.6640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3203125" style="505" customWidth="1"/>
    <col min="8698" max="8698" width="10.83203125" style="505" customWidth="1"/>
    <col min="8699" max="8699" width="10" style="505" customWidth="1"/>
    <col min="8700" max="8700" width="17.33203125" style="505" customWidth="1"/>
    <col min="8701" max="8701" width="10.83203125" style="505" customWidth="1"/>
    <col min="8702" max="8702" width="10" style="505" customWidth="1"/>
    <col min="8703" max="8703" width="16.1640625" style="505" customWidth="1"/>
    <col min="8704" max="8704" width="10.83203125" style="505" customWidth="1"/>
    <col min="8705" max="8705" width="12" style="505" customWidth="1"/>
    <col min="8706" max="8706" width="18.83203125" style="505" customWidth="1"/>
    <col min="8707" max="8707" width="10.83203125" style="505" customWidth="1"/>
    <col min="8708" max="8708" width="16.1640625" style="505" bestFit="1" customWidth="1"/>
    <col min="8709" max="8709" width="12.33203125" style="505" bestFit="1" customWidth="1"/>
    <col min="8710" max="8710" width="10.83203125" style="505" customWidth="1"/>
    <col min="8711" max="8711" width="10" style="505" customWidth="1"/>
    <col min="8712" max="8712" width="17.5" style="505" customWidth="1"/>
    <col min="8713" max="8713" width="10.83203125" style="505" customWidth="1"/>
    <col min="8714" max="8714" width="16" style="505" customWidth="1"/>
    <col min="8715" max="8715" width="12.33203125" style="505" bestFit="1" customWidth="1"/>
    <col min="8716" max="8932" width="11" style="505"/>
    <col min="8933" max="8933" width="32.6640625" style="505" customWidth="1"/>
    <col min="8934" max="8934" width="14.5" style="505" customWidth="1"/>
    <col min="8935" max="8935" width="15.6640625" style="505" bestFit="1" customWidth="1"/>
    <col min="8936" max="8936" width="15.5" style="505" customWidth="1"/>
    <col min="8937" max="8937" width="15.6640625" style="505" customWidth="1"/>
    <col min="8938" max="8938" width="15.6640625" style="505" bestFit="1" customWidth="1"/>
    <col min="8939" max="8939" width="15.83203125" style="505" customWidth="1"/>
    <col min="8940" max="8940" width="14.83203125" style="505" customWidth="1"/>
    <col min="8941" max="8941" width="14.5" style="505" customWidth="1"/>
    <col min="8942" max="8942" width="15.83203125" style="505" customWidth="1"/>
    <col min="8943" max="8943" width="12" style="505" bestFit="1" customWidth="1"/>
    <col min="8944" max="8944" width="18.6640625" style="505" customWidth="1"/>
    <col min="8945" max="8945" width="15.1640625" style="505" customWidth="1"/>
    <col min="8946" max="8946" width="15.6640625" style="505" bestFit="1" customWidth="1"/>
    <col min="8947" max="8947" width="16.33203125" style="505" customWidth="1"/>
    <col min="8948" max="8948" width="13.83203125" style="505" customWidth="1"/>
    <col min="8949" max="8949" width="18.6640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3203125" style="505" customWidth="1"/>
    <col min="8954" max="8954" width="10.83203125" style="505" customWidth="1"/>
    <col min="8955" max="8955" width="10" style="505" customWidth="1"/>
    <col min="8956" max="8956" width="17.33203125" style="505" customWidth="1"/>
    <col min="8957" max="8957" width="10.83203125" style="505" customWidth="1"/>
    <col min="8958" max="8958" width="10" style="505" customWidth="1"/>
    <col min="8959" max="8959" width="16.1640625" style="505" customWidth="1"/>
    <col min="8960" max="8960" width="10.83203125" style="505" customWidth="1"/>
    <col min="8961" max="8961" width="12" style="505" customWidth="1"/>
    <col min="8962" max="8962" width="18.83203125" style="505" customWidth="1"/>
    <col min="8963" max="8963" width="10.83203125" style="505" customWidth="1"/>
    <col min="8964" max="8964" width="16.1640625" style="505" bestFit="1" customWidth="1"/>
    <col min="8965" max="8965" width="12.33203125" style="505" bestFit="1" customWidth="1"/>
    <col min="8966" max="8966" width="10.83203125" style="505" customWidth="1"/>
    <col min="8967" max="8967" width="10" style="505" customWidth="1"/>
    <col min="8968" max="8968" width="17.5" style="505" customWidth="1"/>
    <col min="8969" max="8969" width="10.83203125" style="505" customWidth="1"/>
    <col min="8970" max="8970" width="16" style="505" customWidth="1"/>
    <col min="8971" max="8971" width="12.33203125" style="505" bestFit="1" customWidth="1"/>
    <col min="8972" max="9188" width="11" style="505"/>
    <col min="9189" max="9189" width="32.6640625" style="505" customWidth="1"/>
    <col min="9190" max="9190" width="14.5" style="505" customWidth="1"/>
    <col min="9191" max="9191" width="15.6640625" style="505" bestFit="1" customWidth="1"/>
    <col min="9192" max="9192" width="15.5" style="505" customWidth="1"/>
    <col min="9193" max="9193" width="15.6640625" style="505" customWidth="1"/>
    <col min="9194" max="9194" width="15.6640625" style="505" bestFit="1" customWidth="1"/>
    <col min="9195" max="9195" width="15.83203125" style="505" customWidth="1"/>
    <col min="9196" max="9196" width="14.83203125" style="505" customWidth="1"/>
    <col min="9197" max="9197" width="14.5" style="505" customWidth="1"/>
    <col min="9198" max="9198" width="15.83203125" style="505" customWidth="1"/>
    <col min="9199" max="9199" width="12" style="505" bestFit="1" customWidth="1"/>
    <col min="9200" max="9200" width="18.6640625" style="505" customWidth="1"/>
    <col min="9201" max="9201" width="15.1640625" style="505" customWidth="1"/>
    <col min="9202" max="9202" width="15.6640625" style="505" bestFit="1" customWidth="1"/>
    <col min="9203" max="9203" width="16.33203125" style="505" customWidth="1"/>
    <col min="9204" max="9204" width="13.83203125" style="505" customWidth="1"/>
    <col min="9205" max="9205" width="18.6640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3203125" style="505" customWidth="1"/>
    <col min="9210" max="9210" width="10.83203125" style="505" customWidth="1"/>
    <col min="9211" max="9211" width="10" style="505" customWidth="1"/>
    <col min="9212" max="9212" width="17.33203125" style="505" customWidth="1"/>
    <col min="9213" max="9213" width="10.83203125" style="505" customWidth="1"/>
    <col min="9214" max="9214" width="10" style="505" customWidth="1"/>
    <col min="9215" max="9215" width="16.1640625" style="505" customWidth="1"/>
    <col min="9216" max="9216" width="10.83203125" style="505" customWidth="1"/>
    <col min="9217" max="9217" width="12" style="505" customWidth="1"/>
    <col min="9218" max="9218" width="18.83203125" style="505" customWidth="1"/>
    <col min="9219" max="9219" width="10.83203125" style="505" customWidth="1"/>
    <col min="9220" max="9220" width="16.1640625" style="505" bestFit="1" customWidth="1"/>
    <col min="9221" max="9221" width="12.33203125" style="505" bestFit="1" customWidth="1"/>
    <col min="9222" max="9222" width="10.83203125" style="505" customWidth="1"/>
    <col min="9223" max="9223" width="10" style="505" customWidth="1"/>
    <col min="9224" max="9224" width="17.5" style="505" customWidth="1"/>
    <col min="9225" max="9225" width="10.83203125" style="505" customWidth="1"/>
    <col min="9226" max="9226" width="16" style="505" customWidth="1"/>
    <col min="9227" max="9227" width="12.33203125" style="505" bestFit="1" customWidth="1"/>
    <col min="9228" max="9444" width="11" style="505"/>
    <col min="9445" max="9445" width="32.6640625" style="505" customWidth="1"/>
    <col min="9446" max="9446" width="14.5" style="505" customWidth="1"/>
    <col min="9447" max="9447" width="15.6640625" style="505" bestFit="1" customWidth="1"/>
    <col min="9448" max="9448" width="15.5" style="505" customWidth="1"/>
    <col min="9449" max="9449" width="15.6640625" style="505" customWidth="1"/>
    <col min="9450" max="9450" width="15.6640625" style="505" bestFit="1" customWidth="1"/>
    <col min="9451" max="9451" width="15.83203125" style="505" customWidth="1"/>
    <col min="9452" max="9452" width="14.83203125" style="505" customWidth="1"/>
    <col min="9453" max="9453" width="14.5" style="505" customWidth="1"/>
    <col min="9454" max="9454" width="15.83203125" style="505" customWidth="1"/>
    <col min="9455" max="9455" width="12" style="505" bestFit="1" customWidth="1"/>
    <col min="9456" max="9456" width="18.6640625" style="505" customWidth="1"/>
    <col min="9457" max="9457" width="15.1640625" style="505" customWidth="1"/>
    <col min="9458" max="9458" width="15.6640625" style="505" bestFit="1" customWidth="1"/>
    <col min="9459" max="9459" width="16.33203125" style="505" customWidth="1"/>
    <col min="9460" max="9460" width="13.83203125" style="505" customWidth="1"/>
    <col min="9461" max="9461" width="18.6640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3203125" style="505" customWidth="1"/>
    <col min="9466" max="9466" width="10.83203125" style="505" customWidth="1"/>
    <col min="9467" max="9467" width="10" style="505" customWidth="1"/>
    <col min="9468" max="9468" width="17.33203125" style="505" customWidth="1"/>
    <col min="9469" max="9469" width="10.83203125" style="505" customWidth="1"/>
    <col min="9470" max="9470" width="10" style="505" customWidth="1"/>
    <col min="9471" max="9471" width="16.1640625" style="505" customWidth="1"/>
    <col min="9472" max="9472" width="10.83203125" style="505" customWidth="1"/>
    <col min="9473" max="9473" width="12" style="505" customWidth="1"/>
    <col min="9474" max="9474" width="18.83203125" style="505" customWidth="1"/>
    <col min="9475" max="9475" width="10.83203125" style="505" customWidth="1"/>
    <col min="9476" max="9476" width="16.1640625" style="505" bestFit="1" customWidth="1"/>
    <col min="9477" max="9477" width="12.33203125" style="505" bestFit="1" customWidth="1"/>
    <col min="9478" max="9478" width="10.83203125" style="505" customWidth="1"/>
    <col min="9479" max="9479" width="10" style="505" customWidth="1"/>
    <col min="9480" max="9480" width="17.5" style="505" customWidth="1"/>
    <col min="9481" max="9481" width="10.83203125" style="505" customWidth="1"/>
    <col min="9482" max="9482" width="16" style="505" customWidth="1"/>
    <col min="9483" max="9483" width="12.33203125" style="505" bestFit="1" customWidth="1"/>
    <col min="9484" max="9700" width="11" style="505"/>
    <col min="9701" max="9701" width="32.6640625" style="505" customWidth="1"/>
    <col min="9702" max="9702" width="14.5" style="505" customWidth="1"/>
    <col min="9703" max="9703" width="15.6640625" style="505" bestFit="1" customWidth="1"/>
    <col min="9704" max="9704" width="15.5" style="505" customWidth="1"/>
    <col min="9705" max="9705" width="15.6640625" style="505" customWidth="1"/>
    <col min="9706" max="9706" width="15.6640625" style="505" bestFit="1" customWidth="1"/>
    <col min="9707" max="9707" width="15.83203125" style="505" customWidth="1"/>
    <col min="9708" max="9708" width="14.83203125" style="505" customWidth="1"/>
    <col min="9709" max="9709" width="14.5" style="505" customWidth="1"/>
    <col min="9710" max="9710" width="15.83203125" style="505" customWidth="1"/>
    <col min="9711" max="9711" width="12" style="505" bestFit="1" customWidth="1"/>
    <col min="9712" max="9712" width="18.6640625" style="505" customWidth="1"/>
    <col min="9713" max="9713" width="15.1640625" style="505" customWidth="1"/>
    <col min="9714" max="9714" width="15.6640625" style="505" bestFit="1" customWidth="1"/>
    <col min="9715" max="9715" width="16.33203125" style="505" customWidth="1"/>
    <col min="9716" max="9716" width="13.83203125" style="505" customWidth="1"/>
    <col min="9717" max="9717" width="18.6640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3203125" style="505" customWidth="1"/>
    <col min="9722" max="9722" width="10.83203125" style="505" customWidth="1"/>
    <col min="9723" max="9723" width="10" style="505" customWidth="1"/>
    <col min="9724" max="9724" width="17.33203125" style="505" customWidth="1"/>
    <col min="9725" max="9725" width="10.83203125" style="505" customWidth="1"/>
    <col min="9726" max="9726" width="10" style="505" customWidth="1"/>
    <col min="9727" max="9727" width="16.1640625" style="505" customWidth="1"/>
    <col min="9728" max="9728" width="10.83203125" style="505" customWidth="1"/>
    <col min="9729" max="9729" width="12" style="505" customWidth="1"/>
    <col min="9730" max="9730" width="18.83203125" style="505" customWidth="1"/>
    <col min="9731" max="9731" width="10.83203125" style="505" customWidth="1"/>
    <col min="9732" max="9732" width="16.1640625" style="505" bestFit="1" customWidth="1"/>
    <col min="9733" max="9733" width="12.33203125" style="505" bestFit="1" customWidth="1"/>
    <col min="9734" max="9734" width="10.83203125" style="505" customWidth="1"/>
    <col min="9735" max="9735" width="10" style="505" customWidth="1"/>
    <col min="9736" max="9736" width="17.5" style="505" customWidth="1"/>
    <col min="9737" max="9737" width="10.83203125" style="505" customWidth="1"/>
    <col min="9738" max="9738" width="16" style="505" customWidth="1"/>
    <col min="9739" max="9739" width="12.33203125" style="505" bestFit="1" customWidth="1"/>
    <col min="9740" max="9956" width="11" style="505"/>
    <col min="9957" max="9957" width="32.6640625" style="505" customWidth="1"/>
    <col min="9958" max="9958" width="14.5" style="505" customWidth="1"/>
    <col min="9959" max="9959" width="15.6640625" style="505" bestFit="1" customWidth="1"/>
    <col min="9960" max="9960" width="15.5" style="505" customWidth="1"/>
    <col min="9961" max="9961" width="15.6640625" style="505" customWidth="1"/>
    <col min="9962" max="9962" width="15.6640625" style="505" bestFit="1" customWidth="1"/>
    <col min="9963" max="9963" width="15.83203125" style="505" customWidth="1"/>
    <col min="9964" max="9964" width="14.83203125" style="505" customWidth="1"/>
    <col min="9965" max="9965" width="14.5" style="505" customWidth="1"/>
    <col min="9966" max="9966" width="15.83203125" style="505" customWidth="1"/>
    <col min="9967" max="9967" width="12" style="505" bestFit="1" customWidth="1"/>
    <col min="9968" max="9968" width="18.6640625" style="505" customWidth="1"/>
    <col min="9969" max="9969" width="15.1640625" style="505" customWidth="1"/>
    <col min="9970" max="9970" width="15.6640625" style="505" bestFit="1" customWidth="1"/>
    <col min="9971" max="9971" width="16.33203125" style="505" customWidth="1"/>
    <col min="9972" max="9972" width="13.83203125" style="505" customWidth="1"/>
    <col min="9973" max="9973" width="18.6640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3203125" style="505" customWidth="1"/>
    <col min="9978" max="9978" width="10.83203125" style="505" customWidth="1"/>
    <col min="9979" max="9979" width="10" style="505" customWidth="1"/>
    <col min="9980" max="9980" width="17.33203125" style="505" customWidth="1"/>
    <col min="9981" max="9981" width="10.83203125" style="505" customWidth="1"/>
    <col min="9982" max="9982" width="10" style="505" customWidth="1"/>
    <col min="9983" max="9983" width="16.1640625" style="505" customWidth="1"/>
    <col min="9984" max="9984" width="10.83203125" style="505" customWidth="1"/>
    <col min="9985" max="9985" width="12" style="505" customWidth="1"/>
    <col min="9986" max="9986" width="18.83203125" style="505" customWidth="1"/>
    <col min="9987" max="9987" width="10.83203125" style="505" customWidth="1"/>
    <col min="9988" max="9988" width="16.1640625" style="505" bestFit="1" customWidth="1"/>
    <col min="9989" max="9989" width="12.33203125" style="505" bestFit="1" customWidth="1"/>
    <col min="9990" max="9990" width="10.83203125" style="505" customWidth="1"/>
    <col min="9991" max="9991" width="10" style="505" customWidth="1"/>
    <col min="9992" max="9992" width="17.5" style="505" customWidth="1"/>
    <col min="9993" max="9993" width="10.83203125" style="505" customWidth="1"/>
    <col min="9994" max="9994" width="16" style="505" customWidth="1"/>
    <col min="9995" max="9995" width="12.33203125" style="505" bestFit="1" customWidth="1"/>
    <col min="9996" max="10212" width="11" style="505"/>
    <col min="10213" max="10213" width="32.6640625" style="505" customWidth="1"/>
    <col min="10214" max="10214" width="14.5" style="505" customWidth="1"/>
    <col min="10215" max="10215" width="15.6640625" style="505" bestFit="1" customWidth="1"/>
    <col min="10216" max="10216" width="15.5" style="505" customWidth="1"/>
    <col min="10217" max="10217" width="15.6640625" style="505" customWidth="1"/>
    <col min="10218" max="10218" width="15.6640625" style="505" bestFit="1" customWidth="1"/>
    <col min="10219" max="10219" width="15.83203125" style="505" customWidth="1"/>
    <col min="10220" max="10220" width="14.83203125" style="505" customWidth="1"/>
    <col min="10221" max="10221" width="14.5" style="505" customWidth="1"/>
    <col min="10222" max="10222" width="15.83203125" style="505" customWidth="1"/>
    <col min="10223" max="10223" width="12" style="505" bestFit="1" customWidth="1"/>
    <col min="10224" max="10224" width="18.6640625" style="505" customWidth="1"/>
    <col min="10225" max="10225" width="15.1640625" style="505" customWidth="1"/>
    <col min="10226" max="10226" width="15.6640625" style="505" bestFit="1" customWidth="1"/>
    <col min="10227" max="10227" width="16.33203125" style="505" customWidth="1"/>
    <col min="10228" max="10228" width="13.83203125" style="505" customWidth="1"/>
    <col min="10229" max="10229" width="18.6640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3203125" style="505" customWidth="1"/>
    <col min="10234" max="10234" width="10.83203125" style="505" customWidth="1"/>
    <col min="10235" max="10235" width="10" style="505" customWidth="1"/>
    <col min="10236" max="10236" width="17.33203125" style="505" customWidth="1"/>
    <col min="10237" max="10237" width="10.83203125" style="505" customWidth="1"/>
    <col min="10238" max="10238" width="10" style="505" customWidth="1"/>
    <col min="10239" max="10239" width="16.1640625" style="505" customWidth="1"/>
    <col min="10240" max="10240" width="10.83203125" style="505" customWidth="1"/>
    <col min="10241" max="10241" width="12" style="505" customWidth="1"/>
    <col min="10242" max="10242" width="18.83203125" style="505" customWidth="1"/>
    <col min="10243" max="10243" width="10.83203125" style="505" customWidth="1"/>
    <col min="10244" max="10244" width="16.1640625" style="505" bestFit="1" customWidth="1"/>
    <col min="10245" max="10245" width="12.33203125" style="505" bestFit="1" customWidth="1"/>
    <col min="10246" max="10246" width="10.83203125" style="505" customWidth="1"/>
    <col min="10247" max="10247" width="10" style="505" customWidth="1"/>
    <col min="10248" max="10248" width="17.5" style="505" customWidth="1"/>
    <col min="10249" max="10249" width="10.83203125" style="505" customWidth="1"/>
    <col min="10250" max="10250" width="16" style="505" customWidth="1"/>
    <col min="10251" max="10251" width="12.33203125" style="505" bestFit="1" customWidth="1"/>
    <col min="10252" max="10468" width="11" style="505"/>
    <col min="10469" max="10469" width="32.6640625" style="505" customWidth="1"/>
    <col min="10470" max="10470" width="14.5" style="505" customWidth="1"/>
    <col min="10471" max="10471" width="15.6640625" style="505" bestFit="1" customWidth="1"/>
    <col min="10472" max="10472" width="15.5" style="505" customWidth="1"/>
    <col min="10473" max="10473" width="15.6640625" style="505" customWidth="1"/>
    <col min="10474" max="10474" width="15.6640625" style="505" bestFit="1" customWidth="1"/>
    <col min="10475" max="10475" width="15.83203125" style="505" customWidth="1"/>
    <col min="10476" max="10476" width="14.83203125" style="505" customWidth="1"/>
    <col min="10477" max="10477" width="14.5" style="505" customWidth="1"/>
    <col min="10478" max="10478" width="15.83203125" style="505" customWidth="1"/>
    <col min="10479" max="10479" width="12" style="505" bestFit="1" customWidth="1"/>
    <col min="10480" max="10480" width="18.6640625" style="505" customWidth="1"/>
    <col min="10481" max="10481" width="15.1640625" style="505" customWidth="1"/>
    <col min="10482" max="10482" width="15.6640625" style="505" bestFit="1" customWidth="1"/>
    <col min="10483" max="10483" width="16.33203125" style="505" customWidth="1"/>
    <col min="10484" max="10484" width="13.83203125" style="505" customWidth="1"/>
    <col min="10485" max="10485" width="18.6640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3203125" style="505" customWidth="1"/>
    <col min="10490" max="10490" width="10.83203125" style="505" customWidth="1"/>
    <col min="10491" max="10491" width="10" style="505" customWidth="1"/>
    <col min="10492" max="10492" width="17.33203125" style="505" customWidth="1"/>
    <col min="10493" max="10493" width="10.83203125" style="505" customWidth="1"/>
    <col min="10494" max="10494" width="10" style="505" customWidth="1"/>
    <col min="10495" max="10495" width="16.1640625" style="505" customWidth="1"/>
    <col min="10496" max="10496" width="10.83203125" style="505" customWidth="1"/>
    <col min="10497" max="10497" width="12" style="505" customWidth="1"/>
    <col min="10498" max="10498" width="18.83203125" style="505" customWidth="1"/>
    <col min="10499" max="10499" width="10.83203125" style="505" customWidth="1"/>
    <col min="10500" max="10500" width="16.1640625" style="505" bestFit="1" customWidth="1"/>
    <col min="10501" max="10501" width="12.33203125" style="505" bestFit="1" customWidth="1"/>
    <col min="10502" max="10502" width="10.83203125" style="505" customWidth="1"/>
    <col min="10503" max="10503" width="10" style="505" customWidth="1"/>
    <col min="10504" max="10504" width="17.5" style="505" customWidth="1"/>
    <col min="10505" max="10505" width="10.83203125" style="505" customWidth="1"/>
    <col min="10506" max="10506" width="16" style="505" customWidth="1"/>
    <col min="10507" max="10507" width="12.33203125" style="505" bestFit="1" customWidth="1"/>
    <col min="10508" max="10724" width="11" style="505"/>
    <col min="10725" max="10725" width="32.6640625" style="505" customWidth="1"/>
    <col min="10726" max="10726" width="14.5" style="505" customWidth="1"/>
    <col min="10727" max="10727" width="15.6640625" style="505" bestFit="1" customWidth="1"/>
    <col min="10728" max="10728" width="15.5" style="505" customWidth="1"/>
    <col min="10729" max="10729" width="15.6640625" style="505" customWidth="1"/>
    <col min="10730" max="10730" width="15.6640625" style="505" bestFit="1" customWidth="1"/>
    <col min="10731" max="10731" width="15.83203125" style="505" customWidth="1"/>
    <col min="10732" max="10732" width="14.83203125" style="505" customWidth="1"/>
    <col min="10733" max="10733" width="14.5" style="505" customWidth="1"/>
    <col min="10734" max="10734" width="15.83203125" style="505" customWidth="1"/>
    <col min="10735" max="10735" width="12" style="505" bestFit="1" customWidth="1"/>
    <col min="10736" max="10736" width="18.6640625" style="505" customWidth="1"/>
    <col min="10737" max="10737" width="15.1640625" style="505" customWidth="1"/>
    <col min="10738" max="10738" width="15.6640625" style="505" bestFit="1" customWidth="1"/>
    <col min="10739" max="10739" width="16.33203125" style="505" customWidth="1"/>
    <col min="10740" max="10740" width="13.83203125" style="505" customWidth="1"/>
    <col min="10741" max="10741" width="18.6640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3203125" style="505" customWidth="1"/>
    <col min="10746" max="10746" width="10.83203125" style="505" customWidth="1"/>
    <col min="10747" max="10747" width="10" style="505" customWidth="1"/>
    <col min="10748" max="10748" width="17.33203125" style="505" customWidth="1"/>
    <col min="10749" max="10749" width="10.83203125" style="505" customWidth="1"/>
    <col min="10750" max="10750" width="10" style="505" customWidth="1"/>
    <col min="10751" max="10751" width="16.1640625" style="505" customWidth="1"/>
    <col min="10752" max="10752" width="10.83203125" style="505" customWidth="1"/>
    <col min="10753" max="10753" width="12" style="505" customWidth="1"/>
    <col min="10754" max="10754" width="18.83203125" style="505" customWidth="1"/>
    <col min="10755" max="10755" width="10.83203125" style="505" customWidth="1"/>
    <col min="10756" max="10756" width="16.1640625" style="505" bestFit="1" customWidth="1"/>
    <col min="10757" max="10757" width="12.33203125" style="505" bestFit="1" customWidth="1"/>
    <col min="10758" max="10758" width="10.83203125" style="505" customWidth="1"/>
    <col min="10759" max="10759" width="10" style="505" customWidth="1"/>
    <col min="10760" max="10760" width="17.5" style="505" customWidth="1"/>
    <col min="10761" max="10761" width="10.83203125" style="505" customWidth="1"/>
    <col min="10762" max="10762" width="16" style="505" customWidth="1"/>
    <col min="10763" max="10763" width="12.33203125" style="505" bestFit="1" customWidth="1"/>
    <col min="10764" max="10980" width="11" style="505"/>
    <col min="10981" max="10981" width="32.6640625" style="505" customWidth="1"/>
    <col min="10982" max="10982" width="14.5" style="505" customWidth="1"/>
    <col min="10983" max="10983" width="15.6640625" style="505" bestFit="1" customWidth="1"/>
    <col min="10984" max="10984" width="15.5" style="505" customWidth="1"/>
    <col min="10985" max="10985" width="15.6640625" style="505" customWidth="1"/>
    <col min="10986" max="10986" width="15.6640625" style="505" bestFit="1" customWidth="1"/>
    <col min="10987" max="10987" width="15.83203125" style="505" customWidth="1"/>
    <col min="10988" max="10988" width="14.83203125" style="505" customWidth="1"/>
    <col min="10989" max="10989" width="14.5" style="505" customWidth="1"/>
    <col min="10990" max="10990" width="15.83203125" style="505" customWidth="1"/>
    <col min="10991" max="10991" width="12" style="505" bestFit="1" customWidth="1"/>
    <col min="10992" max="10992" width="18.6640625" style="505" customWidth="1"/>
    <col min="10993" max="10993" width="15.1640625" style="505" customWidth="1"/>
    <col min="10994" max="10994" width="15.6640625" style="505" bestFit="1" customWidth="1"/>
    <col min="10995" max="10995" width="16.33203125" style="505" customWidth="1"/>
    <col min="10996" max="10996" width="13.83203125" style="505" customWidth="1"/>
    <col min="10997" max="10997" width="18.6640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3203125" style="505" customWidth="1"/>
    <col min="11002" max="11002" width="10.83203125" style="505" customWidth="1"/>
    <col min="11003" max="11003" width="10" style="505" customWidth="1"/>
    <col min="11004" max="11004" width="17.33203125" style="505" customWidth="1"/>
    <col min="11005" max="11005" width="10.83203125" style="505" customWidth="1"/>
    <col min="11006" max="11006" width="10" style="505" customWidth="1"/>
    <col min="11007" max="11007" width="16.1640625" style="505" customWidth="1"/>
    <col min="11008" max="11008" width="10.83203125" style="505" customWidth="1"/>
    <col min="11009" max="11009" width="12" style="505" customWidth="1"/>
    <col min="11010" max="11010" width="18.83203125" style="505" customWidth="1"/>
    <col min="11011" max="11011" width="10.83203125" style="505" customWidth="1"/>
    <col min="11012" max="11012" width="16.1640625" style="505" bestFit="1" customWidth="1"/>
    <col min="11013" max="11013" width="12.33203125" style="505" bestFit="1" customWidth="1"/>
    <col min="11014" max="11014" width="10.83203125" style="505" customWidth="1"/>
    <col min="11015" max="11015" width="10" style="505" customWidth="1"/>
    <col min="11016" max="11016" width="17.5" style="505" customWidth="1"/>
    <col min="11017" max="11017" width="10.83203125" style="505" customWidth="1"/>
    <col min="11018" max="11018" width="16" style="505" customWidth="1"/>
    <col min="11019" max="11019" width="12.33203125" style="505" bestFit="1" customWidth="1"/>
    <col min="11020" max="11236" width="11" style="505"/>
    <col min="11237" max="11237" width="32.6640625" style="505" customWidth="1"/>
    <col min="11238" max="11238" width="14.5" style="505" customWidth="1"/>
    <col min="11239" max="11239" width="15.6640625" style="505" bestFit="1" customWidth="1"/>
    <col min="11240" max="11240" width="15.5" style="505" customWidth="1"/>
    <col min="11241" max="11241" width="15.6640625" style="505" customWidth="1"/>
    <col min="11242" max="11242" width="15.6640625" style="505" bestFit="1" customWidth="1"/>
    <col min="11243" max="11243" width="15.83203125" style="505" customWidth="1"/>
    <col min="11244" max="11244" width="14.83203125" style="505" customWidth="1"/>
    <col min="11245" max="11245" width="14.5" style="505" customWidth="1"/>
    <col min="11246" max="11246" width="15.83203125" style="505" customWidth="1"/>
    <col min="11247" max="11247" width="12" style="505" bestFit="1" customWidth="1"/>
    <col min="11248" max="11248" width="18.6640625" style="505" customWidth="1"/>
    <col min="11249" max="11249" width="15.1640625" style="505" customWidth="1"/>
    <col min="11250" max="11250" width="15.6640625" style="505" bestFit="1" customWidth="1"/>
    <col min="11251" max="11251" width="16.33203125" style="505" customWidth="1"/>
    <col min="11252" max="11252" width="13.83203125" style="505" customWidth="1"/>
    <col min="11253" max="11253" width="18.6640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3203125" style="505" customWidth="1"/>
    <col min="11258" max="11258" width="10.83203125" style="505" customWidth="1"/>
    <col min="11259" max="11259" width="10" style="505" customWidth="1"/>
    <col min="11260" max="11260" width="17.33203125" style="505" customWidth="1"/>
    <col min="11261" max="11261" width="10.83203125" style="505" customWidth="1"/>
    <col min="11262" max="11262" width="10" style="505" customWidth="1"/>
    <col min="11263" max="11263" width="16.1640625" style="505" customWidth="1"/>
    <col min="11264" max="11264" width="10.83203125" style="505" customWidth="1"/>
    <col min="11265" max="11265" width="12" style="505" customWidth="1"/>
    <col min="11266" max="11266" width="18.83203125" style="505" customWidth="1"/>
    <col min="11267" max="11267" width="10.83203125" style="505" customWidth="1"/>
    <col min="11268" max="11268" width="16.1640625" style="505" bestFit="1" customWidth="1"/>
    <col min="11269" max="11269" width="12.33203125" style="505" bestFit="1" customWidth="1"/>
    <col min="11270" max="11270" width="10.83203125" style="505" customWidth="1"/>
    <col min="11271" max="11271" width="10" style="505" customWidth="1"/>
    <col min="11272" max="11272" width="17.5" style="505" customWidth="1"/>
    <col min="11273" max="11273" width="10.83203125" style="505" customWidth="1"/>
    <col min="11274" max="11274" width="16" style="505" customWidth="1"/>
    <col min="11275" max="11275" width="12.33203125" style="505" bestFit="1" customWidth="1"/>
    <col min="11276" max="11492" width="11" style="505"/>
    <col min="11493" max="11493" width="32.6640625" style="505" customWidth="1"/>
    <col min="11494" max="11494" width="14.5" style="505" customWidth="1"/>
    <col min="11495" max="11495" width="15.6640625" style="505" bestFit="1" customWidth="1"/>
    <col min="11496" max="11496" width="15.5" style="505" customWidth="1"/>
    <col min="11497" max="11497" width="15.6640625" style="505" customWidth="1"/>
    <col min="11498" max="11498" width="15.6640625" style="505" bestFit="1" customWidth="1"/>
    <col min="11499" max="11499" width="15.83203125" style="505" customWidth="1"/>
    <col min="11500" max="11500" width="14.83203125" style="505" customWidth="1"/>
    <col min="11501" max="11501" width="14.5" style="505" customWidth="1"/>
    <col min="11502" max="11502" width="15.83203125" style="505" customWidth="1"/>
    <col min="11503" max="11503" width="12" style="505" bestFit="1" customWidth="1"/>
    <col min="11504" max="11504" width="18.6640625" style="505" customWidth="1"/>
    <col min="11505" max="11505" width="15.1640625" style="505" customWidth="1"/>
    <col min="11506" max="11506" width="15.6640625" style="505" bestFit="1" customWidth="1"/>
    <col min="11507" max="11507" width="16.33203125" style="505" customWidth="1"/>
    <col min="11508" max="11508" width="13.83203125" style="505" customWidth="1"/>
    <col min="11509" max="11509" width="18.6640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3203125" style="505" customWidth="1"/>
    <col min="11514" max="11514" width="10.83203125" style="505" customWidth="1"/>
    <col min="11515" max="11515" width="10" style="505" customWidth="1"/>
    <col min="11516" max="11516" width="17.33203125" style="505" customWidth="1"/>
    <col min="11517" max="11517" width="10.83203125" style="505" customWidth="1"/>
    <col min="11518" max="11518" width="10" style="505" customWidth="1"/>
    <col min="11519" max="11519" width="16.1640625" style="505" customWidth="1"/>
    <col min="11520" max="11520" width="10.83203125" style="505" customWidth="1"/>
    <col min="11521" max="11521" width="12" style="505" customWidth="1"/>
    <col min="11522" max="11522" width="18.83203125" style="505" customWidth="1"/>
    <col min="11523" max="11523" width="10.83203125" style="505" customWidth="1"/>
    <col min="11524" max="11524" width="16.1640625" style="505" bestFit="1" customWidth="1"/>
    <col min="11525" max="11525" width="12.33203125" style="505" bestFit="1" customWidth="1"/>
    <col min="11526" max="11526" width="10.83203125" style="505" customWidth="1"/>
    <col min="11527" max="11527" width="10" style="505" customWidth="1"/>
    <col min="11528" max="11528" width="17.5" style="505" customWidth="1"/>
    <col min="11529" max="11529" width="10.83203125" style="505" customWidth="1"/>
    <col min="11530" max="11530" width="16" style="505" customWidth="1"/>
    <col min="11531" max="11531" width="12.33203125" style="505" bestFit="1" customWidth="1"/>
    <col min="11532" max="11748" width="11" style="505"/>
    <col min="11749" max="11749" width="32.6640625" style="505" customWidth="1"/>
    <col min="11750" max="11750" width="14.5" style="505" customWidth="1"/>
    <col min="11751" max="11751" width="15.6640625" style="505" bestFit="1" customWidth="1"/>
    <col min="11752" max="11752" width="15.5" style="505" customWidth="1"/>
    <col min="11753" max="11753" width="15.6640625" style="505" customWidth="1"/>
    <col min="11754" max="11754" width="15.6640625" style="505" bestFit="1" customWidth="1"/>
    <col min="11755" max="11755" width="15.83203125" style="505" customWidth="1"/>
    <col min="11756" max="11756" width="14.83203125" style="505" customWidth="1"/>
    <col min="11757" max="11757" width="14.5" style="505" customWidth="1"/>
    <col min="11758" max="11758" width="15.83203125" style="505" customWidth="1"/>
    <col min="11759" max="11759" width="12" style="505" bestFit="1" customWidth="1"/>
    <col min="11760" max="11760" width="18.6640625" style="505" customWidth="1"/>
    <col min="11761" max="11761" width="15.1640625" style="505" customWidth="1"/>
    <col min="11762" max="11762" width="15.6640625" style="505" bestFit="1" customWidth="1"/>
    <col min="11763" max="11763" width="16.33203125" style="505" customWidth="1"/>
    <col min="11764" max="11764" width="13.83203125" style="505" customWidth="1"/>
    <col min="11765" max="11765" width="18.6640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3203125" style="505" customWidth="1"/>
    <col min="11770" max="11770" width="10.83203125" style="505" customWidth="1"/>
    <col min="11771" max="11771" width="10" style="505" customWidth="1"/>
    <col min="11772" max="11772" width="17.33203125" style="505" customWidth="1"/>
    <col min="11773" max="11773" width="10.83203125" style="505" customWidth="1"/>
    <col min="11774" max="11774" width="10" style="505" customWidth="1"/>
    <col min="11775" max="11775" width="16.1640625" style="505" customWidth="1"/>
    <col min="11776" max="11776" width="10.83203125" style="505" customWidth="1"/>
    <col min="11777" max="11777" width="12" style="505" customWidth="1"/>
    <col min="11778" max="11778" width="18.83203125" style="505" customWidth="1"/>
    <col min="11779" max="11779" width="10.83203125" style="505" customWidth="1"/>
    <col min="11780" max="11780" width="16.1640625" style="505" bestFit="1" customWidth="1"/>
    <col min="11781" max="11781" width="12.33203125" style="505" bestFit="1" customWidth="1"/>
    <col min="11782" max="11782" width="10.83203125" style="505" customWidth="1"/>
    <col min="11783" max="11783" width="10" style="505" customWidth="1"/>
    <col min="11784" max="11784" width="17.5" style="505" customWidth="1"/>
    <col min="11785" max="11785" width="10.83203125" style="505" customWidth="1"/>
    <col min="11786" max="11786" width="16" style="505" customWidth="1"/>
    <col min="11787" max="11787" width="12.33203125" style="505" bestFit="1" customWidth="1"/>
    <col min="11788" max="12004" width="11" style="505"/>
    <col min="12005" max="12005" width="32.6640625" style="505" customWidth="1"/>
    <col min="12006" max="12006" width="14.5" style="505" customWidth="1"/>
    <col min="12007" max="12007" width="15.6640625" style="505" bestFit="1" customWidth="1"/>
    <col min="12008" max="12008" width="15.5" style="505" customWidth="1"/>
    <col min="12009" max="12009" width="15.6640625" style="505" customWidth="1"/>
    <col min="12010" max="12010" width="15.6640625" style="505" bestFit="1" customWidth="1"/>
    <col min="12011" max="12011" width="15.83203125" style="505" customWidth="1"/>
    <col min="12012" max="12012" width="14.83203125" style="505" customWidth="1"/>
    <col min="12013" max="12013" width="14.5" style="505" customWidth="1"/>
    <col min="12014" max="12014" width="15.83203125" style="505" customWidth="1"/>
    <col min="12015" max="12015" width="12" style="505" bestFit="1" customWidth="1"/>
    <col min="12016" max="12016" width="18.6640625" style="505" customWidth="1"/>
    <col min="12017" max="12017" width="15.1640625" style="505" customWidth="1"/>
    <col min="12018" max="12018" width="15.6640625" style="505" bestFit="1" customWidth="1"/>
    <col min="12019" max="12019" width="16.33203125" style="505" customWidth="1"/>
    <col min="12020" max="12020" width="13.83203125" style="505" customWidth="1"/>
    <col min="12021" max="12021" width="18.6640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3203125" style="505" customWidth="1"/>
    <col min="12026" max="12026" width="10.83203125" style="505" customWidth="1"/>
    <col min="12027" max="12027" width="10" style="505" customWidth="1"/>
    <col min="12028" max="12028" width="17.33203125" style="505" customWidth="1"/>
    <col min="12029" max="12029" width="10.83203125" style="505" customWidth="1"/>
    <col min="12030" max="12030" width="10" style="505" customWidth="1"/>
    <col min="12031" max="12031" width="16.1640625" style="505" customWidth="1"/>
    <col min="12032" max="12032" width="10.83203125" style="505" customWidth="1"/>
    <col min="12033" max="12033" width="12" style="505" customWidth="1"/>
    <col min="12034" max="12034" width="18.83203125" style="505" customWidth="1"/>
    <col min="12035" max="12035" width="10.83203125" style="505" customWidth="1"/>
    <col min="12036" max="12036" width="16.1640625" style="505" bestFit="1" customWidth="1"/>
    <col min="12037" max="12037" width="12.33203125" style="505" bestFit="1" customWidth="1"/>
    <col min="12038" max="12038" width="10.83203125" style="505" customWidth="1"/>
    <col min="12039" max="12039" width="10" style="505" customWidth="1"/>
    <col min="12040" max="12040" width="17.5" style="505" customWidth="1"/>
    <col min="12041" max="12041" width="10.83203125" style="505" customWidth="1"/>
    <col min="12042" max="12042" width="16" style="505" customWidth="1"/>
    <col min="12043" max="12043" width="12.33203125" style="505" bestFit="1" customWidth="1"/>
    <col min="12044" max="12260" width="11" style="505"/>
    <col min="12261" max="12261" width="32.6640625" style="505" customWidth="1"/>
    <col min="12262" max="12262" width="14.5" style="505" customWidth="1"/>
    <col min="12263" max="12263" width="15.6640625" style="505" bestFit="1" customWidth="1"/>
    <col min="12264" max="12264" width="15.5" style="505" customWidth="1"/>
    <col min="12265" max="12265" width="15.6640625" style="505" customWidth="1"/>
    <col min="12266" max="12266" width="15.6640625" style="505" bestFit="1" customWidth="1"/>
    <col min="12267" max="12267" width="15.83203125" style="505" customWidth="1"/>
    <col min="12268" max="12268" width="14.83203125" style="505" customWidth="1"/>
    <col min="12269" max="12269" width="14.5" style="505" customWidth="1"/>
    <col min="12270" max="12270" width="15.83203125" style="505" customWidth="1"/>
    <col min="12271" max="12271" width="12" style="505" bestFit="1" customWidth="1"/>
    <col min="12272" max="12272" width="18.6640625" style="505" customWidth="1"/>
    <col min="12273" max="12273" width="15.1640625" style="505" customWidth="1"/>
    <col min="12274" max="12274" width="15.6640625" style="505" bestFit="1" customWidth="1"/>
    <col min="12275" max="12275" width="16.33203125" style="505" customWidth="1"/>
    <col min="12276" max="12276" width="13.83203125" style="505" customWidth="1"/>
    <col min="12277" max="12277" width="18.6640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3203125" style="505" customWidth="1"/>
    <col min="12282" max="12282" width="10.83203125" style="505" customWidth="1"/>
    <col min="12283" max="12283" width="10" style="505" customWidth="1"/>
    <col min="12284" max="12284" width="17.33203125" style="505" customWidth="1"/>
    <col min="12285" max="12285" width="10.83203125" style="505" customWidth="1"/>
    <col min="12286" max="12286" width="10" style="505" customWidth="1"/>
    <col min="12287" max="12287" width="16.1640625" style="505" customWidth="1"/>
    <col min="12288" max="12288" width="10.83203125" style="505" customWidth="1"/>
    <col min="12289" max="12289" width="12" style="505" customWidth="1"/>
    <col min="12290" max="12290" width="18.83203125" style="505" customWidth="1"/>
    <col min="12291" max="12291" width="10.83203125" style="505" customWidth="1"/>
    <col min="12292" max="12292" width="16.1640625" style="505" bestFit="1" customWidth="1"/>
    <col min="12293" max="12293" width="12.33203125" style="505" bestFit="1" customWidth="1"/>
    <col min="12294" max="12294" width="10.83203125" style="505" customWidth="1"/>
    <col min="12295" max="12295" width="10" style="505" customWidth="1"/>
    <col min="12296" max="12296" width="17.5" style="505" customWidth="1"/>
    <col min="12297" max="12297" width="10.83203125" style="505" customWidth="1"/>
    <col min="12298" max="12298" width="16" style="505" customWidth="1"/>
    <col min="12299" max="12299" width="12.33203125" style="505" bestFit="1" customWidth="1"/>
    <col min="12300" max="12516" width="11" style="505"/>
    <col min="12517" max="12517" width="32.6640625" style="505" customWidth="1"/>
    <col min="12518" max="12518" width="14.5" style="505" customWidth="1"/>
    <col min="12519" max="12519" width="15.6640625" style="505" bestFit="1" customWidth="1"/>
    <col min="12520" max="12520" width="15.5" style="505" customWidth="1"/>
    <col min="12521" max="12521" width="15.6640625" style="505" customWidth="1"/>
    <col min="12522" max="12522" width="15.6640625" style="505" bestFit="1" customWidth="1"/>
    <col min="12523" max="12523" width="15.83203125" style="505" customWidth="1"/>
    <col min="12524" max="12524" width="14.83203125" style="505" customWidth="1"/>
    <col min="12525" max="12525" width="14.5" style="505" customWidth="1"/>
    <col min="12526" max="12526" width="15.83203125" style="505" customWidth="1"/>
    <col min="12527" max="12527" width="12" style="505" bestFit="1" customWidth="1"/>
    <col min="12528" max="12528" width="18.6640625" style="505" customWidth="1"/>
    <col min="12529" max="12529" width="15.1640625" style="505" customWidth="1"/>
    <col min="12530" max="12530" width="15.6640625" style="505" bestFit="1" customWidth="1"/>
    <col min="12531" max="12531" width="16.33203125" style="505" customWidth="1"/>
    <col min="12532" max="12532" width="13.83203125" style="505" customWidth="1"/>
    <col min="12533" max="12533" width="18.6640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3203125" style="505" customWidth="1"/>
    <col min="12538" max="12538" width="10.83203125" style="505" customWidth="1"/>
    <col min="12539" max="12539" width="10" style="505" customWidth="1"/>
    <col min="12540" max="12540" width="17.33203125" style="505" customWidth="1"/>
    <col min="12541" max="12541" width="10.83203125" style="505" customWidth="1"/>
    <col min="12542" max="12542" width="10" style="505" customWidth="1"/>
    <col min="12543" max="12543" width="16.1640625" style="505" customWidth="1"/>
    <col min="12544" max="12544" width="10.83203125" style="505" customWidth="1"/>
    <col min="12545" max="12545" width="12" style="505" customWidth="1"/>
    <col min="12546" max="12546" width="18.83203125" style="505" customWidth="1"/>
    <col min="12547" max="12547" width="10.83203125" style="505" customWidth="1"/>
    <col min="12548" max="12548" width="16.1640625" style="505" bestFit="1" customWidth="1"/>
    <col min="12549" max="12549" width="12.33203125" style="505" bestFit="1" customWidth="1"/>
    <col min="12550" max="12550" width="10.83203125" style="505" customWidth="1"/>
    <col min="12551" max="12551" width="10" style="505" customWidth="1"/>
    <col min="12552" max="12552" width="17.5" style="505" customWidth="1"/>
    <col min="12553" max="12553" width="10.83203125" style="505" customWidth="1"/>
    <col min="12554" max="12554" width="16" style="505" customWidth="1"/>
    <col min="12555" max="12555" width="12.33203125" style="505" bestFit="1" customWidth="1"/>
    <col min="12556" max="12772" width="11" style="505"/>
    <col min="12773" max="12773" width="32.6640625" style="505" customWidth="1"/>
    <col min="12774" max="12774" width="14.5" style="505" customWidth="1"/>
    <col min="12775" max="12775" width="15.6640625" style="505" bestFit="1" customWidth="1"/>
    <col min="12776" max="12776" width="15.5" style="505" customWidth="1"/>
    <col min="12777" max="12777" width="15.6640625" style="505" customWidth="1"/>
    <col min="12778" max="12778" width="15.6640625" style="505" bestFit="1" customWidth="1"/>
    <col min="12779" max="12779" width="15.83203125" style="505" customWidth="1"/>
    <col min="12780" max="12780" width="14.83203125" style="505" customWidth="1"/>
    <col min="12781" max="12781" width="14.5" style="505" customWidth="1"/>
    <col min="12782" max="12782" width="15.83203125" style="505" customWidth="1"/>
    <col min="12783" max="12783" width="12" style="505" bestFit="1" customWidth="1"/>
    <col min="12784" max="12784" width="18.6640625" style="505" customWidth="1"/>
    <col min="12785" max="12785" width="15.1640625" style="505" customWidth="1"/>
    <col min="12786" max="12786" width="15.6640625" style="505" bestFit="1" customWidth="1"/>
    <col min="12787" max="12787" width="16.33203125" style="505" customWidth="1"/>
    <col min="12788" max="12788" width="13.83203125" style="505" customWidth="1"/>
    <col min="12789" max="12789" width="18.6640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3203125" style="505" customWidth="1"/>
    <col min="12794" max="12794" width="10.83203125" style="505" customWidth="1"/>
    <col min="12795" max="12795" width="10" style="505" customWidth="1"/>
    <col min="12796" max="12796" width="17.33203125" style="505" customWidth="1"/>
    <col min="12797" max="12797" width="10.83203125" style="505" customWidth="1"/>
    <col min="12798" max="12798" width="10" style="505" customWidth="1"/>
    <col min="12799" max="12799" width="16.1640625" style="505" customWidth="1"/>
    <col min="12800" max="12800" width="10.83203125" style="505" customWidth="1"/>
    <col min="12801" max="12801" width="12" style="505" customWidth="1"/>
    <col min="12802" max="12802" width="18.83203125" style="505" customWidth="1"/>
    <col min="12803" max="12803" width="10.83203125" style="505" customWidth="1"/>
    <col min="12804" max="12804" width="16.1640625" style="505" bestFit="1" customWidth="1"/>
    <col min="12805" max="12805" width="12.33203125" style="505" bestFit="1" customWidth="1"/>
    <col min="12806" max="12806" width="10.83203125" style="505" customWidth="1"/>
    <col min="12807" max="12807" width="10" style="505" customWidth="1"/>
    <col min="12808" max="12808" width="17.5" style="505" customWidth="1"/>
    <col min="12809" max="12809" width="10.83203125" style="505" customWidth="1"/>
    <col min="12810" max="12810" width="16" style="505" customWidth="1"/>
    <col min="12811" max="12811" width="12.33203125" style="505" bestFit="1" customWidth="1"/>
    <col min="12812" max="13028" width="11" style="505"/>
    <col min="13029" max="13029" width="32.6640625" style="505" customWidth="1"/>
    <col min="13030" max="13030" width="14.5" style="505" customWidth="1"/>
    <col min="13031" max="13031" width="15.6640625" style="505" bestFit="1" customWidth="1"/>
    <col min="13032" max="13032" width="15.5" style="505" customWidth="1"/>
    <col min="13033" max="13033" width="15.6640625" style="505" customWidth="1"/>
    <col min="13034" max="13034" width="15.6640625" style="505" bestFit="1" customWidth="1"/>
    <col min="13035" max="13035" width="15.83203125" style="505" customWidth="1"/>
    <col min="13036" max="13036" width="14.83203125" style="505" customWidth="1"/>
    <col min="13037" max="13037" width="14.5" style="505" customWidth="1"/>
    <col min="13038" max="13038" width="15.83203125" style="505" customWidth="1"/>
    <col min="13039" max="13039" width="12" style="505" bestFit="1" customWidth="1"/>
    <col min="13040" max="13040" width="18.6640625" style="505" customWidth="1"/>
    <col min="13041" max="13041" width="15.1640625" style="505" customWidth="1"/>
    <col min="13042" max="13042" width="15.6640625" style="505" bestFit="1" customWidth="1"/>
    <col min="13043" max="13043" width="16.33203125" style="505" customWidth="1"/>
    <col min="13044" max="13044" width="13.83203125" style="505" customWidth="1"/>
    <col min="13045" max="13045" width="18.6640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3203125" style="505" customWidth="1"/>
    <col min="13050" max="13050" width="10.83203125" style="505" customWidth="1"/>
    <col min="13051" max="13051" width="10" style="505" customWidth="1"/>
    <col min="13052" max="13052" width="17.33203125" style="505" customWidth="1"/>
    <col min="13053" max="13053" width="10.83203125" style="505" customWidth="1"/>
    <col min="13054" max="13054" width="10" style="505" customWidth="1"/>
    <col min="13055" max="13055" width="16.1640625" style="505" customWidth="1"/>
    <col min="13056" max="13056" width="10.83203125" style="505" customWidth="1"/>
    <col min="13057" max="13057" width="12" style="505" customWidth="1"/>
    <col min="13058" max="13058" width="18.83203125" style="505" customWidth="1"/>
    <col min="13059" max="13059" width="10.83203125" style="505" customWidth="1"/>
    <col min="13060" max="13060" width="16.1640625" style="505" bestFit="1" customWidth="1"/>
    <col min="13061" max="13061" width="12.33203125" style="505" bestFit="1" customWidth="1"/>
    <col min="13062" max="13062" width="10.83203125" style="505" customWidth="1"/>
    <col min="13063" max="13063" width="10" style="505" customWidth="1"/>
    <col min="13064" max="13064" width="17.5" style="505" customWidth="1"/>
    <col min="13065" max="13065" width="10.83203125" style="505" customWidth="1"/>
    <col min="13066" max="13066" width="16" style="505" customWidth="1"/>
    <col min="13067" max="13067" width="12.33203125" style="505" bestFit="1" customWidth="1"/>
    <col min="13068" max="13284" width="11" style="505"/>
    <col min="13285" max="13285" width="32.6640625" style="505" customWidth="1"/>
    <col min="13286" max="13286" width="14.5" style="505" customWidth="1"/>
    <col min="13287" max="13287" width="15.6640625" style="505" bestFit="1" customWidth="1"/>
    <col min="13288" max="13288" width="15.5" style="505" customWidth="1"/>
    <col min="13289" max="13289" width="15.6640625" style="505" customWidth="1"/>
    <col min="13290" max="13290" width="15.6640625" style="505" bestFit="1" customWidth="1"/>
    <col min="13291" max="13291" width="15.83203125" style="505" customWidth="1"/>
    <col min="13292" max="13292" width="14.83203125" style="505" customWidth="1"/>
    <col min="13293" max="13293" width="14.5" style="505" customWidth="1"/>
    <col min="13294" max="13294" width="15.83203125" style="505" customWidth="1"/>
    <col min="13295" max="13295" width="12" style="505" bestFit="1" customWidth="1"/>
    <col min="13296" max="13296" width="18.6640625" style="505" customWidth="1"/>
    <col min="13297" max="13297" width="15.1640625" style="505" customWidth="1"/>
    <col min="13298" max="13298" width="15.6640625" style="505" bestFit="1" customWidth="1"/>
    <col min="13299" max="13299" width="16.33203125" style="505" customWidth="1"/>
    <col min="13300" max="13300" width="13.83203125" style="505" customWidth="1"/>
    <col min="13301" max="13301" width="18.6640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3203125" style="505" customWidth="1"/>
    <col min="13306" max="13306" width="10.83203125" style="505" customWidth="1"/>
    <col min="13307" max="13307" width="10" style="505" customWidth="1"/>
    <col min="13308" max="13308" width="17.33203125" style="505" customWidth="1"/>
    <col min="13309" max="13309" width="10.83203125" style="505" customWidth="1"/>
    <col min="13310" max="13310" width="10" style="505" customWidth="1"/>
    <col min="13311" max="13311" width="16.1640625" style="505" customWidth="1"/>
    <col min="13312" max="13312" width="10.83203125" style="505" customWidth="1"/>
    <col min="13313" max="13313" width="12" style="505" customWidth="1"/>
    <col min="13314" max="13314" width="18.83203125" style="505" customWidth="1"/>
    <col min="13315" max="13315" width="10.83203125" style="505" customWidth="1"/>
    <col min="13316" max="13316" width="16.1640625" style="505" bestFit="1" customWidth="1"/>
    <col min="13317" max="13317" width="12.33203125" style="505" bestFit="1" customWidth="1"/>
    <col min="13318" max="13318" width="10.83203125" style="505" customWidth="1"/>
    <col min="13319" max="13319" width="10" style="505" customWidth="1"/>
    <col min="13320" max="13320" width="17.5" style="505" customWidth="1"/>
    <col min="13321" max="13321" width="10.83203125" style="505" customWidth="1"/>
    <col min="13322" max="13322" width="16" style="505" customWidth="1"/>
    <col min="13323" max="13323" width="12.33203125" style="505" bestFit="1" customWidth="1"/>
    <col min="13324" max="13540" width="11" style="505"/>
    <col min="13541" max="13541" width="32.6640625" style="505" customWidth="1"/>
    <col min="13542" max="13542" width="14.5" style="505" customWidth="1"/>
    <col min="13543" max="13543" width="15.6640625" style="505" bestFit="1" customWidth="1"/>
    <col min="13544" max="13544" width="15.5" style="505" customWidth="1"/>
    <col min="13545" max="13545" width="15.6640625" style="505" customWidth="1"/>
    <col min="13546" max="13546" width="15.6640625" style="505" bestFit="1" customWidth="1"/>
    <col min="13547" max="13547" width="15.83203125" style="505" customWidth="1"/>
    <col min="13548" max="13548" width="14.83203125" style="505" customWidth="1"/>
    <col min="13549" max="13549" width="14.5" style="505" customWidth="1"/>
    <col min="13550" max="13550" width="15.83203125" style="505" customWidth="1"/>
    <col min="13551" max="13551" width="12" style="505" bestFit="1" customWidth="1"/>
    <col min="13552" max="13552" width="18.6640625" style="505" customWidth="1"/>
    <col min="13553" max="13553" width="15.1640625" style="505" customWidth="1"/>
    <col min="13554" max="13554" width="15.6640625" style="505" bestFit="1" customWidth="1"/>
    <col min="13555" max="13555" width="16.33203125" style="505" customWidth="1"/>
    <col min="13556" max="13556" width="13.83203125" style="505" customWidth="1"/>
    <col min="13557" max="13557" width="18.6640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3203125" style="505" customWidth="1"/>
    <col min="13562" max="13562" width="10.83203125" style="505" customWidth="1"/>
    <col min="13563" max="13563" width="10" style="505" customWidth="1"/>
    <col min="13564" max="13564" width="17.33203125" style="505" customWidth="1"/>
    <col min="13565" max="13565" width="10.83203125" style="505" customWidth="1"/>
    <col min="13566" max="13566" width="10" style="505" customWidth="1"/>
    <col min="13567" max="13567" width="16.1640625" style="505" customWidth="1"/>
    <col min="13568" max="13568" width="10.83203125" style="505" customWidth="1"/>
    <col min="13569" max="13569" width="12" style="505" customWidth="1"/>
    <col min="13570" max="13570" width="18.83203125" style="505" customWidth="1"/>
    <col min="13571" max="13571" width="10.83203125" style="505" customWidth="1"/>
    <col min="13572" max="13572" width="16.1640625" style="505" bestFit="1" customWidth="1"/>
    <col min="13573" max="13573" width="12.33203125" style="505" bestFit="1" customWidth="1"/>
    <col min="13574" max="13574" width="10.83203125" style="505" customWidth="1"/>
    <col min="13575" max="13575" width="10" style="505" customWidth="1"/>
    <col min="13576" max="13576" width="17.5" style="505" customWidth="1"/>
    <col min="13577" max="13577" width="10.83203125" style="505" customWidth="1"/>
    <col min="13578" max="13578" width="16" style="505" customWidth="1"/>
    <col min="13579" max="13579" width="12.33203125" style="505" bestFit="1" customWidth="1"/>
    <col min="13580" max="13796" width="11" style="505"/>
    <col min="13797" max="13797" width="32.6640625" style="505" customWidth="1"/>
    <col min="13798" max="13798" width="14.5" style="505" customWidth="1"/>
    <col min="13799" max="13799" width="15.6640625" style="505" bestFit="1" customWidth="1"/>
    <col min="13800" max="13800" width="15.5" style="505" customWidth="1"/>
    <col min="13801" max="13801" width="15.6640625" style="505" customWidth="1"/>
    <col min="13802" max="13802" width="15.6640625" style="505" bestFit="1" customWidth="1"/>
    <col min="13803" max="13803" width="15.83203125" style="505" customWidth="1"/>
    <col min="13804" max="13804" width="14.83203125" style="505" customWidth="1"/>
    <col min="13805" max="13805" width="14.5" style="505" customWidth="1"/>
    <col min="13806" max="13806" width="15.83203125" style="505" customWidth="1"/>
    <col min="13807" max="13807" width="12" style="505" bestFit="1" customWidth="1"/>
    <col min="13808" max="13808" width="18.6640625" style="505" customWidth="1"/>
    <col min="13809" max="13809" width="15.1640625" style="505" customWidth="1"/>
    <col min="13810" max="13810" width="15.6640625" style="505" bestFit="1" customWidth="1"/>
    <col min="13811" max="13811" width="16.33203125" style="505" customWidth="1"/>
    <col min="13812" max="13812" width="13.83203125" style="505" customWidth="1"/>
    <col min="13813" max="13813" width="18.6640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3203125" style="505" customWidth="1"/>
    <col min="13818" max="13818" width="10.83203125" style="505" customWidth="1"/>
    <col min="13819" max="13819" width="10" style="505" customWidth="1"/>
    <col min="13820" max="13820" width="17.33203125" style="505" customWidth="1"/>
    <col min="13821" max="13821" width="10.83203125" style="505" customWidth="1"/>
    <col min="13822" max="13822" width="10" style="505" customWidth="1"/>
    <col min="13823" max="13823" width="16.1640625" style="505" customWidth="1"/>
    <col min="13824" max="13824" width="10.83203125" style="505" customWidth="1"/>
    <col min="13825" max="13825" width="12" style="505" customWidth="1"/>
    <col min="13826" max="13826" width="18.83203125" style="505" customWidth="1"/>
    <col min="13827" max="13827" width="10.83203125" style="505" customWidth="1"/>
    <col min="13828" max="13828" width="16.1640625" style="505" bestFit="1" customWidth="1"/>
    <col min="13829" max="13829" width="12.33203125" style="505" bestFit="1" customWidth="1"/>
    <col min="13830" max="13830" width="10.83203125" style="505" customWidth="1"/>
    <col min="13831" max="13831" width="10" style="505" customWidth="1"/>
    <col min="13832" max="13832" width="17.5" style="505" customWidth="1"/>
    <col min="13833" max="13833" width="10.83203125" style="505" customWidth="1"/>
    <col min="13834" max="13834" width="16" style="505" customWidth="1"/>
    <col min="13835" max="13835" width="12.33203125" style="505" bestFit="1" customWidth="1"/>
    <col min="13836" max="14052" width="11" style="505"/>
    <col min="14053" max="14053" width="32.6640625" style="505" customWidth="1"/>
    <col min="14054" max="14054" width="14.5" style="505" customWidth="1"/>
    <col min="14055" max="14055" width="15.6640625" style="505" bestFit="1" customWidth="1"/>
    <col min="14056" max="14056" width="15.5" style="505" customWidth="1"/>
    <col min="14057" max="14057" width="15.6640625" style="505" customWidth="1"/>
    <col min="14058" max="14058" width="15.6640625" style="505" bestFit="1" customWidth="1"/>
    <col min="14059" max="14059" width="15.83203125" style="505" customWidth="1"/>
    <col min="14060" max="14060" width="14.83203125" style="505" customWidth="1"/>
    <col min="14061" max="14061" width="14.5" style="505" customWidth="1"/>
    <col min="14062" max="14062" width="15.83203125" style="505" customWidth="1"/>
    <col min="14063" max="14063" width="12" style="505" bestFit="1" customWidth="1"/>
    <col min="14064" max="14064" width="18.6640625" style="505" customWidth="1"/>
    <col min="14065" max="14065" width="15.1640625" style="505" customWidth="1"/>
    <col min="14066" max="14066" width="15.6640625" style="505" bestFit="1" customWidth="1"/>
    <col min="14067" max="14067" width="16.33203125" style="505" customWidth="1"/>
    <col min="14068" max="14068" width="13.83203125" style="505" customWidth="1"/>
    <col min="14069" max="14069" width="18.6640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3203125" style="505" customWidth="1"/>
    <col min="14074" max="14074" width="10.83203125" style="505" customWidth="1"/>
    <col min="14075" max="14075" width="10" style="505" customWidth="1"/>
    <col min="14076" max="14076" width="17.33203125" style="505" customWidth="1"/>
    <col min="14077" max="14077" width="10.83203125" style="505" customWidth="1"/>
    <col min="14078" max="14078" width="10" style="505" customWidth="1"/>
    <col min="14079" max="14079" width="16.1640625" style="505" customWidth="1"/>
    <col min="14080" max="14080" width="10.83203125" style="505" customWidth="1"/>
    <col min="14081" max="14081" width="12" style="505" customWidth="1"/>
    <col min="14082" max="14082" width="18.83203125" style="505" customWidth="1"/>
    <col min="14083" max="14083" width="10.83203125" style="505" customWidth="1"/>
    <col min="14084" max="14084" width="16.1640625" style="505" bestFit="1" customWidth="1"/>
    <col min="14085" max="14085" width="12.33203125" style="505" bestFit="1" customWidth="1"/>
    <col min="14086" max="14086" width="10.83203125" style="505" customWidth="1"/>
    <col min="14087" max="14087" width="10" style="505" customWidth="1"/>
    <col min="14088" max="14088" width="17.5" style="505" customWidth="1"/>
    <col min="14089" max="14089" width="10.83203125" style="505" customWidth="1"/>
    <col min="14090" max="14090" width="16" style="505" customWidth="1"/>
    <col min="14091" max="14091" width="12.33203125" style="505" bestFit="1" customWidth="1"/>
    <col min="14092" max="14308" width="11" style="505"/>
    <col min="14309" max="14309" width="32.6640625" style="505" customWidth="1"/>
    <col min="14310" max="14310" width="14.5" style="505" customWidth="1"/>
    <col min="14311" max="14311" width="15.6640625" style="505" bestFit="1" customWidth="1"/>
    <col min="14312" max="14312" width="15.5" style="505" customWidth="1"/>
    <col min="14313" max="14313" width="15.6640625" style="505" customWidth="1"/>
    <col min="14314" max="14314" width="15.6640625" style="505" bestFit="1" customWidth="1"/>
    <col min="14315" max="14315" width="15.83203125" style="505" customWidth="1"/>
    <col min="14316" max="14316" width="14.83203125" style="505" customWidth="1"/>
    <col min="14317" max="14317" width="14.5" style="505" customWidth="1"/>
    <col min="14318" max="14318" width="15.83203125" style="505" customWidth="1"/>
    <col min="14319" max="14319" width="12" style="505" bestFit="1" customWidth="1"/>
    <col min="14320" max="14320" width="18.6640625" style="505" customWidth="1"/>
    <col min="14321" max="14321" width="15.1640625" style="505" customWidth="1"/>
    <col min="14322" max="14322" width="15.6640625" style="505" bestFit="1" customWidth="1"/>
    <col min="14323" max="14323" width="16.33203125" style="505" customWidth="1"/>
    <col min="14324" max="14324" width="13.83203125" style="505" customWidth="1"/>
    <col min="14325" max="14325" width="18.6640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3203125" style="505" customWidth="1"/>
    <col min="14330" max="14330" width="10.83203125" style="505" customWidth="1"/>
    <col min="14331" max="14331" width="10" style="505" customWidth="1"/>
    <col min="14332" max="14332" width="17.33203125" style="505" customWidth="1"/>
    <col min="14333" max="14333" width="10.83203125" style="505" customWidth="1"/>
    <col min="14334" max="14334" width="10" style="505" customWidth="1"/>
    <col min="14335" max="14335" width="16.1640625" style="505" customWidth="1"/>
    <col min="14336" max="14336" width="10.83203125" style="505" customWidth="1"/>
    <col min="14337" max="14337" width="12" style="505" customWidth="1"/>
    <col min="14338" max="14338" width="18.83203125" style="505" customWidth="1"/>
    <col min="14339" max="14339" width="10.83203125" style="505" customWidth="1"/>
    <col min="14340" max="14340" width="16.1640625" style="505" bestFit="1" customWidth="1"/>
    <col min="14341" max="14341" width="12.33203125" style="505" bestFit="1" customWidth="1"/>
    <col min="14342" max="14342" width="10.83203125" style="505" customWidth="1"/>
    <col min="14343" max="14343" width="10" style="505" customWidth="1"/>
    <col min="14344" max="14344" width="17.5" style="505" customWidth="1"/>
    <col min="14345" max="14345" width="10.83203125" style="505" customWidth="1"/>
    <col min="14346" max="14346" width="16" style="505" customWidth="1"/>
    <col min="14347" max="14347" width="12.33203125" style="505" bestFit="1" customWidth="1"/>
    <col min="14348" max="14564" width="11" style="505"/>
    <col min="14565" max="14565" width="32.6640625" style="505" customWidth="1"/>
    <col min="14566" max="14566" width="14.5" style="505" customWidth="1"/>
    <col min="14567" max="14567" width="15.6640625" style="505" bestFit="1" customWidth="1"/>
    <col min="14568" max="14568" width="15.5" style="505" customWidth="1"/>
    <col min="14569" max="14569" width="15.6640625" style="505" customWidth="1"/>
    <col min="14570" max="14570" width="15.6640625" style="505" bestFit="1" customWidth="1"/>
    <col min="14571" max="14571" width="15.83203125" style="505" customWidth="1"/>
    <col min="14572" max="14572" width="14.83203125" style="505" customWidth="1"/>
    <col min="14573" max="14573" width="14.5" style="505" customWidth="1"/>
    <col min="14574" max="14574" width="15.83203125" style="505" customWidth="1"/>
    <col min="14575" max="14575" width="12" style="505" bestFit="1" customWidth="1"/>
    <col min="14576" max="14576" width="18.6640625" style="505" customWidth="1"/>
    <col min="14577" max="14577" width="15.1640625" style="505" customWidth="1"/>
    <col min="14578" max="14578" width="15.6640625" style="505" bestFit="1" customWidth="1"/>
    <col min="14579" max="14579" width="16.33203125" style="505" customWidth="1"/>
    <col min="14580" max="14580" width="13.83203125" style="505" customWidth="1"/>
    <col min="14581" max="14581" width="18.6640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3203125" style="505" customWidth="1"/>
    <col min="14586" max="14586" width="10.83203125" style="505" customWidth="1"/>
    <col min="14587" max="14587" width="10" style="505" customWidth="1"/>
    <col min="14588" max="14588" width="17.33203125" style="505" customWidth="1"/>
    <col min="14589" max="14589" width="10.83203125" style="505" customWidth="1"/>
    <col min="14590" max="14590" width="10" style="505" customWidth="1"/>
    <col min="14591" max="14591" width="16.1640625" style="505" customWidth="1"/>
    <col min="14592" max="14592" width="10.83203125" style="505" customWidth="1"/>
    <col min="14593" max="14593" width="12" style="505" customWidth="1"/>
    <col min="14594" max="14594" width="18.83203125" style="505" customWidth="1"/>
    <col min="14595" max="14595" width="10.83203125" style="505" customWidth="1"/>
    <col min="14596" max="14596" width="16.1640625" style="505" bestFit="1" customWidth="1"/>
    <col min="14597" max="14597" width="12.33203125" style="505" bestFit="1" customWidth="1"/>
    <col min="14598" max="14598" width="10.83203125" style="505" customWidth="1"/>
    <col min="14599" max="14599" width="10" style="505" customWidth="1"/>
    <col min="14600" max="14600" width="17.5" style="505" customWidth="1"/>
    <col min="14601" max="14601" width="10.83203125" style="505" customWidth="1"/>
    <col min="14602" max="14602" width="16" style="505" customWidth="1"/>
    <col min="14603" max="14603" width="12.33203125" style="505" bestFit="1" customWidth="1"/>
    <col min="14604" max="14820" width="11" style="505"/>
    <col min="14821" max="14821" width="32.6640625" style="505" customWidth="1"/>
    <col min="14822" max="14822" width="14.5" style="505" customWidth="1"/>
    <col min="14823" max="14823" width="15.6640625" style="505" bestFit="1" customWidth="1"/>
    <col min="14824" max="14824" width="15.5" style="505" customWidth="1"/>
    <col min="14825" max="14825" width="15.6640625" style="505" customWidth="1"/>
    <col min="14826" max="14826" width="15.6640625" style="505" bestFit="1" customWidth="1"/>
    <col min="14827" max="14827" width="15.83203125" style="505" customWidth="1"/>
    <col min="14828" max="14828" width="14.83203125" style="505" customWidth="1"/>
    <col min="14829" max="14829" width="14.5" style="505" customWidth="1"/>
    <col min="14830" max="14830" width="15.83203125" style="505" customWidth="1"/>
    <col min="14831" max="14831" width="12" style="505" bestFit="1" customWidth="1"/>
    <col min="14832" max="14832" width="18.6640625" style="505" customWidth="1"/>
    <col min="14833" max="14833" width="15.1640625" style="505" customWidth="1"/>
    <col min="14834" max="14834" width="15.6640625" style="505" bestFit="1" customWidth="1"/>
    <col min="14835" max="14835" width="16.33203125" style="505" customWidth="1"/>
    <col min="14836" max="14836" width="13.83203125" style="505" customWidth="1"/>
    <col min="14837" max="14837" width="18.6640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3203125" style="505" customWidth="1"/>
    <col min="14842" max="14842" width="10.83203125" style="505" customWidth="1"/>
    <col min="14843" max="14843" width="10" style="505" customWidth="1"/>
    <col min="14844" max="14844" width="17.33203125" style="505" customWidth="1"/>
    <col min="14845" max="14845" width="10.83203125" style="505" customWidth="1"/>
    <col min="14846" max="14846" width="10" style="505" customWidth="1"/>
    <col min="14847" max="14847" width="16.1640625" style="505" customWidth="1"/>
    <col min="14848" max="14848" width="10.83203125" style="505" customWidth="1"/>
    <col min="14849" max="14849" width="12" style="505" customWidth="1"/>
    <col min="14850" max="14850" width="18.83203125" style="505" customWidth="1"/>
    <col min="14851" max="14851" width="10.83203125" style="505" customWidth="1"/>
    <col min="14852" max="14852" width="16.1640625" style="505" bestFit="1" customWidth="1"/>
    <col min="14853" max="14853" width="12.33203125" style="505" bestFit="1" customWidth="1"/>
    <col min="14854" max="14854" width="10.83203125" style="505" customWidth="1"/>
    <col min="14855" max="14855" width="10" style="505" customWidth="1"/>
    <col min="14856" max="14856" width="17.5" style="505" customWidth="1"/>
    <col min="14857" max="14857" width="10.83203125" style="505" customWidth="1"/>
    <col min="14858" max="14858" width="16" style="505" customWidth="1"/>
    <col min="14859" max="14859" width="12.33203125" style="505" bestFit="1" customWidth="1"/>
    <col min="14860" max="15076" width="11" style="505"/>
    <col min="15077" max="15077" width="32.6640625" style="505" customWidth="1"/>
    <col min="15078" max="15078" width="14.5" style="505" customWidth="1"/>
    <col min="15079" max="15079" width="15.6640625" style="505" bestFit="1" customWidth="1"/>
    <col min="15080" max="15080" width="15.5" style="505" customWidth="1"/>
    <col min="15081" max="15081" width="15.6640625" style="505" customWidth="1"/>
    <col min="15082" max="15082" width="15.6640625" style="505" bestFit="1" customWidth="1"/>
    <col min="15083" max="15083" width="15.83203125" style="505" customWidth="1"/>
    <col min="15084" max="15084" width="14.83203125" style="505" customWidth="1"/>
    <col min="15085" max="15085" width="14.5" style="505" customWidth="1"/>
    <col min="15086" max="15086" width="15.83203125" style="505" customWidth="1"/>
    <col min="15087" max="15087" width="12" style="505" bestFit="1" customWidth="1"/>
    <col min="15088" max="15088" width="18.6640625" style="505" customWidth="1"/>
    <col min="15089" max="15089" width="15.1640625" style="505" customWidth="1"/>
    <col min="15090" max="15090" width="15.6640625" style="505" bestFit="1" customWidth="1"/>
    <col min="15091" max="15091" width="16.33203125" style="505" customWidth="1"/>
    <col min="15092" max="15092" width="13.83203125" style="505" customWidth="1"/>
    <col min="15093" max="15093" width="18.6640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3203125" style="505" customWidth="1"/>
    <col min="15098" max="15098" width="10.83203125" style="505" customWidth="1"/>
    <col min="15099" max="15099" width="10" style="505" customWidth="1"/>
    <col min="15100" max="15100" width="17.33203125" style="505" customWidth="1"/>
    <col min="15101" max="15101" width="10.83203125" style="505" customWidth="1"/>
    <col min="15102" max="15102" width="10" style="505" customWidth="1"/>
    <col min="15103" max="15103" width="16.1640625" style="505" customWidth="1"/>
    <col min="15104" max="15104" width="10.83203125" style="505" customWidth="1"/>
    <col min="15105" max="15105" width="12" style="505" customWidth="1"/>
    <col min="15106" max="15106" width="18.83203125" style="505" customWidth="1"/>
    <col min="15107" max="15107" width="10.83203125" style="505" customWidth="1"/>
    <col min="15108" max="15108" width="16.1640625" style="505" bestFit="1" customWidth="1"/>
    <col min="15109" max="15109" width="12.33203125" style="505" bestFit="1" customWidth="1"/>
    <col min="15110" max="15110" width="10.83203125" style="505" customWidth="1"/>
    <col min="15111" max="15111" width="10" style="505" customWidth="1"/>
    <col min="15112" max="15112" width="17.5" style="505" customWidth="1"/>
    <col min="15113" max="15113" width="10.83203125" style="505" customWidth="1"/>
    <col min="15114" max="15114" width="16" style="505" customWidth="1"/>
    <col min="15115" max="15115" width="12.33203125" style="505" bestFit="1" customWidth="1"/>
    <col min="15116" max="15332" width="11" style="505"/>
    <col min="15333" max="15333" width="32.6640625" style="505" customWidth="1"/>
    <col min="15334" max="15334" width="14.5" style="505" customWidth="1"/>
    <col min="15335" max="15335" width="15.6640625" style="505" bestFit="1" customWidth="1"/>
    <col min="15336" max="15336" width="15.5" style="505" customWidth="1"/>
    <col min="15337" max="15337" width="15.6640625" style="505" customWidth="1"/>
    <col min="15338" max="15338" width="15.6640625" style="505" bestFit="1" customWidth="1"/>
    <col min="15339" max="15339" width="15.83203125" style="505" customWidth="1"/>
    <col min="15340" max="15340" width="14.83203125" style="505" customWidth="1"/>
    <col min="15341" max="15341" width="14.5" style="505" customWidth="1"/>
    <col min="15342" max="15342" width="15.83203125" style="505" customWidth="1"/>
    <col min="15343" max="15343" width="12" style="505" bestFit="1" customWidth="1"/>
    <col min="15344" max="15344" width="18.6640625" style="505" customWidth="1"/>
    <col min="15345" max="15345" width="15.1640625" style="505" customWidth="1"/>
    <col min="15346" max="15346" width="15.6640625" style="505" bestFit="1" customWidth="1"/>
    <col min="15347" max="15347" width="16.33203125" style="505" customWidth="1"/>
    <col min="15348" max="15348" width="13.83203125" style="505" customWidth="1"/>
    <col min="15349" max="15349" width="18.6640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3203125" style="505" customWidth="1"/>
    <col min="15354" max="15354" width="10.83203125" style="505" customWidth="1"/>
    <col min="15355" max="15355" width="10" style="505" customWidth="1"/>
    <col min="15356" max="15356" width="17.33203125" style="505" customWidth="1"/>
    <col min="15357" max="15357" width="10.83203125" style="505" customWidth="1"/>
    <col min="15358" max="15358" width="10" style="505" customWidth="1"/>
    <col min="15359" max="15359" width="16.1640625" style="505" customWidth="1"/>
    <col min="15360" max="15360" width="10.83203125" style="505" customWidth="1"/>
    <col min="15361" max="15361" width="12" style="505" customWidth="1"/>
    <col min="15362" max="15362" width="18.83203125" style="505" customWidth="1"/>
    <col min="15363" max="15363" width="10.83203125" style="505" customWidth="1"/>
    <col min="15364" max="15364" width="16.1640625" style="505" bestFit="1" customWidth="1"/>
    <col min="15365" max="15365" width="12.33203125" style="505" bestFit="1" customWidth="1"/>
    <col min="15366" max="15366" width="10.83203125" style="505" customWidth="1"/>
    <col min="15367" max="15367" width="10" style="505" customWidth="1"/>
    <col min="15368" max="15368" width="17.5" style="505" customWidth="1"/>
    <col min="15369" max="15369" width="10.83203125" style="505" customWidth="1"/>
    <col min="15370" max="15370" width="16" style="505" customWidth="1"/>
    <col min="15371" max="15371" width="12.33203125" style="505" bestFit="1" customWidth="1"/>
    <col min="15372" max="15588" width="11" style="505"/>
    <col min="15589" max="15589" width="32.6640625" style="505" customWidth="1"/>
    <col min="15590" max="15590" width="14.5" style="505" customWidth="1"/>
    <col min="15591" max="15591" width="15.6640625" style="505" bestFit="1" customWidth="1"/>
    <col min="15592" max="15592" width="15.5" style="505" customWidth="1"/>
    <col min="15593" max="15593" width="15.6640625" style="505" customWidth="1"/>
    <col min="15594" max="15594" width="15.6640625" style="505" bestFit="1" customWidth="1"/>
    <col min="15595" max="15595" width="15.83203125" style="505" customWidth="1"/>
    <col min="15596" max="15596" width="14.83203125" style="505" customWidth="1"/>
    <col min="15597" max="15597" width="14.5" style="505" customWidth="1"/>
    <col min="15598" max="15598" width="15.83203125" style="505" customWidth="1"/>
    <col min="15599" max="15599" width="12" style="505" bestFit="1" customWidth="1"/>
    <col min="15600" max="15600" width="18.6640625" style="505" customWidth="1"/>
    <col min="15601" max="15601" width="15.1640625" style="505" customWidth="1"/>
    <col min="15602" max="15602" width="15.6640625" style="505" bestFit="1" customWidth="1"/>
    <col min="15603" max="15603" width="16.33203125" style="505" customWidth="1"/>
    <col min="15604" max="15604" width="13.83203125" style="505" customWidth="1"/>
    <col min="15605" max="15605" width="18.6640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3203125" style="505" customWidth="1"/>
    <col min="15610" max="15610" width="10.83203125" style="505" customWidth="1"/>
    <col min="15611" max="15611" width="10" style="505" customWidth="1"/>
    <col min="15612" max="15612" width="17.33203125" style="505" customWidth="1"/>
    <col min="15613" max="15613" width="10.83203125" style="505" customWidth="1"/>
    <col min="15614" max="15614" width="10" style="505" customWidth="1"/>
    <col min="15615" max="15615" width="16.1640625" style="505" customWidth="1"/>
    <col min="15616" max="15616" width="10.83203125" style="505" customWidth="1"/>
    <col min="15617" max="15617" width="12" style="505" customWidth="1"/>
    <col min="15618" max="15618" width="18.83203125" style="505" customWidth="1"/>
    <col min="15619" max="15619" width="10.83203125" style="505" customWidth="1"/>
    <col min="15620" max="15620" width="16.1640625" style="505" bestFit="1" customWidth="1"/>
    <col min="15621" max="15621" width="12.33203125" style="505" bestFit="1" customWidth="1"/>
    <col min="15622" max="15622" width="10.83203125" style="505" customWidth="1"/>
    <col min="15623" max="15623" width="10" style="505" customWidth="1"/>
    <col min="15624" max="15624" width="17.5" style="505" customWidth="1"/>
    <col min="15625" max="15625" width="10.83203125" style="505" customWidth="1"/>
    <col min="15626" max="15626" width="16" style="505" customWidth="1"/>
    <col min="15627" max="15627" width="12.33203125" style="505" bestFit="1" customWidth="1"/>
    <col min="15628" max="15844" width="11" style="505"/>
    <col min="15845" max="15845" width="32.6640625" style="505" customWidth="1"/>
    <col min="15846" max="15846" width="14.5" style="505" customWidth="1"/>
    <col min="15847" max="15847" width="15.6640625" style="505" bestFit="1" customWidth="1"/>
    <col min="15848" max="15848" width="15.5" style="505" customWidth="1"/>
    <col min="15849" max="15849" width="15.6640625" style="505" customWidth="1"/>
    <col min="15850" max="15850" width="15.6640625" style="505" bestFit="1" customWidth="1"/>
    <col min="15851" max="15851" width="15.83203125" style="505" customWidth="1"/>
    <col min="15852" max="15852" width="14.83203125" style="505" customWidth="1"/>
    <col min="15853" max="15853" width="14.5" style="505" customWidth="1"/>
    <col min="15854" max="15854" width="15.83203125" style="505" customWidth="1"/>
    <col min="15855" max="15855" width="12" style="505" bestFit="1" customWidth="1"/>
    <col min="15856" max="15856" width="18.6640625" style="505" customWidth="1"/>
    <col min="15857" max="15857" width="15.1640625" style="505" customWidth="1"/>
    <col min="15858" max="15858" width="15.6640625" style="505" bestFit="1" customWidth="1"/>
    <col min="15859" max="15859" width="16.33203125" style="505" customWidth="1"/>
    <col min="15860" max="15860" width="13.83203125" style="505" customWidth="1"/>
    <col min="15861" max="15861" width="18.6640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3203125" style="505" customWidth="1"/>
    <col min="15866" max="15866" width="10.83203125" style="505" customWidth="1"/>
    <col min="15867" max="15867" width="10" style="505" customWidth="1"/>
    <col min="15868" max="15868" width="17.33203125" style="505" customWidth="1"/>
    <col min="15869" max="15869" width="10.83203125" style="505" customWidth="1"/>
    <col min="15870" max="15870" width="10" style="505" customWidth="1"/>
    <col min="15871" max="15871" width="16.1640625" style="505" customWidth="1"/>
    <col min="15872" max="15872" width="10.83203125" style="505" customWidth="1"/>
    <col min="15873" max="15873" width="12" style="505" customWidth="1"/>
    <col min="15874" max="15874" width="18.83203125" style="505" customWidth="1"/>
    <col min="15875" max="15875" width="10.83203125" style="505" customWidth="1"/>
    <col min="15876" max="15876" width="16.1640625" style="505" bestFit="1" customWidth="1"/>
    <col min="15877" max="15877" width="12.33203125" style="505" bestFit="1" customWidth="1"/>
    <col min="15878" max="15878" width="10.83203125" style="505" customWidth="1"/>
    <col min="15879" max="15879" width="10" style="505" customWidth="1"/>
    <col min="15880" max="15880" width="17.5" style="505" customWidth="1"/>
    <col min="15881" max="15881" width="10.83203125" style="505" customWidth="1"/>
    <col min="15882" max="15882" width="16" style="505" customWidth="1"/>
    <col min="15883" max="15883" width="12.33203125" style="505" bestFit="1" customWidth="1"/>
    <col min="15884" max="16100" width="11" style="505"/>
    <col min="16101" max="16101" width="32.6640625" style="505" customWidth="1"/>
    <col min="16102" max="16102" width="14.5" style="505" customWidth="1"/>
    <col min="16103" max="16103" width="15.6640625" style="505" bestFit="1" customWidth="1"/>
    <col min="16104" max="16104" width="15.5" style="505" customWidth="1"/>
    <col min="16105" max="16105" width="15.6640625" style="505" customWidth="1"/>
    <col min="16106" max="16106" width="15.6640625" style="505" bestFit="1" customWidth="1"/>
    <col min="16107" max="16107" width="15.83203125" style="505" customWidth="1"/>
    <col min="16108" max="16108" width="14.83203125" style="505" customWidth="1"/>
    <col min="16109" max="16109" width="14.5" style="505" customWidth="1"/>
    <col min="16110" max="16110" width="15.83203125" style="505" customWidth="1"/>
    <col min="16111" max="16111" width="12" style="505" bestFit="1" customWidth="1"/>
    <col min="16112" max="16112" width="18.6640625" style="505" customWidth="1"/>
    <col min="16113" max="16113" width="15.1640625" style="505" customWidth="1"/>
    <col min="16114" max="16114" width="15.6640625" style="505" bestFit="1" customWidth="1"/>
    <col min="16115" max="16115" width="16.33203125" style="505" customWidth="1"/>
    <col min="16116" max="16116" width="13.83203125" style="505" customWidth="1"/>
    <col min="16117" max="16117" width="18.6640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3203125" style="505" customWidth="1"/>
    <col min="16122" max="16122" width="10.83203125" style="505" customWidth="1"/>
    <col min="16123" max="16123" width="10" style="505" customWidth="1"/>
    <col min="16124" max="16124" width="17.33203125" style="505" customWidth="1"/>
    <col min="16125" max="16125" width="10.83203125" style="505" customWidth="1"/>
    <col min="16126" max="16126" width="10" style="505" customWidth="1"/>
    <col min="16127" max="16127" width="16.1640625" style="505" customWidth="1"/>
    <col min="16128" max="16128" width="10.83203125" style="505" customWidth="1"/>
    <col min="16129" max="16129" width="12" style="505" customWidth="1"/>
    <col min="16130" max="16130" width="18.83203125" style="505" customWidth="1"/>
    <col min="16131" max="16131" width="10.83203125" style="505" customWidth="1"/>
    <col min="16132" max="16132" width="16.1640625" style="505" bestFit="1" customWidth="1"/>
    <col min="16133" max="16133" width="12.33203125" style="505" bestFit="1" customWidth="1"/>
    <col min="16134" max="16134" width="10.83203125" style="505" customWidth="1"/>
    <col min="16135" max="16135" width="10" style="505" customWidth="1"/>
    <col min="16136" max="16136" width="17.5" style="505" customWidth="1"/>
    <col min="16137" max="16137" width="10.83203125" style="505" customWidth="1"/>
    <col min="16138" max="16138" width="16" style="505" customWidth="1"/>
    <col min="16139" max="16139" width="12.33203125" style="505" bestFit="1" customWidth="1"/>
    <col min="16140" max="16384" width="11" style="505"/>
  </cols>
  <sheetData>
    <row r="1" spans="1:219" ht="35">
      <c r="B1" s="1442" t="str">
        <f>"Budget 2023 Mensuel"&amp;" "&amp;Parametres!$B$1</f>
        <v>Budget 2023 Mensuel BMW Sherbrooke</v>
      </c>
      <c r="C1" s="1442"/>
      <c r="D1" s="1442"/>
      <c r="E1" s="1442"/>
      <c r="F1" s="1442"/>
      <c r="G1" s="1442"/>
      <c r="H1" s="1442"/>
      <c r="I1" s="1442"/>
      <c r="J1" s="1442"/>
      <c r="K1" s="1442"/>
      <c r="L1" s="1442"/>
      <c r="M1" s="1442"/>
      <c r="N1" s="1442"/>
      <c r="O1" s="1442"/>
      <c r="P1" s="1442"/>
      <c r="Q1" s="1442"/>
      <c r="R1" s="1442"/>
      <c r="S1" s="1442"/>
      <c r="T1" s="1442"/>
      <c r="U1" s="1442"/>
      <c r="V1" s="1442"/>
      <c r="W1" s="1442"/>
      <c r="X1" s="1442"/>
      <c r="Y1" s="1442"/>
      <c r="Z1" s="1442"/>
      <c r="AA1" s="1442"/>
      <c r="AB1" s="1442"/>
      <c r="AC1" s="1442"/>
      <c r="AD1" s="1442"/>
      <c r="AE1" s="1442"/>
      <c r="AF1" s="1442"/>
      <c r="AG1" s="1442"/>
      <c r="AH1" s="1442"/>
      <c r="AI1" s="1442"/>
      <c r="AJ1" s="1442"/>
      <c r="AK1" s="1442"/>
      <c r="AL1" s="1442"/>
      <c r="AM1" s="1442"/>
      <c r="AN1" s="1442"/>
      <c r="AO1" s="1442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>X</v>
      </c>
      <c r="Y2" s="531" t="str">
        <f>+IF(Parametres!$B$3=X$6,"O","")</f>
        <v>O</v>
      </c>
      <c r="Z2" s="531" t="str">
        <f>+IF(Parametres!$B$3=X$6,"U","")</f>
        <v>U</v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">
      <c r="A4" s="506"/>
      <c r="B4" s="506" t="s">
        <v>2942</v>
      </c>
      <c r="C4" s="1443" t="s">
        <v>75</v>
      </c>
      <c r="D4" s="1443"/>
      <c r="E4" s="1443"/>
      <c r="F4" s="1443"/>
      <c r="G4" s="1443"/>
      <c r="H4" s="1443"/>
      <c r="I4" s="1443"/>
      <c r="J4" s="1443"/>
      <c r="K4" s="1443"/>
      <c r="L4" s="1443"/>
      <c r="M4" s="1443"/>
      <c r="N4" s="1443"/>
      <c r="O4" s="1443"/>
      <c r="P4" s="1443"/>
      <c r="Q4" s="1443"/>
      <c r="R4" s="1443"/>
      <c r="S4" s="1443"/>
      <c r="T4" s="1443"/>
      <c r="U4" s="1443"/>
      <c r="V4" s="1443"/>
      <c r="W4" s="1443"/>
      <c r="X4" s="1443"/>
      <c r="Y4" s="1443"/>
      <c r="Z4" s="1443"/>
      <c r="AA4" s="1443"/>
      <c r="AB4" s="1443"/>
      <c r="AC4" s="1443"/>
      <c r="AD4" s="1443"/>
      <c r="AE4" s="1443"/>
      <c r="AF4" s="1443"/>
      <c r="AG4" s="1443"/>
      <c r="AH4" s="1443"/>
      <c r="AI4" s="1443"/>
      <c r="AJ4" s="1443"/>
      <c r="AK4" s="1443"/>
      <c r="AL4" s="1443"/>
      <c r="AM4" s="1443"/>
      <c r="AN4" s="1443"/>
      <c r="AO4" s="1443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48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">
      <c r="A7" s="532"/>
      <c r="B7" s="1052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">
      <c r="A8" s="533" t="str">
        <f>+$C$4&amp;B8</f>
        <v>Véhicules neufsVentes nettes</v>
      </c>
      <c r="B8" s="747" t="s">
        <v>85</v>
      </c>
      <c r="C8" s="1056"/>
      <c r="D8" s="1057"/>
      <c r="E8" s="1058">
        <f t="shared" ref="C8:E15" si="0">+SUM(H8,K8,N8,Q8,T8,W8,Z8,AC8,AF8,AI8,AL8,AO8)</f>
        <v>23267081.259999979</v>
      </c>
      <c r="F8" s="1056"/>
      <c r="G8" s="1057"/>
      <c r="H8" s="1059">
        <v>1154140.25999999</v>
      </c>
      <c r="I8" s="1056"/>
      <c r="J8" s="1057"/>
      <c r="K8" s="1059">
        <v>894956.53</v>
      </c>
      <c r="L8" s="1056"/>
      <c r="M8" s="1057"/>
      <c r="N8" s="1059">
        <v>2417254.88</v>
      </c>
      <c r="O8" s="1056"/>
      <c r="P8" s="1057"/>
      <c r="Q8" s="1059">
        <v>2822748.81</v>
      </c>
      <c r="R8" s="1056"/>
      <c r="S8" s="1057"/>
      <c r="T8" s="1059">
        <v>3847659.49</v>
      </c>
      <c r="U8" s="1056"/>
      <c r="V8" s="1057"/>
      <c r="W8" s="1059">
        <v>1932819.03999999</v>
      </c>
      <c r="X8" s="1056"/>
      <c r="Y8" s="1057"/>
      <c r="Z8" s="1059">
        <v>1665036.25</v>
      </c>
      <c r="AA8" s="1056"/>
      <c r="AB8" s="1057"/>
      <c r="AC8" s="1059">
        <v>2051139.14</v>
      </c>
      <c r="AD8" s="1056"/>
      <c r="AE8" s="1057"/>
      <c r="AF8" s="1059">
        <v>1283561.78</v>
      </c>
      <c r="AG8" s="1056"/>
      <c r="AH8" s="1057"/>
      <c r="AI8" s="1059">
        <v>2699145.17</v>
      </c>
      <c r="AJ8" s="1056"/>
      <c r="AK8" s="1057"/>
      <c r="AL8" s="1059">
        <v>1161482.5300000003</v>
      </c>
      <c r="AM8" s="1056"/>
      <c r="AN8" s="1057"/>
      <c r="AO8" s="1059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">
      <c r="A9" s="533" t="str">
        <f t="shared" ref="A9:A72" si="1">+$C$4&amp;B9</f>
        <v>Véhicules neufsAutos détail</v>
      </c>
      <c r="B9" s="743" t="s">
        <v>86</v>
      </c>
      <c r="C9" s="1060">
        <f>+SUM(F9,I9,L9,O9,R9,U9,X9,AA9,AD9,AG9,AJ9,AM9)</f>
        <v>71</v>
      </c>
      <c r="D9" s="1061">
        <f t="shared" ref="D9:D15" si="2">IF(C9=0,0,E9/C9)</f>
        <v>5017.5660563380206</v>
      </c>
      <c r="E9" s="1062">
        <f>+SUM(H9,K9,N9,Q9,T9,W9,Z9,AC9,AF9,AI9,AL9,AO9)</f>
        <v>356247.18999999948</v>
      </c>
      <c r="F9" s="1063">
        <v>7</v>
      </c>
      <c r="G9" s="1061">
        <v>2990.1757142857</v>
      </c>
      <c r="H9" s="1064">
        <v>20931.229999999901</v>
      </c>
      <c r="I9" s="1063">
        <v>1</v>
      </c>
      <c r="J9" s="1061">
        <v>7048.8999999999896</v>
      </c>
      <c r="K9" s="1064">
        <v>7048.8999999999896</v>
      </c>
      <c r="L9" s="1063">
        <v>7</v>
      </c>
      <c r="M9" s="1061">
        <v>4363.2514285714142</v>
      </c>
      <c r="N9" s="1064">
        <v>30542.7599999999</v>
      </c>
      <c r="O9" s="1063">
        <v>6</v>
      </c>
      <c r="P9" s="1061">
        <v>6338.2116666666507</v>
      </c>
      <c r="Q9" s="1064">
        <v>38029.269999999902</v>
      </c>
      <c r="R9" s="1063">
        <v>12</v>
      </c>
      <c r="S9" s="1061">
        <v>5958.9625000000005</v>
      </c>
      <c r="T9" s="1064">
        <v>71507.55</v>
      </c>
      <c r="U9" s="1063">
        <v>9</v>
      </c>
      <c r="V9" s="1061">
        <v>5820.626666666667</v>
      </c>
      <c r="W9" s="1064">
        <v>52385.64</v>
      </c>
      <c r="X9" s="1063">
        <v>7</v>
      </c>
      <c r="Y9" s="1061">
        <v>5502.9071428571424</v>
      </c>
      <c r="Z9" s="1064">
        <v>38520.35</v>
      </c>
      <c r="AA9" s="1063">
        <v>8</v>
      </c>
      <c r="AB9" s="1061">
        <v>4828.9049999999879</v>
      </c>
      <c r="AC9" s="1064">
        <v>38631.239999999903</v>
      </c>
      <c r="AD9" s="1063">
        <v>4</v>
      </c>
      <c r="AE9" s="1061">
        <v>4088.2475000000013</v>
      </c>
      <c r="AF9" s="1064">
        <v>16352.990000000005</v>
      </c>
      <c r="AG9" s="1063">
        <v>7</v>
      </c>
      <c r="AH9" s="1061">
        <v>4017.6799999999866</v>
      </c>
      <c r="AI9" s="1064">
        <v>28123.759999999907</v>
      </c>
      <c r="AJ9" s="1063">
        <v>1</v>
      </c>
      <c r="AK9" s="1061">
        <v>4194.4400000000023</v>
      </c>
      <c r="AL9" s="1064">
        <v>4194.4400000000023</v>
      </c>
      <c r="AM9" s="1063">
        <v>2</v>
      </c>
      <c r="AN9" s="1061">
        <v>4989.5299999999988</v>
      </c>
      <c r="AO9" s="1064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">
      <c r="A10" s="533" t="str">
        <f t="shared" si="1"/>
        <v>Véhicules neufsCamions détail</v>
      </c>
      <c r="B10" s="743" t="s">
        <v>87</v>
      </c>
      <c r="C10" s="1060">
        <f t="shared" si="0"/>
        <v>132</v>
      </c>
      <c r="D10" s="1061">
        <f t="shared" si="2"/>
        <v>3751.2773484848462</v>
      </c>
      <c r="E10" s="1062">
        <f t="shared" si="0"/>
        <v>495168.60999999969</v>
      </c>
      <c r="F10" s="1063">
        <v>5</v>
      </c>
      <c r="G10" s="1061">
        <v>3884.82599999998</v>
      </c>
      <c r="H10" s="1064">
        <v>19424.129999999899</v>
      </c>
      <c r="I10" s="1063">
        <v>5</v>
      </c>
      <c r="J10" s="1061">
        <v>4052.4760000000001</v>
      </c>
      <c r="K10" s="1064">
        <v>20262.38</v>
      </c>
      <c r="L10" s="1063">
        <v>19</v>
      </c>
      <c r="M10" s="1061">
        <v>4541.608421052626</v>
      </c>
      <c r="N10" s="1064">
        <v>86290.559999999896</v>
      </c>
      <c r="O10" s="1063">
        <v>15</v>
      </c>
      <c r="P10" s="1061">
        <v>4719.5126666666665</v>
      </c>
      <c r="Q10" s="1064">
        <v>70792.69</v>
      </c>
      <c r="R10" s="1063">
        <v>23</v>
      </c>
      <c r="S10" s="1061">
        <v>3685.7178260869437</v>
      </c>
      <c r="T10" s="1064">
        <v>84771.509999999704</v>
      </c>
      <c r="U10" s="1063">
        <v>7</v>
      </c>
      <c r="V10" s="1061">
        <v>3544.4671428571428</v>
      </c>
      <c r="W10" s="1064">
        <v>24811.27</v>
      </c>
      <c r="X10" s="1063">
        <v>8</v>
      </c>
      <c r="Y10" s="1061">
        <v>3987.5362499999874</v>
      </c>
      <c r="Z10" s="1064">
        <v>31900.289999999899</v>
      </c>
      <c r="AA10" s="1063">
        <v>11</v>
      </c>
      <c r="AB10" s="1061">
        <v>3009.2290909090907</v>
      </c>
      <c r="AC10" s="1064">
        <v>33101.519999999997</v>
      </c>
      <c r="AD10" s="1063">
        <v>8</v>
      </c>
      <c r="AE10" s="1061">
        <v>3086.7737500000003</v>
      </c>
      <c r="AF10" s="1064">
        <v>24694.190000000002</v>
      </c>
      <c r="AG10" s="1063">
        <v>17</v>
      </c>
      <c r="AH10" s="1061">
        <v>2914.1311764705974</v>
      </c>
      <c r="AI10" s="1064">
        <v>49540.230000000156</v>
      </c>
      <c r="AJ10" s="1063">
        <v>8</v>
      </c>
      <c r="AK10" s="1061">
        <v>3904.0600000000122</v>
      </c>
      <c r="AL10" s="1064">
        <v>31232.480000000098</v>
      </c>
      <c r="AM10" s="1063">
        <v>6</v>
      </c>
      <c r="AN10" s="1061">
        <v>3057.8933333333334</v>
      </c>
      <c r="AO10" s="1064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">
      <c r="A11" s="533" t="str">
        <f t="shared" si="1"/>
        <v>Véhicules neufsSprinter</v>
      </c>
      <c r="B11" s="743" t="s">
        <v>88</v>
      </c>
      <c r="C11" s="1060">
        <f t="shared" si="0"/>
        <v>0</v>
      </c>
      <c r="D11" s="1061">
        <f t="shared" si="2"/>
        <v>0</v>
      </c>
      <c r="E11" s="1062">
        <f t="shared" si="0"/>
        <v>0</v>
      </c>
      <c r="F11" s="1063">
        <v>0</v>
      </c>
      <c r="G11" s="1061">
        <v>0</v>
      </c>
      <c r="H11" s="1064">
        <v>0</v>
      </c>
      <c r="I11" s="1063">
        <v>0</v>
      </c>
      <c r="J11" s="1061">
        <v>0</v>
      </c>
      <c r="K11" s="1064">
        <v>0</v>
      </c>
      <c r="L11" s="1063">
        <v>0</v>
      </c>
      <c r="M11" s="1061">
        <v>0</v>
      </c>
      <c r="N11" s="1064">
        <v>0</v>
      </c>
      <c r="O11" s="1063">
        <v>0</v>
      </c>
      <c r="P11" s="1061">
        <v>0</v>
      </c>
      <c r="Q11" s="1064">
        <v>0</v>
      </c>
      <c r="R11" s="1063">
        <v>0</v>
      </c>
      <c r="S11" s="1061">
        <v>0</v>
      </c>
      <c r="T11" s="1064">
        <v>0</v>
      </c>
      <c r="U11" s="1063">
        <v>0</v>
      </c>
      <c r="V11" s="1061">
        <v>0</v>
      </c>
      <c r="W11" s="1064">
        <v>0</v>
      </c>
      <c r="X11" s="1063">
        <v>0</v>
      </c>
      <c r="Y11" s="1061">
        <v>0</v>
      </c>
      <c r="Z11" s="1064">
        <v>0</v>
      </c>
      <c r="AA11" s="1063">
        <v>0</v>
      </c>
      <c r="AB11" s="1061">
        <v>0</v>
      </c>
      <c r="AC11" s="1064">
        <v>0</v>
      </c>
      <c r="AD11" s="1063">
        <v>0</v>
      </c>
      <c r="AE11" s="1061">
        <v>0</v>
      </c>
      <c r="AF11" s="1064">
        <v>0</v>
      </c>
      <c r="AG11" s="1063">
        <v>0</v>
      </c>
      <c r="AH11" s="1061">
        <v>0</v>
      </c>
      <c r="AI11" s="1064">
        <v>0</v>
      </c>
      <c r="AJ11" s="1063">
        <v>0</v>
      </c>
      <c r="AK11" s="1061">
        <v>0</v>
      </c>
      <c r="AL11" s="1064">
        <v>0</v>
      </c>
      <c r="AM11" s="1063">
        <v>0</v>
      </c>
      <c r="AN11" s="1061">
        <v>0</v>
      </c>
      <c r="AO11" s="1064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">
      <c r="A12" s="533" t="str">
        <f t="shared" si="1"/>
        <v>Véhicules neufsMoto détail</v>
      </c>
      <c r="B12" s="743" t="s">
        <v>89</v>
      </c>
      <c r="C12" s="1060">
        <f t="shared" si="0"/>
        <v>0</v>
      </c>
      <c r="D12" s="1061">
        <f t="shared" si="2"/>
        <v>0</v>
      </c>
      <c r="E12" s="1062">
        <f t="shared" si="0"/>
        <v>0</v>
      </c>
      <c r="F12" s="1063">
        <v>0</v>
      </c>
      <c r="G12" s="1061">
        <v>0</v>
      </c>
      <c r="H12" s="1064">
        <v>0</v>
      </c>
      <c r="I12" s="1063">
        <v>0</v>
      </c>
      <c r="J12" s="1061">
        <v>0</v>
      </c>
      <c r="K12" s="1064">
        <v>0</v>
      </c>
      <c r="L12" s="1063">
        <v>0</v>
      </c>
      <c r="M12" s="1061">
        <v>0</v>
      </c>
      <c r="N12" s="1064">
        <v>0</v>
      </c>
      <c r="O12" s="1063">
        <v>0</v>
      </c>
      <c r="P12" s="1061">
        <v>0</v>
      </c>
      <c r="Q12" s="1064">
        <v>0</v>
      </c>
      <c r="R12" s="1063">
        <v>0</v>
      </c>
      <c r="S12" s="1061">
        <v>0</v>
      </c>
      <c r="T12" s="1064">
        <v>0</v>
      </c>
      <c r="U12" s="1063">
        <v>0</v>
      </c>
      <c r="V12" s="1061">
        <v>0</v>
      </c>
      <c r="W12" s="1064">
        <v>0</v>
      </c>
      <c r="X12" s="1063">
        <v>0</v>
      </c>
      <c r="Y12" s="1061">
        <v>0</v>
      </c>
      <c r="Z12" s="1064">
        <v>0</v>
      </c>
      <c r="AA12" s="1063">
        <v>0</v>
      </c>
      <c r="AB12" s="1061">
        <v>0</v>
      </c>
      <c r="AC12" s="1064">
        <v>0</v>
      </c>
      <c r="AD12" s="1063">
        <v>0</v>
      </c>
      <c r="AE12" s="1061">
        <v>0</v>
      </c>
      <c r="AF12" s="1064">
        <v>0</v>
      </c>
      <c r="AG12" s="1063">
        <v>0</v>
      </c>
      <c r="AH12" s="1061">
        <v>0</v>
      </c>
      <c r="AI12" s="1064">
        <v>0</v>
      </c>
      <c r="AJ12" s="1063">
        <v>0</v>
      </c>
      <c r="AK12" s="1061">
        <v>0</v>
      </c>
      <c r="AL12" s="1064">
        <v>0</v>
      </c>
      <c r="AM12" s="1063">
        <v>0</v>
      </c>
      <c r="AN12" s="1061">
        <v>0</v>
      </c>
      <c r="AO12" s="1064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5" hidden="1" customHeight="1">
      <c r="A13" s="533" t="str">
        <f t="shared" si="1"/>
        <v>Véhicules neufs[...]</v>
      </c>
      <c r="B13" s="743" t="s">
        <v>42</v>
      </c>
      <c r="C13" s="1060">
        <f t="shared" si="0"/>
        <v>0</v>
      </c>
      <c r="D13" s="1061">
        <f t="shared" si="2"/>
        <v>0</v>
      </c>
      <c r="E13" s="1062">
        <f t="shared" si="0"/>
        <v>0</v>
      </c>
      <c r="F13" s="1065"/>
      <c r="G13" s="1061"/>
      <c r="H13" s="1062"/>
      <c r="I13" s="1065"/>
      <c r="J13" s="1061"/>
      <c r="K13" s="1062"/>
      <c r="L13" s="1065"/>
      <c r="M13" s="1061"/>
      <c r="N13" s="1062"/>
      <c r="O13" s="1065"/>
      <c r="P13" s="1061"/>
      <c r="Q13" s="1062"/>
      <c r="R13" s="1065"/>
      <c r="S13" s="1061"/>
      <c r="T13" s="1062"/>
      <c r="U13" s="1065"/>
      <c r="V13" s="1061"/>
      <c r="W13" s="1062"/>
      <c r="X13" s="1065"/>
      <c r="Y13" s="1061"/>
      <c r="Z13" s="1062"/>
      <c r="AA13" s="1065"/>
      <c r="AB13" s="1061"/>
      <c r="AC13" s="1062"/>
      <c r="AD13" s="1065">
        <v>0</v>
      </c>
      <c r="AE13" s="1061">
        <v>0</v>
      </c>
      <c r="AF13" s="1062">
        <v>0</v>
      </c>
      <c r="AG13" s="1065">
        <v>0</v>
      </c>
      <c r="AH13" s="1061">
        <v>0</v>
      </c>
      <c r="AI13" s="1062">
        <v>0</v>
      </c>
      <c r="AJ13" s="1065">
        <v>0</v>
      </c>
      <c r="AK13" s="1061">
        <v>0</v>
      </c>
      <c r="AL13" s="1062">
        <v>0</v>
      </c>
      <c r="AM13" s="1065">
        <v>0</v>
      </c>
      <c r="AN13" s="1061">
        <v>0</v>
      </c>
      <c r="AO13" s="1062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5" hidden="1" customHeight="1">
      <c r="A14" s="533" t="str">
        <f t="shared" si="1"/>
        <v>Véhicules neufs[...]</v>
      </c>
      <c r="B14" s="743" t="s">
        <v>42</v>
      </c>
      <c r="C14" s="1060">
        <f t="shared" si="0"/>
        <v>0</v>
      </c>
      <c r="D14" s="1061">
        <f t="shared" si="2"/>
        <v>0</v>
      </c>
      <c r="E14" s="1062">
        <f t="shared" si="0"/>
        <v>0</v>
      </c>
      <c r="F14" s="1065"/>
      <c r="G14" s="1061"/>
      <c r="H14" s="1062"/>
      <c r="I14" s="1065"/>
      <c r="J14" s="1061"/>
      <c r="K14" s="1062"/>
      <c r="L14" s="1065"/>
      <c r="M14" s="1061"/>
      <c r="N14" s="1062"/>
      <c r="O14" s="1065"/>
      <c r="P14" s="1061"/>
      <c r="Q14" s="1062"/>
      <c r="R14" s="1065"/>
      <c r="S14" s="1061"/>
      <c r="T14" s="1062"/>
      <c r="U14" s="1065"/>
      <c r="V14" s="1061"/>
      <c r="W14" s="1062"/>
      <c r="X14" s="1065"/>
      <c r="Y14" s="1061"/>
      <c r="Z14" s="1062"/>
      <c r="AA14" s="1065"/>
      <c r="AB14" s="1061"/>
      <c r="AC14" s="1062"/>
      <c r="AD14" s="1065">
        <v>0</v>
      </c>
      <c r="AE14" s="1061">
        <v>0</v>
      </c>
      <c r="AF14" s="1062">
        <v>0</v>
      </c>
      <c r="AG14" s="1065">
        <v>0</v>
      </c>
      <c r="AH14" s="1061">
        <v>0</v>
      </c>
      <c r="AI14" s="1062">
        <v>0</v>
      </c>
      <c r="AJ14" s="1065">
        <v>0</v>
      </c>
      <c r="AK14" s="1061">
        <v>0</v>
      </c>
      <c r="AL14" s="1062">
        <v>0</v>
      </c>
      <c r="AM14" s="1065">
        <v>0</v>
      </c>
      <c r="AN14" s="1061">
        <v>0</v>
      </c>
      <c r="AO14" s="1062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5" hidden="1" customHeight="1">
      <c r="A15" s="533" t="str">
        <f t="shared" si="1"/>
        <v>Véhicules neufs[...]</v>
      </c>
      <c r="B15" s="743" t="s">
        <v>42</v>
      </c>
      <c r="C15" s="1060">
        <f t="shared" si="0"/>
        <v>0</v>
      </c>
      <c r="D15" s="1061">
        <f t="shared" si="2"/>
        <v>0</v>
      </c>
      <c r="E15" s="1062">
        <f t="shared" si="0"/>
        <v>0</v>
      </c>
      <c r="F15" s="1065"/>
      <c r="G15" s="1061"/>
      <c r="H15" s="1062"/>
      <c r="I15" s="1065"/>
      <c r="J15" s="1061"/>
      <c r="K15" s="1062"/>
      <c r="L15" s="1065"/>
      <c r="M15" s="1061"/>
      <c r="N15" s="1062"/>
      <c r="O15" s="1065"/>
      <c r="P15" s="1061"/>
      <c r="Q15" s="1062"/>
      <c r="R15" s="1065"/>
      <c r="S15" s="1061"/>
      <c r="T15" s="1062"/>
      <c r="U15" s="1065"/>
      <c r="V15" s="1061"/>
      <c r="W15" s="1062"/>
      <c r="X15" s="1065"/>
      <c r="Y15" s="1061"/>
      <c r="Z15" s="1062"/>
      <c r="AA15" s="1065"/>
      <c r="AB15" s="1061"/>
      <c r="AC15" s="1062"/>
      <c r="AD15" s="1065">
        <v>0</v>
      </c>
      <c r="AE15" s="1061">
        <v>0</v>
      </c>
      <c r="AF15" s="1062">
        <v>0</v>
      </c>
      <c r="AG15" s="1065">
        <v>0</v>
      </c>
      <c r="AH15" s="1061">
        <v>0</v>
      </c>
      <c r="AI15" s="1062">
        <v>0</v>
      </c>
      <c r="AJ15" s="1065">
        <v>0</v>
      </c>
      <c r="AK15" s="1061">
        <v>0</v>
      </c>
      <c r="AL15" s="1062">
        <v>0</v>
      </c>
      <c r="AM15" s="1065">
        <v>0</v>
      </c>
      <c r="AN15" s="1061">
        <v>0</v>
      </c>
      <c r="AO15" s="1062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">
      <c r="A16" s="533" t="str">
        <f t="shared" si="1"/>
        <v>Véhicules neufsTotal Neufs</v>
      </c>
      <c r="B16" s="1066" t="s">
        <v>90</v>
      </c>
      <c r="C16" s="1067">
        <f>+SUM(C9:C15)</f>
        <v>203</v>
      </c>
      <c r="D16" s="1068">
        <f>IF(C16&lt;=0,0,E16/C16)</f>
        <v>4194.1665024630502</v>
      </c>
      <c r="E16" s="1069">
        <f>+SUM(E9:E15)</f>
        <v>851415.79999999912</v>
      </c>
      <c r="F16" s="1067">
        <v>12</v>
      </c>
      <c r="G16" s="1068">
        <v>3362.9466666666499</v>
      </c>
      <c r="H16" s="1069">
        <v>40355.359999999797</v>
      </c>
      <c r="I16" s="1067">
        <v>6</v>
      </c>
      <c r="J16" s="1068">
        <v>4551.8799999999983</v>
      </c>
      <c r="K16" s="1069">
        <v>27311.279999999992</v>
      </c>
      <c r="L16" s="1067">
        <v>26</v>
      </c>
      <c r="M16" s="1068">
        <v>4493.5892307692229</v>
      </c>
      <c r="N16" s="1069">
        <v>116833.3199999998</v>
      </c>
      <c r="O16" s="1067">
        <v>21</v>
      </c>
      <c r="P16" s="1068">
        <v>5181.9980952380911</v>
      </c>
      <c r="Q16" s="1069">
        <v>108821.9599999999</v>
      </c>
      <c r="R16" s="1067">
        <v>35</v>
      </c>
      <c r="S16" s="1068">
        <v>4465.1159999999918</v>
      </c>
      <c r="T16" s="1069">
        <v>156279.05999999971</v>
      </c>
      <c r="U16" s="1067">
        <v>16</v>
      </c>
      <c r="V16" s="1068">
        <v>4824.8068750000002</v>
      </c>
      <c r="W16" s="1069">
        <v>77196.91</v>
      </c>
      <c r="X16" s="1067">
        <v>15</v>
      </c>
      <c r="Y16" s="1068">
        <v>4694.7093333333269</v>
      </c>
      <c r="Z16" s="1069">
        <v>70420.639999999898</v>
      </c>
      <c r="AA16" s="1067">
        <v>19</v>
      </c>
      <c r="AB16" s="1068">
        <v>3775.4084210526257</v>
      </c>
      <c r="AC16" s="1069">
        <v>71732.759999999893</v>
      </c>
      <c r="AD16" s="1067">
        <v>12</v>
      </c>
      <c r="AE16" s="1068">
        <v>3420.5983333333338</v>
      </c>
      <c r="AF16" s="1069">
        <v>41047.180000000008</v>
      </c>
      <c r="AG16" s="1067">
        <v>24</v>
      </c>
      <c r="AH16" s="1068">
        <v>3235.999583333336</v>
      </c>
      <c r="AI16" s="1069">
        <v>77663.990000000063</v>
      </c>
      <c r="AJ16" s="1067">
        <v>9</v>
      </c>
      <c r="AK16" s="1068">
        <v>3936.3244444444554</v>
      </c>
      <c r="AL16" s="1069">
        <v>35426.9200000001</v>
      </c>
      <c r="AM16" s="1067">
        <v>8</v>
      </c>
      <c r="AN16" s="1068">
        <v>3540.8024999999998</v>
      </c>
      <c r="AO16" s="1069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">
      <c r="A17" s="533" t="str">
        <f t="shared" si="1"/>
        <v>Véhicules neufs</v>
      </c>
      <c r="B17" s="7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">
      <c r="A18" s="533" t="str">
        <f t="shared" si="1"/>
        <v>Véhicules neufsEx-Démos et courtoisies</v>
      </c>
      <c r="B18" s="1071" t="s">
        <v>91</v>
      </c>
      <c r="C18" s="1072">
        <f>+SUM(F18,I18,L18,O18,R18,U18,X18,AA18,AD18,AG18,AJ18,AM18)</f>
        <v>44</v>
      </c>
      <c r="D18" s="1073">
        <f>IF(C18=0,0,E18/C18)</f>
        <v>2807.0756818181753</v>
      </c>
      <c r="E18" s="1074">
        <f>+SUM(H18,K18,N18,Q18,T18,W18,Z18,AC18,AF18,AI18,AL18,AO18)</f>
        <v>123511.32999999971</v>
      </c>
      <c r="F18" s="1075">
        <v>2</v>
      </c>
      <c r="G18" s="1073">
        <v>1250</v>
      </c>
      <c r="H18" s="1076">
        <v>2500</v>
      </c>
      <c r="I18" s="1075">
        <v>3</v>
      </c>
      <c r="J18" s="1073">
        <v>3620.9866666666662</v>
      </c>
      <c r="K18" s="1076">
        <v>10862.96</v>
      </c>
      <c r="L18" s="1075">
        <v>1</v>
      </c>
      <c r="M18" s="1073">
        <v>2500</v>
      </c>
      <c r="N18" s="1076">
        <v>2500</v>
      </c>
      <c r="O18" s="1075">
        <v>8</v>
      </c>
      <c r="P18" s="1073">
        <v>2225.1799999999876</v>
      </c>
      <c r="Q18" s="1076">
        <v>17801.4399999999</v>
      </c>
      <c r="R18" s="1075">
        <v>9</v>
      </c>
      <c r="S18" s="1073">
        <v>3505.6622222222113</v>
      </c>
      <c r="T18" s="1076">
        <v>31550.959999999901</v>
      </c>
      <c r="U18" s="1075">
        <v>4</v>
      </c>
      <c r="V18" s="1073">
        <v>2445.1974999999925</v>
      </c>
      <c r="W18" s="1076">
        <v>9780.78999999997</v>
      </c>
      <c r="X18" s="1075">
        <v>3</v>
      </c>
      <c r="Y18" s="1073">
        <v>1692.6766666666633</v>
      </c>
      <c r="Z18" s="1076">
        <v>5078.0299999999897</v>
      </c>
      <c r="AA18" s="1075">
        <v>2</v>
      </c>
      <c r="AB18" s="1073">
        <v>2500</v>
      </c>
      <c r="AC18" s="1076">
        <v>5000</v>
      </c>
      <c r="AD18" s="1075">
        <v>4</v>
      </c>
      <c r="AE18" s="1073">
        <v>2741.2149999999965</v>
      </c>
      <c r="AF18" s="1076">
        <v>10964.859999999986</v>
      </c>
      <c r="AG18" s="1075">
        <v>5</v>
      </c>
      <c r="AH18" s="1073">
        <v>2991.4239999999991</v>
      </c>
      <c r="AI18" s="1076">
        <v>14957.119999999995</v>
      </c>
      <c r="AJ18" s="1075">
        <v>3</v>
      </c>
      <c r="AK18" s="1073">
        <v>4171.7233333333279</v>
      </c>
      <c r="AL18" s="1076">
        <v>12515.169999999984</v>
      </c>
      <c r="AM18" s="1075">
        <v>0</v>
      </c>
      <c r="AN18" s="1073">
        <v>0</v>
      </c>
      <c r="AO18" s="1076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">
      <c r="A19" s="533" t="str">
        <f t="shared" si="1"/>
        <v>Véhicules neufs</v>
      </c>
      <c r="B19" s="7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">
      <c r="A20" s="533" t="str">
        <f t="shared" si="1"/>
        <v>Véhicules neufsFlottes</v>
      </c>
      <c r="B20" s="751" t="s">
        <v>92</v>
      </c>
      <c r="C20" s="1060">
        <f>+SUM(F20,I20,L20,O20,R20,U20,X20,AA20,AD20,AG20,AJ20,AM20)</f>
        <v>5</v>
      </c>
      <c r="D20" s="1061">
        <f>IF(C20=0,0,E20/C20)</f>
        <v>2076.3340000000017</v>
      </c>
      <c r="E20" s="1062">
        <f>+SUM(H20,K20,N20,Q20,T20,W20,Z20,AC20,AF20,AI20,AL20,AO20)</f>
        <v>10381.670000000009</v>
      </c>
      <c r="F20" s="1063">
        <v>0</v>
      </c>
      <c r="G20" s="1061">
        <v>0</v>
      </c>
      <c r="H20" s="1064">
        <v>0</v>
      </c>
      <c r="I20" s="1063">
        <v>0</v>
      </c>
      <c r="J20" s="1061">
        <v>0</v>
      </c>
      <c r="K20" s="1064">
        <v>0</v>
      </c>
      <c r="L20" s="1063">
        <v>0</v>
      </c>
      <c r="M20" s="1061">
        <v>0</v>
      </c>
      <c r="N20" s="1064">
        <v>0</v>
      </c>
      <c r="O20" s="1063">
        <v>0</v>
      </c>
      <c r="P20" s="1061">
        <v>0</v>
      </c>
      <c r="Q20" s="1064">
        <v>0</v>
      </c>
      <c r="R20" s="1063">
        <v>0</v>
      </c>
      <c r="S20" s="1061">
        <v>0</v>
      </c>
      <c r="T20" s="1064">
        <v>0</v>
      </c>
      <c r="U20" s="1063">
        <v>0</v>
      </c>
      <c r="V20" s="1061">
        <v>0</v>
      </c>
      <c r="W20" s="1064">
        <v>0</v>
      </c>
      <c r="X20" s="1063">
        <v>1</v>
      </c>
      <c r="Y20" s="1073">
        <v>2881.0099999999902</v>
      </c>
      <c r="Z20" s="1064">
        <v>2881.0099999999902</v>
      </c>
      <c r="AA20" s="1063">
        <v>0</v>
      </c>
      <c r="AB20" s="1073">
        <v>0</v>
      </c>
      <c r="AC20" s="1064">
        <v>0</v>
      </c>
      <c r="AD20" s="1063">
        <v>0</v>
      </c>
      <c r="AE20" s="1073">
        <v>0</v>
      </c>
      <c r="AF20" s="1064">
        <v>0</v>
      </c>
      <c r="AG20" s="1063">
        <v>0</v>
      </c>
      <c r="AH20" s="1073">
        <v>0</v>
      </c>
      <c r="AI20" s="1064">
        <v>0</v>
      </c>
      <c r="AJ20" s="1063">
        <v>0</v>
      </c>
      <c r="AK20" s="1073">
        <v>0</v>
      </c>
      <c r="AL20" s="1064">
        <v>0</v>
      </c>
      <c r="AM20" s="1063">
        <v>4</v>
      </c>
      <c r="AN20" s="1073">
        <v>1875.1650000000045</v>
      </c>
      <c r="AO20" s="1064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">
      <c r="A21" s="533" t="str">
        <f t="shared" si="1"/>
        <v>Véhicules neufs</v>
      </c>
      <c r="B21" s="1066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">
      <c r="A22" s="533" t="str">
        <f t="shared" si="1"/>
        <v>Véhicules neufs</v>
      </c>
      <c r="B22" s="1066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">
      <c r="A23" s="533" t="str">
        <f t="shared" si="1"/>
        <v>Véhicules neufsRev. Finances</v>
      </c>
      <c r="B23" s="743" t="s">
        <v>94</v>
      </c>
      <c r="C23" s="1065"/>
      <c r="D23" s="1061">
        <f>IF(C16=0,0,E23/(C16+C18))</f>
        <v>6.8498380566801602</v>
      </c>
      <c r="E23" s="1062">
        <f>+SUM(H23,K23,N23,Q23,T23,W23,Z23,AC23,AF23,AI23,AL23,AO23)</f>
        <v>1691.9099999999996</v>
      </c>
      <c r="F23" s="1063"/>
      <c r="G23" s="1061">
        <v>0</v>
      </c>
      <c r="H23" s="1064">
        <v>0</v>
      </c>
      <c r="I23" s="1063"/>
      <c r="J23" s="1061">
        <v>0</v>
      </c>
      <c r="K23" s="1064">
        <v>0</v>
      </c>
      <c r="L23" s="1063"/>
      <c r="M23" s="1061">
        <v>111.99740740740741</v>
      </c>
      <c r="N23" s="1064">
        <v>3023.93</v>
      </c>
      <c r="O23" s="1063"/>
      <c r="P23" s="1061">
        <v>16.962413793103448</v>
      </c>
      <c r="Q23" s="1064">
        <v>491.91</v>
      </c>
      <c r="R23" s="1063"/>
      <c r="S23" s="1061">
        <v>0</v>
      </c>
      <c r="T23" s="1064">
        <v>0</v>
      </c>
      <c r="U23" s="1063"/>
      <c r="V23" s="1061">
        <v>0</v>
      </c>
      <c r="W23" s="1064">
        <v>0</v>
      </c>
      <c r="X23" s="1063"/>
      <c r="Y23" s="1061">
        <v>0</v>
      </c>
      <c r="Z23" s="1064">
        <v>0</v>
      </c>
      <c r="AA23" s="1063"/>
      <c r="AB23" s="1061">
        <v>0</v>
      </c>
      <c r="AC23" s="1064">
        <v>0</v>
      </c>
      <c r="AD23" s="1063"/>
      <c r="AE23" s="1061">
        <v>0</v>
      </c>
      <c r="AF23" s="1064">
        <v>0</v>
      </c>
      <c r="AG23" s="1063"/>
      <c r="AH23" s="1061">
        <v>-62.894137931034486</v>
      </c>
      <c r="AI23" s="1064">
        <v>-1823.93</v>
      </c>
      <c r="AJ23" s="1063"/>
      <c r="AK23" s="1061">
        <v>0</v>
      </c>
      <c r="AL23" s="1064">
        <v>0</v>
      </c>
      <c r="AM23" s="1063"/>
      <c r="AN23" s="1061">
        <v>0</v>
      </c>
      <c r="AO23" s="1064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">
      <c r="A24" s="533" t="str">
        <f t="shared" si="1"/>
        <v>Véhicules neufsRev. Protections</v>
      </c>
      <c r="B24" s="743" t="s">
        <v>95</v>
      </c>
      <c r="C24" s="1065"/>
      <c r="D24" s="1061">
        <f>IF(C16=0,0,E24/(C16+C18))</f>
        <v>1210.9034008097162</v>
      </c>
      <c r="E24" s="1062">
        <f>+SUM(H24,K24,N24,Q24,T24,W24,Z24,AC24,AF24,AI24,AL24,AO24)</f>
        <v>299093.1399999999</v>
      </c>
      <c r="F24" s="1063"/>
      <c r="G24" s="1061">
        <v>891.66357142857146</v>
      </c>
      <c r="H24" s="1064">
        <v>12483.29</v>
      </c>
      <c r="I24" s="1063"/>
      <c r="J24" s="1061">
        <v>1222.3477777777778</v>
      </c>
      <c r="K24" s="1064">
        <v>11001.13</v>
      </c>
      <c r="L24" s="1063"/>
      <c r="M24" s="1061">
        <v>868.58888888888896</v>
      </c>
      <c r="N24" s="1064">
        <v>23451.9</v>
      </c>
      <c r="O24" s="1063"/>
      <c r="P24" s="1061">
        <v>1674.7851724137929</v>
      </c>
      <c r="Q24" s="1064">
        <v>48568.77</v>
      </c>
      <c r="R24" s="1063"/>
      <c r="S24" s="1061">
        <v>1383.58</v>
      </c>
      <c r="T24" s="1064">
        <v>60877.52</v>
      </c>
      <c r="U24" s="1063"/>
      <c r="V24" s="1061">
        <v>1336.1695</v>
      </c>
      <c r="W24" s="1064">
        <v>26723.39</v>
      </c>
      <c r="X24" s="1063"/>
      <c r="Y24" s="1061">
        <v>1654.6972222222221</v>
      </c>
      <c r="Z24" s="1064">
        <v>29784.55</v>
      </c>
      <c r="AA24" s="1063"/>
      <c r="AB24" s="1061">
        <v>1323.5704761904715</v>
      </c>
      <c r="AC24" s="1064">
        <v>27794.979999999901</v>
      </c>
      <c r="AD24" s="1063"/>
      <c r="AE24" s="1061">
        <v>805.35124999999994</v>
      </c>
      <c r="AF24" s="1064">
        <v>12885.619999999999</v>
      </c>
      <c r="AG24" s="1063"/>
      <c r="AH24" s="1061">
        <v>917.55137931034471</v>
      </c>
      <c r="AI24" s="1064">
        <v>26608.989999999998</v>
      </c>
      <c r="AJ24" s="1063"/>
      <c r="AK24" s="1061">
        <v>967.91666666666663</v>
      </c>
      <c r="AL24" s="1064">
        <v>11615</v>
      </c>
      <c r="AM24" s="1063"/>
      <c r="AN24" s="1061">
        <v>912.25</v>
      </c>
      <c r="AO24" s="1064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">
      <c r="A25" s="533" t="str">
        <f t="shared" si="1"/>
        <v>Véhicules neufsRev. Autres</v>
      </c>
      <c r="B25" s="743" t="s">
        <v>96</v>
      </c>
      <c r="C25" s="1065"/>
      <c r="D25" s="1061">
        <f>IF(C16=0,0,E25/(C16+C18))</f>
        <v>673.36825910931168</v>
      </c>
      <c r="E25" s="1062">
        <f>+SUM(H25,K25,N25,Q25,T25,W25,Z25,AC25,AF25,AI25,AL25,AO25)</f>
        <v>166321.96</v>
      </c>
      <c r="F25" s="1063"/>
      <c r="G25" s="1061">
        <v>419.92857142857144</v>
      </c>
      <c r="H25" s="1064">
        <v>5879</v>
      </c>
      <c r="I25" s="1063"/>
      <c r="J25" s="1061">
        <v>605.32222222222219</v>
      </c>
      <c r="K25" s="1064">
        <v>5447.9</v>
      </c>
      <c r="L25" s="1063"/>
      <c r="M25" s="1061">
        <v>419.94444444444446</v>
      </c>
      <c r="N25" s="1064">
        <v>11338.5</v>
      </c>
      <c r="O25" s="1063"/>
      <c r="P25" s="1061">
        <v>843.75827586206901</v>
      </c>
      <c r="Q25" s="1064">
        <v>24468.99</v>
      </c>
      <c r="R25" s="1063"/>
      <c r="S25" s="1061">
        <v>730.50318181818182</v>
      </c>
      <c r="T25" s="1064">
        <v>32142.14</v>
      </c>
      <c r="U25" s="1063"/>
      <c r="V25" s="1061">
        <v>902.67049999999995</v>
      </c>
      <c r="W25" s="1064">
        <v>18053.41</v>
      </c>
      <c r="X25" s="1063"/>
      <c r="Y25" s="1061">
        <v>1082.163888888889</v>
      </c>
      <c r="Z25" s="1064">
        <v>19478.95</v>
      </c>
      <c r="AA25" s="1063"/>
      <c r="AB25" s="1061">
        <v>689.83714285714291</v>
      </c>
      <c r="AC25" s="1064">
        <v>14486.58</v>
      </c>
      <c r="AD25" s="1063"/>
      <c r="AE25" s="1061">
        <v>498.82749999999999</v>
      </c>
      <c r="AF25" s="1064">
        <v>7981.24</v>
      </c>
      <c r="AG25" s="1063"/>
      <c r="AH25" s="1061">
        <v>442.7155172413793</v>
      </c>
      <c r="AI25" s="1064">
        <v>12838.75</v>
      </c>
      <c r="AJ25" s="1063"/>
      <c r="AK25" s="1061">
        <v>589.82083333333333</v>
      </c>
      <c r="AL25" s="1064">
        <v>7077.85</v>
      </c>
      <c r="AM25" s="1063"/>
      <c r="AN25" s="1061">
        <v>891.08125000000018</v>
      </c>
      <c r="AO25" s="1064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">
      <c r="A26" s="533" t="str">
        <f t="shared" si="1"/>
        <v>Véhicules neufsTotal F&amp;I</v>
      </c>
      <c r="B26" s="1066" t="s">
        <v>97</v>
      </c>
      <c r="C26" s="1067">
        <f>+C18+C16</f>
        <v>247</v>
      </c>
      <c r="D26" s="1068">
        <f>IF(C26&lt;=0,0,E26/C26)</f>
        <v>1891.1214979757081</v>
      </c>
      <c r="E26" s="1069">
        <f>E23+E24+E25</f>
        <v>467107.00999999989</v>
      </c>
      <c r="F26" s="1067">
        <v>14</v>
      </c>
      <c r="G26" s="1068">
        <v>1311.592142857143</v>
      </c>
      <c r="H26" s="1069">
        <v>18362.29</v>
      </c>
      <c r="I26" s="1067">
        <v>9</v>
      </c>
      <c r="J26" s="1068">
        <v>1827.6699999999998</v>
      </c>
      <c r="K26" s="1069">
        <v>16449.03</v>
      </c>
      <c r="L26" s="1067">
        <v>27</v>
      </c>
      <c r="M26" s="1068">
        <v>1400.5307407407408</v>
      </c>
      <c r="N26" s="1069">
        <v>37814.33</v>
      </c>
      <c r="O26" s="1067">
        <v>29</v>
      </c>
      <c r="P26" s="1068">
        <v>2535.5058620689656</v>
      </c>
      <c r="Q26" s="1069">
        <v>73529.67</v>
      </c>
      <c r="R26" s="1067">
        <v>44</v>
      </c>
      <c r="S26" s="1068">
        <v>2114.0831818181819</v>
      </c>
      <c r="T26" s="1069">
        <v>93019.66</v>
      </c>
      <c r="U26" s="1067">
        <v>20</v>
      </c>
      <c r="V26" s="1068">
        <v>2238.84</v>
      </c>
      <c r="W26" s="1069">
        <v>44776.800000000003</v>
      </c>
      <c r="X26" s="1067">
        <v>18</v>
      </c>
      <c r="Y26" s="1068">
        <v>2736.8611111111113</v>
      </c>
      <c r="Z26" s="1069">
        <v>49263.5</v>
      </c>
      <c r="AA26" s="1067">
        <v>21</v>
      </c>
      <c r="AB26" s="1068">
        <v>2013.4076190476144</v>
      </c>
      <c r="AC26" s="1069">
        <v>42281.559999999903</v>
      </c>
      <c r="AD26" s="1067">
        <v>16</v>
      </c>
      <c r="AE26" s="1068">
        <v>1304.17875</v>
      </c>
      <c r="AF26" s="1069">
        <v>20866.86</v>
      </c>
      <c r="AG26" s="1067">
        <v>29</v>
      </c>
      <c r="AH26" s="1068">
        <v>1297.3727586206896</v>
      </c>
      <c r="AI26" s="1069">
        <v>37623.81</v>
      </c>
      <c r="AJ26" s="1067">
        <v>12</v>
      </c>
      <c r="AK26" s="1068">
        <v>1557.7375</v>
      </c>
      <c r="AL26" s="1069">
        <v>18692.849999999999</v>
      </c>
      <c r="AM26" s="1067">
        <v>8</v>
      </c>
      <c r="AN26" s="1068">
        <v>1803.3312500000002</v>
      </c>
      <c r="AO26" s="1069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">
      <c r="A27" s="533" t="str">
        <f t="shared" si="1"/>
        <v>Véhicules neufs</v>
      </c>
      <c r="B27" s="7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1" t="s">
        <v>98</v>
      </c>
      <c r="C29" s="1082">
        <f>+C16+C18+C20</f>
        <v>252</v>
      </c>
      <c r="D29" s="1083">
        <f>IF(C29&lt;=0,0,E29/C29)</f>
        <v>5763.5548015872964</v>
      </c>
      <c r="E29" s="1084">
        <f>E16+E20+E26+E18</f>
        <v>1452415.8099999987</v>
      </c>
      <c r="F29" s="1085">
        <v>14</v>
      </c>
      <c r="G29" s="1086">
        <v>4372.6892857142711</v>
      </c>
      <c r="H29" s="1087">
        <f>H16+H20+H26+H18</f>
        <v>61217.649999999798</v>
      </c>
      <c r="I29" s="1085">
        <v>9</v>
      </c>
      <c r="J29" s="1086">
        <v>6729.213333333334</v>
      </c>
      <c r="K29" s="1087">
        <f>K16+K20+K26+K18</f>
        <v>54623.26999999999</v>
      </c>
      <c r="L29" s="1085">
        <v>27</v>
      </c>
      <c r="M29" s="1086">
        <v>5931.0492592592509</v>
      </c>
      <c r="N29" s="1087">
        <f>N16+N20+N26+N18</f>
        <v>157147.64999999979</v>
      </c>
      <c r="O29" s="1085">
        <v>29</v>
      </c>
      <c r="P29" s="1086">
        <v>7039.6020689655097</v>
      </c>
      <c r="Q29" s="1087">
        <f>Q16+Q20+Q26+Q18</f>
        <v>200153.06999999977</v>
      </c>
      <c r="R29" s="1085">
        <v>44</v>
      </c>
      <c r="S29" s="1086">
        <v>6439.7199999999903</v>
      </c>
      <c r="T29" s="1087">
        <f>T16+T20+T26+T18</f>
        <v>280849.67999999959</v>
      </c>
      <c r="U29" s="1085">
        <v>20</v>
      </c>
      <c r="V29" s="1086">
        <v>6615.8874999999989</v>
      </c>
      <c r="W29" s="1087">
        <f>W16+W20+W26+W18</f>
        <v>131754.49999999997</v>
      </c>
      <c r="X29" s="1085">
        <v>19</v>
      </c>
      <c r="Y29" s="1086">
        <v>6849.5357894736781</v>
      </c>
      <c r="Z29" s="1087">
        <f>Z16+Z20+Z26+Z18</f>
        <v>127643.17999999988</v>
      </c>
      <c r="AA29" s="1085">
        <v>21</v>
      </c>
      <c r="AB29" s="1086">
        <v>5835.4914285714194</v>
      </c>
      <c r="AC29" s="1087">
        <f>AC16+AC20+AC26+AC18</f>
        <v>119014.3199999998</v>
      </c>
      <c r="AD29" s="1085">
        <v>16</v>
      </c>
      <c r="AE29" s="1086">
        <v>4617.3687499999996</v>
      </c>
      <c r="AF29" s="1087">
        <f>AF16+AF20+AF26+AF18</f>
        <v>72878.899999999994</v>
      </c>
      <c r="AG29" s="1085">
        <v>29</v>
      </c>
      <c r="AH29" s="1086">
        <v>4560.1006896551735</v>
      </c>
      <c r="AI29" s="1087">
        <f>AI16+AI20+AI26+AI18</f>
        <v>130244.92000000006</v>
      </c>
      <c r="AJ29" s="1085">
        <v>12</v>
      </c>
      <c r="AK29" s="1086">
        <v>5719.382500000007</v>
      </c>
      <c r="AL29" s="1087">
        <f>AL16+AL20+AL26+AL18</f>
        <v>66634.94000000009</v>
      </c>
      <c r="AM29" s="1085">
        <v>12</v>
      </c>
      <c r="AN29" s="1086">
        <v>4271.0608333333348</v>
      </c>
      <c r="AO29" s="1087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5"/>
      <c r="C30" s="598"/>
      <c r="D30" s="1088"/>
      <c r="E30" s="1089"/>
      <c r="F30" s="1090"/>
      <c r="G30" s="1091"/>
      <c r="H30" s="1092"/>
      <c r="I30" s="1090"/>
      <c r="J30" s="1091"/>
      <c r="K30" s="1092"/>
      <c r="L30" s="1090"/>
      <c r="M30" s="1091"/>
      <c r="N30" s="1092"/>
      <c r="O30" s="1090"/>
      <c r="P30" s="1091"/>
      <c r="Q30" s="1092"/>
      <c r="R30" s="1090"/>
      <c r="S30" s="1091"/>
      <c r="T30" s="1092"/>
      <c r="U30" s="1090"/>
      <c r="V30" s="1091"/>
      <c r="W30" s="1092"/>
      <c r="X30" s="1090"/>
      <c r="Y30" s="1091"/>
      <c r="Z30" s="1092"/>
      <c r="AA30" s="1090"/>
      <c r="AB30" s="1091"/>
      <c r="AC30" s="1092"/>
      <c r="AD30" s="1090"/>
      <c r="AE30" s="1091"/>
      <c r="AF30" s="1092"/>
      <c r="AG30" s="1090"/>
      <c r="AH30" s="1091"/>
      <c r="AI30" s="1092"/>
      <c r="AJ30" s="1090"/>
      <c r="AK30" s="1091"/>
      <c r="AL30" s="1092"/>
      <c r="AM30" s="1090"/>
      <c r="AN30" s="1091"/>
      <c r="AO30" s="109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6"/>
      <c r="C31" s="599"/>
      <c r="D31" s="1093"/>
      <c r="E31" s="1094"/>
      <c r="F31" s="607"/>
      <c r="G31" s="608"/>
      <c r="H31" s="1095"/>
      <c r="I31" s="607"/>
      <c r="J31" s="608"/>
      <c r="K31" s="1095"/>
      <c r="L31" s="607"/>
      <c r="M31" s="608"/>
      <c r="N31" s="1095"/>
      <c r="O31" s="607"/>
      <c r="P31" s="608"/>
      <c r="Q31" s="1095"/>
      <c r="R31" s="607"/>
      <c r="S31" s="608"/>
      <c r="T31" s="1095"/>
      <c r="U31" s="607"/>
      <c r="V31" s="608"/>
      <c r="W31" s="1095"/>
      <c r="X31" s="607"/>
      <c r="Y31" s="608"/>
      <c r="Z31" s="1095"/>
      <c r="AA31" s="607"/>
      <c r="AB31" s="608"/>
      <c r="AC31" s="1095"/>
      <c r="AD31" s="607"/>
      <c r="AE31" s="608"/>
      <c r="AF31" s="1095"/>
      <c r="AG31" s="607"/>
      <c r="AH31" s="608"/>
      <c r="AI31" s="1095"/>
      <c r="AJ31" s="607"/>
      <c r="AK31" s="608"/>
      <c r="AL31" s="1095"/>
      <c r="AM31" s="607"/>
      <c r="AN31" s="608"/>
      <c r="AO31" s="1095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">
      <c r="A32" s="533" t="str">
        <f t="shared" si="1"/>
        <v>Véhicules neufsDEPENSES</v>
      </c>
      <c r="B32" s="1096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">
      <c r="A33" s="533" t="str">
        <f t="shared" si="1"/>
        <v>Véhicules neufsComm. vendeurs</v>
      </c>
      <c r="B33" s="743" t="s">
        <v>100</v>
      </c>
      <c r="C33" s="1098">
        <f>E33/(E16+E18)</f>
        <v>0.26423613834605292</v>
      </c>
      <c r="D33" s="1099">
        <f>IF(E33=0,0,E33/C$26)</f>
        <v>1042.9594331983806</v>
      </c>
      <c r="E33" s="1080">
        <f t="shared" ref="E33:E73" si="3">+SUM(H33,K33,N33,Q33,T33,W33,Z33,AC33,AF33,AI33,AL33,AO33)</f>
        <v>257610.98</v>
      </c>
      <c r="F33" s="1100">
        <f>H33/(H16+H18)</f>
        <v>0.26705270939271197</v>
      </c>
      <c r="G33" s="1099">
        <v>817.47428571428566</v>
      </c>
      <c r="H33" s="1101">
        <v>11444.64</v>
      </c>
      <c r="I33" s="1100">
        <f>K33/(K16+K18)</f>
        <v>0.23769300973640869</v>
      </c>
      <c r="J33" s="1099">
        <v>1008.1944444444445</v>
      </c>
      <c r="K33" s="1101">
        <v>9073.75</v>
      </c>
      <c r="L33" s="1100">
        <f>N33/(N16+N18)</f>
        <v>0.25417251443268357</v>
      </c>
      <c r="M33" s="1099">
        <v>1123.3796296296296</v>
      </c>
      <c r="N33" s="1101">
        <v>30331.25</v>
      </c>
      <c r="O33" s="1100">
        <f>Q33/(Q16+Q18)</f>
        <v>0.24913104528862792</v>
      </c>
      <c r="P33" s="1099">
        <v>1087.7868965517241</v>
      </c>
      <c r="Q33" s="1101">
        <v>31545.82</v>
      </c>
      <c r="R33" s="1100">
        <f>T33/(T16+T18)</f>
        <v>0.26266919420016088</v>
      </c>
      <c r="S33" s="1099">
        <v>1121.2990909090911</v>
      </c>
      <c r="T33" s="1101">
        <v>49337.16</v>
      </c>
      <c r="U33" s="1100">
        <f>W33/(W16+W18)</f>
        <v>0.25746725884910737</v>
      </c>
      <c r="V33" s="1099">
        <v>1119.6955</v>
      </c>
      <c r="W33" s="1101">
        <v>22393.91</v>
      </c>
      <c r="X33" s="1100">
        <f>Z33/(Z16+Z18)</f>
        <v>0.28408235535804849</v>
      </c>
      <c r="Y33" s="1099">
        <v>1191.5466666666666</v>
      </c>
      <c r="Z33" s="1101">
        <v>21447.84</v>
      </c>
      <c r="AA33" s="1100">
        <f>AC33/(AC16+AC18)</f>
        <v>0.28107890293533072</v>
      </c>
      <c r="AB33" s="1099">
        <v>1027.0457142857142</v>
      </c>
      <c r="AC33" s="1101">
        <v>21567.96</v>
      </c>
      <c r="AD33" s="1100">
        <v>0.2894879724002366</v>
      </c>
      <c r="AE33" s="1099">
        <v>941.05375000000004</v>
      </c>
      <c r="AF33" s="1101">
        <v>15056.86</v>
      </c>
      <c r="AG33" s="1100">
        <v>0.24471008822934626</v>
      </c>
      <c r="AH33" s="1099">
        <v>781.56275862068969</v>
      </c>
      <c r="AI33" s="1101">
        <v>22665.32</v>
      </c>
      <c r="AJ33" s="1100">
        <v>0.28407564209236552</v>
      </c>
      <c r="AK33" s="1099">
        <v>1134.9316666666666</v>
      </c>
      <c r="AL33" s="1101">
        <v>13619.18</v>
      </c>
      <c r="AM33" s="1100">
        <v>0.32221826831629274</v>
      </c>
      <c r="AN33" s="1099">
        <v>1140.9112500000001</v>
      </c>
      <c r="AO33" s="1101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">
      <c r="A34" s="533" t="str">
        <f t="shared" si="1"/>
        <v>Véhicules neufsComm. F&amp;I</v>
      </c>
      <c r="B34" s="747" t="s">
        <v>101</v>
      </c>
      <c r="C34" s="1102">
        <f>E34/E26</f>
        <v>0.30238229565426566</v>
      </c>
      <c r="D34" s="1030">
        <f>IF(E34=0,0,E34/C$26)</f>
        <v>571.8416599190283</v>
      </c>
      <c r="E34" s="1103">
        <f t="shared" si="3"/>
        <v>141244.88999999998</v>
      </c>
      <c r="F34" s="1104">
        <f>H34/H26</f>
        <v>0.24931421952272834</v>
      </c>
      <c r="G34" s="1030">
        <v>326.99857142857138</v>
      </c>
      <c r="H34" s="1105">
        <v>4577.9799999999996</v>
      </c>
      <c r="I34" s="1104">
        <f>K34/K26</f>
        <v>0.27717865430362765</v>
      </c>
      <c r="J34" s="1030">
        <v>506.5911111111111</v>
      </c>
      <c r="K34" s="1105">
        <v>4559.32</v>
      </c>
      <c r="L34" s="1104">
        <f>N34/N26</f>
        <v>0.18426638790109462</v>
      </c>
      <c r="M34" s="1030">
        <v>258.07074074074075</v>
      </c>
      <c r="N34" s="1105">
        <v>6967.91</v>
      </c>
      <c r="O34" s="1104">
        <f>Q34/Q26</f>
        <v>0.3456499940772208</v>
      </c>
      <c r="P34" s="1030">
        <v>876.39758620689656</v>
      </c>
      <c r="Q34" s="1105">
        <v>25415.53</v>
      </c>
      <c r="R34" s="1104">
        <f>T34/T26</f>
        <v>0.33628933926440924</v>
      </c>
      <c r="S34" s="1030">
        <v>710.94363636363641</v>
      </c>
      <c r="T34" s="1105">
        <v>31281.52</v>
      </c>
      <c r="U34" s="1104">
        <f>W34/W26</f>
        <v>0.34309151167568919</v>
      </c>
      <c r="V34" s="1030">
        <v>768.12700000000007</v>
      </c>
      <c r="W34" s="1105">
        <v>15362.54</v>
      </c>
      <c r="X34" s="1104">
        <f>Z34/Z26</f>
        <v>0.34380545434246451</v>
      </c>
      <c r="Y34" s="1030">
        <v>940.9477777777779</v>
      </c>
      <c r="Z34" s="1105">
        <v>16937.060000000001</v>
      </c>
      <c r="AA34" s="1104">
        <f>AC34/AC26</f>
        <v>0.18221607717406874</v>
      </c>
      <c r="AB34" s="1030">
        <v>366.8752380952381</v>
      </c>
      <c r="AC34" s="1105">
        <v>7704.38</v>
      </c>
      <c r="AD34" s="1104">
        <v>0.31548445717276102</v>
      </c>
      <c r="AE34" s="1030">
        <v>411.448125</v>
      </c>
      <c r="AF34" s="1105">
        <v>6583.17</v>
      </c>
      <c r="AG34" s="1104">
        <v>0.29546157074469598</v>
      </c>
      <c r="AH34" s="1030">
        <v>383.32379310344828</v>
      </c>
      <c r="AI34" s="1105">
        <v>11116.39</v>
      </c>
      <c r="AJ34" s="1104">
        <v>0.32525109868211644</v>
      </c>
      <c r="AK34" s="1030">
        <v>506.65583333333331</v>
      </c>
      <c r="AL34" s="1105">
        <v>6079.87</v>
      </c>
      <c r="AM34" s="1104">
        <v>0.32295924556289918</v>
      </c>
      <c r="AN34" s="1030">
        <v>582.40250000000003</v>
      </c>
      <c r="AO34" s="1105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">
      <c r="A35" s="533" t="str">
        <f t="shared" si="1"/>
        <v>Véhicules neufsFrais de livraison</v>
      </c>
      <c r="B35" s="743" t="s">
        <v>102</v>
      </c>
      <c r="C35" s="543"/>
      <c r="D35" s="1099">
        <f t="shared" ref="D35:D38" si="4">IF(E35=0,0,E35/C$26)</f>
        <v>116.86842105263159</v>
      </c>
      <c r="E35" s="1080">
        <f t="shared" si="3"/>
        <v>28866.500000000004</v>
      </c>
      <c r="F35" s="543"/>
      <c r="G35" s="1099">
        <v>-39.520714285714284</v>
      </c>
      <c r="H35" s="1101">
        <v>-553.29</v>
      </c>
      <c r="I35" s="543"/>
      <c r="J35" s="1099">
        <v>124.0611111111111</v>
      </c>
      <c r="K35" s="1101">
        <v>1116.55</v>
      </c>
      <c r="L35" s="543"/>
      <c r="M35" s="1099">
        <v>79.964074074074077</v>
      </c>
      <c r="N35" s="1101">
        <v>2159.0300000000002</v>
      </c>
      <c r="O35" s="543"/>
      <c r="P35" s="1099">
        <v>132.3648275862069</v>
      </c>
      <c r="Q35" s="1101">
        <v>3838.58</v>
      </c>
      <c r="R35" s="543"/>
      <c r="S35" s="1099">
        <v>77.407727272727271</v>
      </c>
      <c r="T35" s="1101">
        <v>3405.94</v>
      </c>
      <c r="U35" s="543"/>
      <c r="V35" s="1099">
        <v>207.35250000000002</v>
      </c>
      <c r="W35" s="1101">
        <v>4147.05</v>
      </c>
      <c r="X35" s="543"/>
      <c r="Y35" s="1099">
        <v>148.78444444444443</v>
      </c>
      <c r="Z35" s="1101">
        <v>2678.12</v>
      </c>
      <c r="AA35" s="543"/>
      <c r="AB35" s="1099">
        <v>239.92619047619047</v>
      </c>
      <c r="AC35" s="1101">
        <v>5038.45</v>
      </c>
      <c r="AD35" s="543"/>
      <c r="AE35" s="1099">
        <v>235.02500000000001</v>
      </c>
      <c r="AF35" s="1101">
        <v>3760.4</v>
      </c>
      <c r="AG35" s="543"/>
      <c r="AH35" s="1099">
        <v>48.702068965517235</v>
      </c>
      <c r="AI35" s="1101">
        <v>1412.36</v>
      </c>
      <c r="AJ35" s="543"/>
      <c r="AK35" s="1099">
        <v>154.9675</v>
      </c>
      <c r="AL35" s="1101">
        <v>1859.61</v>
      </c>
      <c r="AM35" s="543"/>
      <c r="AN35" s="1099">
        <v>0.46250000000000002</v>
      </c>
      <c r="AO35" s="1101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">
      <c r="A36" s="533" t="str">
        <f t="shared" si="1"/>
        <v>Véhicules neufsService gratuit 1</v>
      </c>
      <c r="B36" s="743" t="s">
        <v>103</v>
      </c>
      <c r="C36" s="543"/>
      <c r="D36" s="1099">
        <f t="shared" si="4"/>
        <v>31.024615384615384</v>
      </c>
      <c r="E36" s="1080">
        <f t="shared" si="3"/>
        <v>7663.08</v>
      </c>
      <c r="F36" s="543"/>
      <c r="G36" s="1099">
        <v>6.842142857142858</v>
      </c>
      <c r="H36" s="1101">
        <v>95.79</v>
      </c>
      <c r="I36" s="543"/>
      <c r="J36" s="1099">
        <v>98.681111111111107</v>
      </c>
      <c r="K36" s="1101">
        <v>888.13</v>
      </c>
      <c r="L36" s="543"/>
      <c r="M36" s="1099">
        <v>0</v>
      </c>
      <c r="N36" s="1101">
        <v>0</v>
      </c>
      <c r="O36" s="543"/>
      <c r="P36" s="1099">
        <v>62.72034482758621</v>
      </c>
      <c r="Q36" s="1101">
        <v>1818.89</v>
      </c>
      <c r="R36" s="543"/>
      <c r="S36" s="1099">
        <v>38.517499999999998</v>
      </c>
      <c r="T36" s="1101">
        <v>1694.77</v>
      </c>
      <c r="U36" s="543"/>
      <c r="V36" s="1099">
        <v>0</v>
      </c>
      <c r="W36" s="1101">
        <v>0</v>
      </c>
      <c r="X36" s="543"/>
      <c r="Y36" s="1099">
        <v>24.611111111111111</v>
      </c>
      <c r="Z36" s="1101">
        <v>443</v>
      </c>
      <c r="AA36" s="543"/>
      <c r="AB36" s="1099">
        <v>39.986666666666665</v>
      </c>
      <c r="AC36" s="1101">
        <v>839.72</v>
      </c>
      <c r="AD36" s="543"/>
      <c r="AE36" s="1099">
        <v>0</v>
      </c>
      <c r="AF36" s="1101">
        <v>0</v>
      </c>
      <c r="AG36" s="543"/>
      <c r="AH36" s="1099">
        <v>6.9913793103448274</v>
      </c>
      <c r="AI36" s="1101">
        <v>202.75</v>
      </c>
      <c r="AJ36" s="543"/>
      <c r="AK36" s="1099">
        <v>140.0025</v>
      </c>
      <c r="AL36" s="1101">
        <v>1680.03</v>
      </c>
      <c r="AM36" s="543"/>
      <c r="AN36" s="1099">
        <v>0</v>
      </c>
      <c r="AO36" s="1101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">
      <c r="A37" s="533" t="str">
        <f t="shared" si="1"/>
        <v>Véhicules neufsEntretien stock</v>
      </c>
      <c r="B37" s="747" t="s">
        <v>104</v>
      </c>
      <c r="C37" s="601"/>
      <c r="D37" s="1030">
        <f t="shared" si="4"/>
        <v>97.19194331983806</v>
      </c>
      <c r="E37" s="1103">
        <f t="shared" si="3"/>
        <v>24006.41</v>
      </c>
      <c r="F37" s="601"/>
      <c r="G37" s="1030">
        <v>155.66214285714287</v>
      </c>
      <c r="H37" s="1105">
        <v>2179.27</v>
      </c>
      <c r="I37" s="601"/>
      <c r="J37" s="1030">
        <v>197.15444444444447</v>
      </c>
      <c r="K37" s="1105">
        <v>1774.39</v>
      </c>
      <c r="L37" s="601"/>
      <c r="M37" s="1030">
        <v>32.916666666666664</v>
      </c>
      <c r="N37" s="1105">
        <v>888.75</v>
      </c>
      <c r="O37" s="601"/>
      <c r="P37" s="1030">
        <v>37.223793103448273</v>
      </c>
      <c r="Q37" s="1105">
        <v>1079.49</v>
      </c>
      <c r="R37" s="601"/>
      <c r="S37" s="1030">
        <v>38.75181818181818</v>
      </c>
      <c r="T37" s="1105">
        <v>1705.08</v>
      </c>
      <c r="U37" s="601"/>
      <c r="V37" s="1030">
        <v>103.67249999999999</v>
      </c>
      <c r="W37" s="1105">
        <v>2073.4499999999998</v>
      </c>
      <c r="X37" s="601"/>
      <c r="Y37" s="1030">
        <v>184.9361111111111</v>
      </c>
      <c r="Z37" s="1105">
        <v>3328.85</v>
      </c>
      <c r="AA37" s="601"/>
      <c r="AB37" s="1030">
        <v>91.878571428571433</v>
      </c>
      <c r="AC37" s="1105">
        <v>1929.45</v>
      </c>
      <c r="AD37" s="601"/>
      <c r="AE37" s="1030">
        <v>167.88249999999999</v>
      </c>
      <c r="AF37" s="1105">
        <v>2686.12</v>
      </c>
      <c r="AG37" s="601"/>
      <c r="AH37" s="1030">
        <v>39.439655172413794</v>
      </c>
      <c r="AI37" s="1105">
        <v>1143.75</v>
      </c>
      <c r="AJ37" s="601"/>
      <c r="AK37" s="1030">
        <v>197.07833333333335</v>
      </c>
      <c r="AL37" s="1105">
        <v>2364.94</v>
      </c>
      <c r="AM37" s="601"/>
      <c r="AN37" s="1030">
        <v>356.60874999999999</v>
      </c>
      <c r="AO37" s="1105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">
      <c r="A38" s="533" t="str">
        <f t="shared" si="1"/>
        <v>Véhicules neufsPublicité 1</v>
      </c>
      <c r="B38" s="743" t="s">
        <v>105</v>
      </c>
      <c r="C38" s="543"/>
      <c r="D38" s="1099">
        <f t="shared" si="4"/>
        <v>618.34550607287451</v>
      </c>
      <c r="E38" s="1080">
        <f t="shared" si="3"/>
        <v>152731.34</v>
      </c>
      <c r="F38" s="543"/>
      <c r="G38" s="1099">
        <v>643.26857142857148</v>
      </c>
      <c r="H38" s="1101">
        <v>9005.76</v>
      </c>
      <c r="I38" s="543"/>
      <c r="J38" s="1099">
        <v>1074.7277777777776</v>
      </c>
      <c r="K38" s="1101">
        <v>9672.5499999999993</v>
      </c>
      <c r="L38" s="543"/>
      <c r="M38" s="1099">
        <v>571.31148148148145</v>
      </c>
      <c r="N38" s="1101">
        <v>15425.41</v>
      </c>
      <c r="O38" s="543"/>
      <c r="P38" s="1099">
        <v>595.14137931034475</v>
      </c>
      <c r="Q38" s="1101">
        <v>17259.099999999999</v>
      </c>
      <c r="R38" s="543"/>
      <c r="S38" s="1099">
        <v>421.36636363636359</v>
      </c>
      <c r="T38" s="1101">
        <v>18540.12</v>
      </c>
      <c r="U38" s="543"/>
      <c r="V38" s="1099">
        <v>508.93050000000005</v>
      </c>
      <c r="W38" s="1101">
        <v>10178.61</v>
      </c>
      <c r="X38" s="543"/>
      <c r="Y38" s="1099">
        <v>568.04222222222222</v>
      </c>
      <c r="Z38" s="1101">
        <v>10224.76</v>
      </c>
      <c r="AA38" s="543"/>
      <c r="AB38" s="1099">
        <v>566.75190476190483</v>
      </c>
      <c r="AC38" s="1101">
        <v>11901.79</v>
      </c>
      <c r="AD38" s="543"/>
      <c r="AE38" s="1099">
        <v>740.85312499999998</v>
      </c>
      <c r="AF38" s="1101">
        <v>11853.65</v>
      </c>
      <c r="AG38" s="543"/>
      <c r="AH38" s="1099">
        <v>626.61517241379306</v>
      </c>
      <c r="AI38" s="1101">
        <v>18171.84</v>
      </c>
      <c r="AJ38" s="543"/>
      <c r="AK38" s="1099">
        <v>824.43333333333339</v>
      </c>
      <c r="AL38" s="1101">
        <v>9893.2000000000007</v>
      </c>
      <c r="AM38" s="543"/>
      <c r="AN38" s="1099">
        <v>1325.5687499999999</v>
      </c>
      <c r="AO38" s="1101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">
      <c r="A39" s="533" t="str">
        <f t="shared" si="1"/>
        <v>Véhicules neufsIntérêt de gros</v>
      </c>
      <c r="B39" s="743" t="s">
        <v>106</v>
      </c>
      <c r="C39" s="543"/>
      <c r="D39" s="1099">
        <f>IF(E39=0,0,E39/C$26)</f>
        <v>1128.371619433198</v>
      </c>
      <c r="E39" s="1080">
        <f t="shared" si="3"/>
        <v>278707.78999999992</v>
      </c>
      <c r="F39" s="543"/>
      <c r="G39" s="1099">
        <v>1704.9535714285714</v>
      </c>
      <c r="H39" s="1101">
        <v>23869.35</v>
      </c>
      <c r="I39" s="543"/>
      <c r="J39" s="1099">
        <v>2120.3666666666668</v>
      </c>
      <c r="K39" s="1101">
        <v>19083.3</v>
      </c>
      <c r="L39" s="543"/>
      <c r="M39" s="1099">
        <v>922.99148148148151</v>
      </c>
      <c r="N39" s="1101">
        <v>24920.77</v>
      </c>
      <c r="O39" s="543"/>
      <c r="P39" s="1099">
        <v>853.67172413793105</v>
      </c>
      <c r="Q39" s="1101">
        <v>24756.48</v>
      </c>
      <c r="R39" s="543"/>
      <c r="S39" s="1099">
        <v>600.04409090909087</v>
      </c>
      <c r="T39" s="1101">
        <v>26401.94</v>
      </c>
      <c r="U39" s="543"/>
      <c r="V39" s="1099">
        <v>1163.8995</v>
      </c>
      <c r="W39" s="1101">
        <v>23277.99</v>
      </c>
      <c r="X39" s="543"/>
      <c r="Y39" s="1099">
        <v>1226.4177777777777</v>
      </c>
      <c r="Z39" s="1101">
        <v>22075.52</v>
      </c>
      <c r="AA39" s="543"/>
      <c r="AB39" s="1099">
        <v>1046.0519047619048</v>
      </c>
      <c r="AC39" s="1101">
        <v>21967.09</v>
      </c>
      <c r="AD39" s="543"/>
      <c r="AE39" s="1099">
        <v>1398.79</v>
      </c>
      <c r="AF39" s="1101">
        <v>22380.639999999999</v>
      </c>
      <c r="AG39" s="543"/>
      <c r="AH39" s="1099">
        <v>852.52103448275864</v>
      </c>
      <c r="AI39" s="1101">
        <v>24723.11</v>
      </c>
      <c r="AJ39" s="543"/>
      <c r="AK39" s="1099">
        <v>1893.1933333333334</v>
      </c>
      <c r="AL39" s="1101">
        <v>22718.32</v>
      </c>
      <c r="AM39" s="543"/>
      <c r="AN39" s="1099">
        <v>2816.66</v>
      </c>
      <c r="AO39" s="1101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5" hidden="1" customHeight="1">
      <c r="A40" s="533" t="str">
        <f t="shared" si="1"/>
        <v>Véhicules neufs[...]</v>
      </c>
      <c r="B40" s="743" t="s">
        <v>42</v>
      </c>
      <c r="C40" s="543"/>
      <c r="D40" s="1099">
        <f t="shared" ref="D40:D42" si="5">IF(E40=0,0,E40/C$26)</f>
        <v>0</v>
      </c>
      <c r="E40" s="1080">
        <f t="shared" si="3"/>
        <v>0</v>
      </c>
      <c r="F40" s="543"/>
      <c r="G40" s="1099"/>
      <c r="H40" s="1080"/>
      <c r="I40" s="543"/>
      <c r="J40" s="1099"/>
      <c r="K40" s="1080"/>
      <c r="L40" s="543"/>
      <c r="M40" s="1099"/>
      <c r="N40" s="1080"/>
      <c r="O40" s="543"/>
      <c r="P40" s="1099"/>
      <c r="Q40" s="1080"/>
      <c r="R40" s="543"/>
      <c r="S40" s="1099"/>
      <c r="T40" s="1080"/>
      <c r="U40" s="543"/>
      <c r="V40" s="1099"/>
      <c r="W40" s="1080"/>
      <c r="X40" s="543"/>
      <c r="Y40" s="1099"/>
      <c r="Z40" s="1080"/>
      <c r="AA40" s="543"/>
      <c r="AB40" s="1099"/>
      <c r="AC40" s="1080"/>
      <c r="AD40" s="543"/>
      <c r="AE40" s="1099">
        <v>0</v>
      </c>
      <c r="AF40" s="1080">
        <v>0</v>
      </c>
      <c r="AG40" s="543"/>
      <c r="AH40" s="1099">
        <v>0</v>
      </c>
      <c r="AI40" s="1080">
        <v>0</v>
      </c>
      <c r="AJ40" s="543"/>
      <c r="AK40" s="1099">
        <v>0</v>
      </c>
      <c r="AL40" s="1080">
        <v>0</v>
      </c>
      <c r="AM40" s="543"/>
      <c r="AN40" s="1099">
        <v>0</v>
      </c>
      <c r="AO40" s="1080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5" hidden="1" customHeight="1">
      <c r="A41" s="533" t="str">
        <f t="shared" si="1"/>
        <v>Véhicules neufs[...]</v>
      </c>
      <c r="B41" s="743" t="s">
        <v>42</v>
      </c>
      <c r="C41" s="543"/>
      <c r="D41" s="1099">
        <f t="shared" si="5"/>
        <v>0</v>
      </c>
      <c r="E41" s="1080">
        <f t="shared" si="3"/>
        <v>0</v>
      </c>
      <c r="F41" s="543"/>
      <c r="G41" s="1099"/>
      <c r="H41" s="1080"/>
      <c r="I41" s="543"/>
      <c r="J41" s="1099"/>
      <c r="K41" s="1080"/>
      <c r="L41" s="543"/>
      <c r="M41" s="1099"/>
      <c r="N41" s="1080"/>
      <c r="O41" s="543"/>
      <c r="P41" s="1099"/>
      <c r="Q41" s="1080"/>
      <c r="R41" s="543"/>
      <c r="S41" s="1099"/>
      <c r="T41" s="1080"/>
      <c r="U41" s="543"/>
      <c r="V41" s="1099"/>
      <c r="W41" s="1080"/>
      <c r="X41" s="543"/>
      <c r="Y41" s="1099"/>
      <c r="Z41" s="1080"/>
      <c r="AA41" s="543"/>
      <c r="AB41" s="1099"/>
      <c r="AC41" s="1080"/>
      <c r="AD41" s="543"/>
      <c r="AE41" s="1099">
        <v>0</v>
      </c>
      <c r="AF41" s="1080">
        <v>0</v>
      </c>
      <c r="AG41" s="543"/>
      <c r="AH41" s="1099">
        <v>0</v>
      </c>
      <c r="AI41" s="1080">
        <v>0</v>
      </c>
      <c r="AJ41" s="543"/>
      <c r="AK41" s="1099">
        <v>0</v>
      </c>
      <c r="AL41" s="1080">
        <v>0</v>
      </c>
      <c r="AM41" s="543"/>
      <c r="AN41" s="1099">
        <v>0</v>
      </c>
      <c r="AO41" s="1080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5" hidden="1" customHeight="1">
      <c r="A42" s="533" t="str">
        <f t="shared" si="1"/>
        <v>Véhicules neufs[...]</v>
      </c>
      <c r="B42" s="743" t="s">
        <v>42</v>
      </c>
      <c r="C42" s="601"/>
      <c r="D42" s="1099">
        <f t="shared" si="5"/>
        <v>0</v>
      </c>
      <c r="E42" s="1080">
        <f t="shared" si="3"/>
        <v>0</v>
      </c>
      <c r="F42" s="601"/>
      <c r="G42" s="1099"/>
      <c r="H42" s="1080"/>
      <c r="I42" s="601"/>
      <c r="J42" s="1099"/>
      <c r="K42" s="1080"/>
      <c r="L42" s="601"/>
      <c r="M42" s="1099"/>
      <c r="N42" s="1080"/>
      <c r="O42" s="601"/>
      <c r="P42" s="1099"/>
      <c r="Q42" s="1080"/>
      <c r="R42" s="601"/>
      <c r="S42" s="1099"/>
      <c r="T42" s="1080"/>
      <c r="U42" s="601"/>
      <c r="V42" s="1099"/>
      <c r="W42" s="1080"/>
      <c r="X42" s="601"/>
      <c r="Y42" s="1099"/>
      <c r="Z42" s="1080"/>
      <c r="AA42" s="601"/>
      <c r="AB42" s="1099"/>
      <c r="AC42" s="1080"/>
      <c r="AD42" s="601"/>
      <c r="AE42" s="1099">
        <v>0</v>
      </c>
      <c r="AF42" s="1080">
        <v>0</v>
      </c>
      <c r="AG42" s="601"/>
      <c r="AH42" s="1099">
        <v>0</v>
      </c>
      <c r="AI42" s="1080">
        <v>0</v>
      </c>
      <c r="AJ42" s="601"/>
      <c r="AK42" s="1099">
        <v>0</v>
      </c>
      <c r="AL42" s="1080">
        <v>0</v>
      </c>
      <c r="AM42" s="601"/>
      <c r="AN42" s="1099">
        <v>0</v>
      </c>
      <c r="AO42" s="1080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">
      <c r="A43" s="533" t="str">
        <f t="shared" si="1"/>
        <v>Véhicules neufsTOTAL VARIABLES</v>
      </c>
      <c r="B43" s="1106" t="s">
        <v>107</v>
      </c>
      <c r="C43" s="1107" t="s">
        <v>108</v>
      </c>
      <c r="D43" s="1108">
        <f>IFERROR(E43/E$29,0)</f>
        <v>0.613344321830262</v>
      </c>
      <c r="E43" s="1109">
        <f>SUM(E33:E42)</f>
        <v>890830.98999999987</v>
      </c>
      <c r="F43" s="1110" t="s">
        <v>108</v>
      </c>
      <c r="G43" s="1111">
        <v>0.82687754266947799</v>
      </c>
      <c r="H43" s="1112">
        <v>50619.5</v>
      </c>
      <c r="I43" s="1110" t="s">
        <v>108</v>
      </c>
      <c r="J43" s="1111">
        <v>0.76231446568296235</v>
      </c>
      <c r="K43" s="1112">
        <v>46167.99</v>
      </c>
      <c r="L43" s="1110" t="s">
        <v>108</v>
      </c>
      <c r="M43" s="1111">
        <v>0.50389635011180722</v>
      </c>
      <c r="N43" s="1112">
        <v>80693.12000000001</v>
      </c>
      <c r="O43" s="1110" t="s">
        <v>108</v>
      </c>
      <c r="P43" s="1111">
        <v>0.51782849598767544</v>
      </c>
      <c r="Q43" s="1112">
        <v>105713.89</v>
      </c>
      <c r="R43" s="1110" t="s">
        <v>108</v>
      </c>
      <c r="S43" s="1111">
        <v>0.46715233383947308</v>
      </c>
      <c r="T43" s="1112">
        <v>132366.53</v>
      </c>
      <c r="U43" s="1110" t="s">
        <v>108</v>
      </c>
      <c r="V43" s="1111">
        <v>0.58520908948345951</v>
      </c>
      <c r="W43" s="1112">
        <v>77433.55</v>
      </c>
      <c r="X43" s="1110" t="s">
        <v>108</v>
      </c>
      <c r="Y43" s="1111">
        <v>0.59270363154844674</v>
      </c>
      <c r="Z43" s="1112">
        <v>77135.150000000009</v>
      </c>
      <c r="AA43" s="1110" t="s">
        <v>108</v>
      </c>
      <c r="AB43" s="1111">
        <v>0.57896001250802653</v>
      </c>
      <c r="AC43" s="1112">
        <v>70948.84</v>
      </c>
      <c r="AD43" s="1110" t="s">
        <v>108</v>
      </c>
      <c r="AE43" s="1111">
        <v>0.84356539641760253</v>
      </c>
      <c r="AF43" s="1112">
        <v>62320.84</v>
      </c>
      <c r="AG43" s="1110" t="s">
        <v>108</v>
      </c>
      <c r="AH43" s="1111">
        <v>0.6006788113874072</v>
      </c>
      <c r="AI43" s="1112">
        <v>79435.520000000004</v>
      </c>
      <c r="AJ43" s="1110" t="s">
        <v>108</v>
      </c>
      <c r="AK43" s="1111">
        <v>0.84821438328350907</v>
      </c>
      <c r="AL43" s="1112">
        <v>58215.15</v>
      </c>
      <c r="AM43" s="1110" t="s">
        <v>108</v>
      </c>
      <c r="AN43" s="1111">
        <v>0.97128309067634033</v>
      </c>
      <c r="AO43" s="1112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">
      <c r="A44" s="533" t="str">
        <f t="shared" si="1"/>
        <v>Véhicules neufsSalaires cadres</v>
      </c>
      <c r="B44" s="1113" t="s">
        <v>109</v>
      </c>
      <c r="C44" s="543"/>
      <c r="D44" s="596"/>
      <c r="E44" s="1080">
        <f t="shared" si="3"/>
        <v>150211.78</v>
      </c>
      <c r="F44" s="543"/>
      <c r="G44" s="596"/>
      <c r="H44" s="1101">
        <v>12894.2</v>
      </c>
      <c r="I44" s="543"/>
      <c r="J44" s="596"/>
      <c r="K44" s="1101">
        <v>9339.9500000000007</v>
      </c>
      <c r="L44" s="543"/>
      <c r="M44" s="596"/>
      <c r="N44" s="1101">
        <v>16871.82</v>
      </c>
      <c r="O44" s="543"/>
      <c r="P44" s="596"/>
      <c r="Q44" s="1101">
        <v>13325.86</v>
      </c>
      <c r="R44" s="543"/>
      <c r="S44" s="596"/>
      <c r="T44" s="1101">
        <v>15912.54</v>
      </c>
      <c r="U44" s="543"/>
      <c r="V44" s="596"/>
      <c r="W44" s="1101">
        <v>12424.49</v>
      </c>
      <c r="X44" s="543"/>
      <c r="Y44" s="596"/>
      <c r="Z44" s="1101">
        <v>11717.38</v>
      </c>
      <c r="AA44" s="543"/>
      <c r="AB44" s="596"/>
      <c r="AC44" s="1101">
        <v>12528.62</v>
      </c>
      <c r="AD44" s="543"/>
      <c r="AE44" s="596"/>
      <c r="AF44" s="1101">
        <v>8665.3799999999992</v>
      </c>
      <c r="AG44" s="543"/>
      <c r="AH44" s="596"/>
      <c r="AI44" s="1101">
        <v>15649.62</v>
      </c>
      <c r="AJ44" s="543"/>
      <c r="AK44" s="596"/>
      <c r="AL44" s="1101">
        <v>10612.95</v>
      </c>
      <c r="AM44" s="543"/>
      <c r="AN44" s="596"/>
      <c r="AO44" s="1101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">
      <c r="A45" s="533" t="str">
        <f t="shared" si="1"/>
        <v>Véhicules neufsSalaires commis</v>
      </c>
      <c r="B45" s="1114" t="s">
        <v>110</v>
      </c>
      <c r="C45" s="543"/>
      <c r="D45" s="596"/>
      <c r="E45" s="1080">
        <f t="shared" si="3"/>
        <v>109863.51</v>
      </c>
      <c r="F45" s="543"/>
      <c r="G45" s="596"/>
      <c r="H45" s="1101">
        <v>10750.8</v>
      </c>
      <c r="I45" s="543"/>
      <c r="J45" s="596"/>
      <c r="K45" s="1101">
        <v>9452.14</v>
      </c>
      <c r="L45" s="543"/>
      <c r="M45" s="596"/>
      <c r="N45" s="1101">
        <v>8454.56</v>
      </c>
      <c r="O45" s="543"/>
      <c r="P45" s="596"/>
      <c r="Q45" s="1101">
        <v>8772.33</v>
      </c>
      <c r="R45" s="543"/>
      <c r="S45" s="596"/>
      <c r="T45" s="1101">
        <v>10268.57</v>
      </c>
      <c r="U45" s="543"/>
      <c r="V45" s="596"/>
      <c r="W45" s="1101">
        <v>8970.8700000000008</v>
      </c>
      <c r="X45" s="543"/>
      <c r="Y45" s="596"/>
      <c r="Z45" s="1101">
        <v>8797.9500000000007</v>
      </c>
      <c r="AA45" s="543"/>
      <c r="AB45" s="596"/>
      <c r="AC45" s="1101">
        <v>9037.0400000000009</v>
      </c>
      <c r="AD45" s="543"/>
      <c r="AE45" s="596"/>
      <c r="AF45" s="1101">
        <v>9588.2199999999993</v>
      </c>
      <c r="AG45" s="543"/>
      <c r="AH45" s="596"/>
      <c r="AI45" s="1101">
        <v>9716.84</v>
      </c>
      <c r="AJ45" s="543"/>
      <c r="AK45" s="596"/>
      <c r="AL45" s="1101">
        <v>8809.68</v>
      </c>
      <c r="AM45" s="543"/>
      <c r="AN45" s="596"/>
      <c r="AO45" s="1101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">
      <c r="A46" s="533" t="str">
        <f t="shared" si="1"/>
        <v>Véhicules neufsSalaires autres</v>
      </c>
      <c r="B46" s="1113" t="s">
        <v>111</v>
      </c>
      <c r="C46" s="1115"/>
      <c r="D46" s="1116"/>
      <c r="E46" s="1117">
        <f t="shared" si="3"/>
        <v>3762</v>
      </c>
      <c r="F46" s="1115"/>
      <c r="G46" s="1116"/>
      <c r="H46" s="1118">
        <v>342</v>
      </c>
      <c r="I46" s="1115"/>
      <c r="J46" s="1116"/>
      <c r="K46" s="1118">
        <v>342</v>
      </c>
      <c r="L46" s="1115"/>
      <c r="M46" s="1116"/>
      <c r="N46" s="1118">
        <v>342</v>
      </c>
      <c r="O46" s="1115"/>
      <c r="P46" s="1116"/>
      <c r="Q46" s="1118">
        <v>342</v>
      </c>
      <c r="R46" s="1115"/>
      <c r="S46" s="1116"/>
      <c r="T46" s="1118">
        <v>342</v>
      </c>
      <c r="U46" s="1115"/>
      <c r="V46" s="1116"/>
      <c r="W46" s="1118">
        <v>342</v>
      </c>
      <c r="X46" s="1115"/>
      <c r="Y46" s="1116"/>
      <c r="Z46" s="1118">
        <v>342</v>
      </c>
      <c r="AA46" s="1115"/>
      <c r="AB46" s="1116"/>
      <c r="AC46" s="1118">
        <v>342</v>
      </c>
      <c r="AD46" s="1115"/>
      <c r="AE46" s="1116"/>
      <c r="AF46" s="1118">
        <v>342</v>
      </c>
      <c r="AG46" s="1115"/>
      <c r="AH46" s="1116"/>
      <c r="AI46" s="1118">
        <v>342</v>
      </c>
      <c r="AJ46" s="1115"/>
      <c r="AK46" s="1116"/>
      <c r="AL46" s="1118">
        <v>342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">
      <c r="A47" s="533" t="str">
        <f t="shared" si="1"/>
        <v>Véhicules neufsSalaires spécialistes</v>
      </c>
      <c r="B47" s="1113" t="s">
        <v>112</v>
      </c>
      <c r="C47" s="543"/>
      <c r="D47" s="596"/>
      <c r="E47" s="1080">
        <f t="shared" si="3"/>
        <v>0</v>
      </c>
      <c r="F47" s="543"/>
      <c r="G47" s="596"/>
      <c r="H47" s="1101">
        <v>0</v>
      </c>
      <c r="I47" s="543"/>
      <c r="J47" s="596"/>
      <c r="K47" s="1101">
        <v>0</v>
      </c>
      <c r="L47" s="543"/>
      <c r="M47" s="596"/>
      <c r="N47" s="1101">
        <v>0</v>
      </c>
      <c r="O47" s="543"/>
      <c r="P47" s="596"/>
      <c r="Q47" s="1101">
        <v>0</v>
      </c>
      <c r="R47" s="543"/>
      <c r="S47" s="596"/>
      <c r="T47" s="1101">
        <v>0</v>
      </c>
      <c r="U47" s="543"/>
      <c r="V47" s="596"/>
      <c r="W47" s="1101">
        <v>0</v>
      </c>
      <c r="X47" s="543"/>
      <c r="Y47" s="596"/>
      <c r="Z47" s="1101">
        <v>0</v>
      </c>
      <c r="AA47" s="543"/>
      <c r="AB47" s="596"/>
      <c r="AC47" s="1101">
        <v>0</v>
      </c>
      <c r="AD47" s="543"/>
      <c r="AE47" s="596"/>
      <c r="AF47" s="1101">
        <v>0</v>
      </c>
      <c r="AG47" s="543"/>
      <c r="AH47" s="596"/>
      <c r="AI47" s="1101">
        <v>0</v>
      </c>
      <c r="AJ47" s="543"/>
      <c r="AK47" s="596"/>
      <c r="AL47" s="1101">
        <v>0</v>
      </c>
      <c r="AM47" s="543"/>
      <c r="AN47" s="596"/>
      <c r="AO47" s="1101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5" hidden="1" customHeight="1">
      <c r="A48" s="533" t="str">
        <f t="shared" si="1"/>
        <v>Véhicules neufs[...]</v>
      </c>
      <c r="B48" s="743" t="s">
        <v>42</v>
      </c>
      <c r="C48" s="543"/>
      <c r="D48" s="596"/>
      <c r="E48" s="1080">
        <f t="shared" si="3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>
        <v>0</v>
      </c>
      <c r="AG48" s="543"/>
      <c r="AH48" s="596"/>
      <c r="AI48" s="1101">
        <v>0</v>
      </c>
      <c r="AJ48" s="543"/>
      <c r="AK48" s="596"/>
      <c r="AL48" s="1101">
        <v>0</v>
      </c>
      <c r="AM48" s="543"/>
      <c r="AN48" s="596"/>
      <c r="AO48" s="1101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5" hidden="1" customHeight="1">
      <c r="A49" s="533" t="str">
        <f t="shared" si="1"/>
        <v>Véhicules neufs[...]</v>
      </c>
      <c r="B49" s="743" t="s">
        <v>42</v>
      </c>
      <c r="C49" s="543"/>
      <c r="D49" s="596"/>
      <c r="E49" s="1080">
        <f t="shared" si="3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>
        <v>0</v>
      </c>
      <c r="AG49" s="543"/>
      <c r="AH49" s="596"/>
      <c r="AI49" s="1101">
        <v>0</v>
      </c>
      <c r="AJ49" s="543"/>
      <c r="AK49" s="596"/>
      <c r="AL49" s="1101">
        <v>0</v>
      </c>
      <c r="AM49" s="543"/>
      <c r="AN49" s="596"/>
      <c r="AO49" s="1101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5" hidden="1" customHeight="1">
      <c r="A50" s="533" t="str">
        <f t="shared" si="1"/>
        <v>Véhicules neufs[...]</v>
      </c>
      <c r="B50" s="743" t="s">
        <v>42</v>
      </c>
      <c r="C50" s="543"/>
      <c r="D50" s="596"/>
      <c r="E50" s="1080">
        <f t="shared" si="3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>
        <v>0</v>
      </c>
      <c r="AG50" s="543"/>
      <c r="AH50" s="596"/>
      <c r="AI50" s="1101">
        <v>0</v>
      </c>
      <c r="AJ50" s="543"/>
      <c r="AK50" s="596"/>
      <c r="AL50" s="1101">
        <v>0</v>
      </c>
      <c r="AM50" s="543"/>
      <c r="AN50" s="596"/>
      <c r="AO50" s="1101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">
      <c r="A51" s="533" t="str">
        <f t="shared" si="1"/>
        <v>Véhicules neufsSalaires en absences</v>
      </c>
      <c r="B51" s="1114" t="s">
        <v>113</v>
      </c>
      <c r="C51" s="543"/>
      <c r="D51" s="596"/>
      <c r="E51" s="1080">
        <f t="shared" si="3"/>
        <v>88757.470000000016</v>
      </c>
      <c r="F51" s="543"/>
      <c r="G51" s="596"/>
      <c r="H51" s="1101">
        <v>12038.34</v>
      </c>
      <c r="I51" s="543"/>
      <c r="J51" s="596"/>
      <c r="K51" s="1101">
        <v>5995.26</v>
      </c>
      <c r="L51" s="543"/>
      <c r="M51" s="596"/>
      <c r="N51" s="1101">
        <v>6699.63</v>
      </c>
      <c r="O51" s="543"/>
      <c r="P51" s="596"/>
      <c r="Q51" s="1101">
        <v>9449.4599999999991</v>
      </c>
      <c r="R51" s="543"/>
      <c r="S51" s="596"/>
      <c r="T51" s="1101">
        <v>9389.52</v>
      </c>
      <c r="U51" s="543"/>
      <c r="V51" s="596"/>
      <c r="W51" s="1101">
        <v>9776.36</v>
      </c>
      <c r="X51" s="543"/>
      <c r="Y51" s="596"/>
      <c r="Z51" s="1101">
        <v>10908.19</v>
      </c>
      <c r="AA51" s="543"/>
      <c r="AB51" s="596"/>
      <c r="AC51" s="1101">
        <v>6616.47</v>
      </c>
      <c r="AD51" s="543"/>
      <c r="AE51" s="596"/>
      <c r="AF51" s="1101">
        <v>5690.78</v>
      </c>
      <c r="AG51" s="543"/>
      <c r="AH51" s="596"/>
      <c r="AI51" s="1101">
        <v>5784.47</v>
      </c>
      <c r="AJ51" s="543"/>
      <c r="AK51" s="596"/>
      <c r="AL51" s="1101">
        <v>6229.35</v>
      </c>
      <c r="AM51" s="543"/>
      <c r="AN51" s="596"/>
      <c r="AO51" s="1101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">
      <c r="A52" s="533" t="str">
        <f t="shared" si="1"/>
        <v>Véhicules neufsDéduction à la source</v>
      </c>
      <c r="B52" s="1113" t="s">
        <v>114</v>
      </c>
      <c r="C52" s="1115"/>
      <c r="D52" s="1116"/>
      <c r="E52" s="1117">
        <f t="shared" si="3"/>
        <v>106832.81</v>
      </c>
      <c r="F52" s="1115"/>
      <c r="G52" s="1116"/>
      <c r="H52" s="1118">
        <v>13161.05</v>
      </c>
      <c r="I52" s="1115"/>
      <c r="J52" s="1116"/>
      <c r="K52" s="1118">
        <v>9498.4599999999991</v>
      </c>
      <c r="L52" s="1115"/>
      <c r="M52" s="1116"/>
      <c r="N52" s="1118">
        <v>8664.31</v>
      </c>
      <c r="O52" s="1115"/>
      <c r="P52" s="1116"/>
      <c r="Q52" s="1118">
        <v>11008.13</v>
      </c>
      <c r="R52" s="1115"/>
      <c r="S52" s="1116"/>
      <c r="T52" s="1118">
        <v>14580.12</v>
      </c>
      <c r="U52" s="1115"/>
      <c r="V52" s="1116"/>
      <c r="W52" s="1118">
        <v>11933.83</v>
      </c>
      <c r="X52" s="1115"/>
      <c r="Y52" s="1116"/>
      <c r="Z52" s="1118">
        <v>8031.37</v>
      </c>
      <c r="AA52" s="1115"/>
      <c r="AB52" s="1116"/>
      <c r="AC52" s="1118">
        <v>7148.47</v>
      </c>
      <c r="AD52" s="1115"/>
      <c r="AE52" s="1116"/>
      <c r="AF52" s="1118">
        <v>6290.55</v>
      </c>
      <c r="AG52" s="1115"/>
      <c r="AH52" s="1116"/>
      <c r="AI52" s="1118">
        <v>6891.78</v>
      </c>
      <c r="AJ52" s="1115"/>
      <c r="AK52" s="1116"/>
      <c r="AL52" s="1118">
        <v>2828.19</v>
      </c>
      <c r="AM52" s="1115"/>
      <c r="AN52" s="1116"/>
      <c r="AO52" s="1118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">
      <c r="A53" s="533" t="str">
        <f t="shared" si="1"/>
        <v>Véhicules neufsBénéfices marginaux</v>
      </c>
      <c r="B53" s="1119" t="s">
        <v>115</v>
      </c>
      <c r="C53" s="543"/>
      <c r="D53" s="596"/>
      <c r="E53" s="1080">
        <f t="shared" si="3"/>
        <v>53478.070000000007</v>
      </c>
      <c r="F53" s="543"/>
      <c r="G53" s="596"/>
      <c r="H53" s="1101">
        <v>5729.01</v>
      </c>
      <c r="I53" s="543"/>
      <c r="J53" s="596"/>
      <c r="K53" s="1101">
        <v>3980.66</v>
      </c>
      <c r="L53" s="543"/>
      <c r="M53" s="596"/>
      <c r="N53" s="1101">
        <v>3932.59</v>
      </c>
      <c r="O53" s="543"/>
      <c r="P53" s="596"/>
      <c r="Q53" s="1101">
        <v>4701.09</v>
      </c>
      <c r="R53" s="543"/>
      <c r="S53" s="596"/>
      <c r="T53" s="1101">
        <v>5134.16</v>
      </c>
      <c r="U53" s="543"/>
      <c r="V53" s="596"/>
      <c r="W53" s="1101">
        <v>4599.38</v>
      </c>
      <c r="X53" s="543"/>
      <c r="Y53" s="596"/>
      <c r="Z53" s="1101">
        <v>5558.62</v>
      </c>
      <c r="AA53" s="543"/>
      <c r="AB53" s="596"/>
      <c r="AC53" s="1101">
        <v>4787.83</v>
      </c>
      <c r="AD53" s="543"/>
      <c r="AE53" s="596"/>
      <c r="AF53" s="1101">
        <v>3662.44</v>
      </c>
      <c r="AG53" s="543"/>
      <c r="AH53" s="596"/>
      <c r="AI53" s="1101">
        <v>4064.63</v>
      </c>
      <c r="AJ53" s="543"/>
      <c r="AK53" s="596"/>
      <c r="AL53" s="1101">
        <v>3604.97</v>
      </c>
      <c r="AM53" s="543"/>
      <c r="AN53" s="596"/>
      <c r="AO53" s="1101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">
      <c r="A54" s="533" t="str">
        <f t="shared" si="1"/>
        <v>Véhicules neufsCsst</v>
      </c>
      <c r="B54" s="1113" t="s">
        <v>116</v>
      </c>
      <c r="C54" s="543"/>
      <c r="D54" s="596"/>
      <c r="E54" s="1080">
        <f t="shared" si="3"/>
        <v>16255.3</v>
      </c>
      <c r="F54" s="543"/>
      <c r="G54" s="596"/>
      <c r="H54" s="1101">
        <v>1785.03</v>
      </c>
      <c r="I54" s="543"/>
      <c r="J54" s="596"/>
      <c r="K54" s="1101">
        <v>1097.44</v>
      </c>
      <c r="L54" s="543"/>
      <c r="M54" s="596"/>
      <c r="N54" s="1101">
        <v>1191.0999999999999</v>
      </c>
      <c r="O54" s="543"/>
      <c r="P54" s="596"/>
      <c r="Q54" s="1101">
        <v>1835.54</v>
      </c>
      <c r="R54" s="543"/>
      <c r="S54" s="596"/>
      <c r="T54" s="1101">
        <v>1956.39</v>
      </c>
      <c r="U54" s="543"/>
      <c r="V54" s="596"/>
      <c r="W54" s="1101">
        <v>3165.52</v>
      </c>
      <c r="X54" s="543"/>
      <c r="Y54" s="596"/>
      <c r="Z54" s="1101">
        <v>1980</v>
      </c>
      <c r="AA54" s="543"/>
      <c r="AB54" s="596"/>
      <c r="AC54" s="1101">
        <v>556.58000000000004</v>
      </c>
      <c r="AD54" s="543"/>
      <c r="AE54" s="596"/>
      <c r="AF54" s="1101">
        <v>262.14999999999998</v>
      </c>
      <c r="AG54" s="543"/>
      <c r="AH54" s="596"/>
      <c r="AI54" s="1101">
        <v>457.75</v>
      </c>
      <c r="AJ54" s="543"/>
      <c r="AK54" s="596"/>
      <c r="AL54" s="1101">
        <v>395.57</v>
      </c>
      <c r="AM54" s="543"/>
      <c r="AN54" s="596"/>
      <c r="AO54" s="1101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5" hidden="1" customHeight="1">
      <c r="A55" s="533" t="str">
        <f t="shared" si="1"/>
        <v>Véhicules neufs[...]</v>
      </c>
      <c r="B55" s="743" t="s">
        <v>42</v>
      </c>
      <c r="C55" s="601"/>
      <c r="D55" s="1120"/>
      <c r="E55" s="1103">
        <f t="shared" si="3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>
        <v>0</v>
      </c>
      <c r="AG55" s="601"/>
      <c r="AH55" s="1120"/>
      <c r="AI55" s="1103">
        <v>0</v>
      </c>
      <c r="AJ55" s="601"/>
      <c r="AK55" s="1120"/>
      <c r="AL55" s="1103">
        <v>0</v>
      </c>
      <c r="AM55" s="601"/>
      <c r="AN55" s="1120"/>
      <c r="AO55" s="1103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">
      <c r="A56" s="533" t="str">
        <f t="shared" si="1"/>
        <v>Véhicules neufsTOTAL PERSONNEL</v>
      </c>
      <c r="B56" s="1106" t="s">
        <v>117</v>
      </c>
      <c r="C56" s="1107" t="s">
        <v>108</v>
      </c>
      <c r="D56" s="1108">
        <f>IFERROR(E56/E$29,0)</f>
        <v>0.36433157526700327</v>
      </c>
      <c r="E56" s="1109">
        <f>+SUM(E44:E55)</f>
        <v>529160.94000000006</v>
      </c>
      <c r="F56" s="1110" t="s">
        <v>108</v>
      </c>
      <c r="G56" s="1111">
        <v>1.21092450369083</v>
      </c>
      <c r="H56" s="1112">
        <v>56700.43</v>
      </c>
      <c r="I56" s="1110" t="s">
        <v>108</v>
      </c>
      <c r="J56" s="1111">
        <v>1.21092450369083</v>
      </c>
      <c r="K56" s="1112">
        <v>39705.910000000003</v>
      </c>
      <c r="L56" s="1110" t="s">
        <v>108</v>
      </c>
      <c r="M56" s="1111">
        <v>1.21092450369083</v>
      </c>
      <c r="N56" s="1112">
        <v>46156.01</v>
      </c>
      <c r="O56" s="1110" t="s">
        <v>108</v>
      </c>
      <c r="P56" s="1111">
        <v>1.21092450369083</v>
      </c>
      <c r="Q56" s="1112">
        <v>49434.409999999996</v>
      </c>
      <c r="R56" s="1110" t="s">
        <v>108</v>
      </c>
      <c r="S56" s="1111">
        <v>1.21092450369083</v>
      </c>
      <c r="T56" s="1112">
        <v>57583.3</v>
      </c>
      <c r="U56" s="1110" t="s">
        <v>108</v>
      </c>
      <c r="V56" s="1111">
        <v>1.21092450369083</v>
      </c>
      <c r="W56" s="1112">
        <v>51212.45</v>
      </c>
      <c r="X56" s="1110" t="s">
        <v>108</v>
      </c>
      <c r="Y56" s="1111">
        <v>1.21092450369083</v>
      </c>
      <c r="Z56" s="1112">
        <v>47335.510000000009</v>
      </c>
      <c r="AA56" s="1110" t="s">
        <v>108</v>
      </c>
      <c r="AB56" s="1111">
        <v>1.21092450369083</v>
      </c>
      <c r="AC56" s="1112">
        <v>41017.010000000009</v>
      </c>
      <c r="AD56" s="1110" t="s">
        <v>108</v>
      </c>
      <c r="AE56" s="1111">
        <v>0.46700731883283092</v>
      </c>
      <c r="AF56" s="1112">
        <v>34501.519999999997</v>
      </c>
      <c r="AG56" s="1110" t="s">
        <v>108</v>
      </c>
      <c r="AH56" s="1111">
        <v>0.32445661363194328</v>
      </c>
      <c r="AI56" s="1112">
        <v>42907.09</v>
      </c>
      <c r="AJ56" s="1110" t="s">
        <v>108</v>
      </c>
      <c r="AK56" s="1111">
        <v>0.47823796246069056</v>
      </c>
      <c r="AL56" s="1112">
        <v>32822.710000000006</v>
      </c>
      <c r="AM56" s="1110" t="s">
        <v>108</v>
      </c>
      <c r="AN56" s="1111">
        <v>0.58113177580979558</v>
      </c>
      <c r="AO56" s="1112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">
      <c r="A57" s="533" t="str">
        <f t="shared" si="1"/>
        <v>Véhicules neufsPublicité 2</v>
      </c>
      <c r="B57" s="743" t="s">
        <v>118</v>
      </c>
      <c r="C57" s="543"/>
      <c r="D57" s="596"/>
      <c r="E57" s="1080">
        <f t="shared" si="3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">
      <c r="A58" s="533" t="str">
        <f t="shared" si="1"/>
        <v>Véhicules neufsService gratuit 2</v>
      </c>
      <c r="B58" s="743" t="s">
        <v>119</v>
      </c>
      <c r="C58" s="543"/>
      <c r="D58" s="596"/>
      <c r="E58" s="1080">
        <f t="shared" si="3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">
      <c r="A59" s="533" t="str">
        <f t="shared" si="1"/>
        <v>Véhicules neufsFrais véhicules de cie</v>
      </c>
      <c r="B59" s="747" t="s">
        <v>120</v>
      </c>
      <c r="C59" s="1121"/>
      <c r="D59" s="1122"/>
      <c r="E59" s="1123">
        <f t="shared" si="3"/>
        <v>92571.209999999992</v>
      </c>
      <c r="F59" s="1121"/>
      <c r="G59" s="1122"/>
      <c r="H59" s="1124">
        <v>5499.66</v>
      </c>
      <c r="I59" s="1121"/>
      <c r="J59" s="1122"/>
      <c r="K59" s="1124">
        <v>6196.97</v>
      </c>
      <c r="L59" s="1121"/>
      <c r="M59" s="1122"/>
      <c r="N59" s="1124">
        <v>9141.23</v>
      </c>
      <c r="O59" s="1121"/>
      <c r="P59" s="1122"/>
      <c r="Q59" s="1124">
        <v>8435.32</v>
      </c>
      <c r="R59" s="1121"/>
      <c r="S59" s="1122"/>
      <c r="T59" s="1124">
        <v>9801.83</v>
      </c>
      <c r="U59" s="1121"/>
      <c r="V59" s="1122"/>
      <c r="W59" s="1124">
        <v>9596.17</v>
      </c>
      <c r="X59" s="1121"/>
      <c r="Y59" s="1122"/>
      <c r="Z59" s="1124">
        <v>9997.42</v>
      </c>
      <c r="AA59" s="1121"/>
      <c r="AB59" s="1122"/>
      <c r="AC59" s="1124">
        <v>8427.08</v>
      </c>
      <c r="AD59" s="1121"/>
      <c r="AE59" s="1122"/>
      <c r="AF59" s="1124">
        <v>6262.21</v>
      </c>
      <c r="AG59" s="1121"/>
      <c r="AH59" s="1122"/>
      <c r="AI59" s="1124">
        <v>8410.07</v>
      </c>
      <c r="AJ59" s="1121"/>
      <c r="AK59" s="1122"/>
      <c r="AL59" s="1124">
        <v>8798.8700000000008</v>
      </c>
      <c r="AM59" s="1121"/>
      <c r="AN59" s="1122"/>
      <c r="AO59" s="1124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">
      <c r="A60" s="533" t="str">
        <f t="shared" si="1"/>
        <v>Véhicules neufsInformatique</v>
      </c>
      <c r="B60" s="743" t="s">
        <v>121</v>
      </c>
      <c r="C60" s="543"/>
      <c r="D60" s="596"/>
      <c r="E60" s="1080">
        <f t="shared" si="3"/>
        <v>58531.359999999993</v>
      </c>
      <c r="F60" s="543"/>
      <c r="G60" s="596"/>
      <c r="H60" s="1101">
        <v>4595.99</v>
      </c>
      <c r="I60" s="543"/>
      <c r="J60" s="596"/>
      <c r="K60" s="1101">
        <v>5591.73</v>
      </c>
      <c r="L60" s="543"/>
      <c r="M60" s="596"/>
      <c r="N60" s="1101">
        <v>5052.87</v>
      </c>
      <c r="O60" s="543"/>
      <c r="P60" s="596"/>
      <c r="Q60" s="1101">
        <v>4823.25</v>
      </c>
      <c r="R60" s="543"/>
      <c r="S60" s="596"/>
      <c r="T60" s="1101">
        <v>5604.87</v>
      </c>
      <c r="U60" s="543"/>
      <c r="V60" s="596"/>
      <c r="W60" s="1101">
        <v>4851.72</v>
      </c>
      <c r="X60" s="543"/>
      <c r="Y60" s="596"/>
      <c r="Z60" s="1101">
        <v>4744.13</v>
      </c>
      <c r="AA60" s="543"/>
      <c r="AB60" s="596"/>
      <c r="AC60" s="1101">
        <v>4714.76</v>
      </c>
      <c r="AD60" s="543"/>
      <c r="AE60" s="596"/>
      <c r="AF60" s="1101">
        <v>4134.17</v>
      </c>
      <c r="AG60" s="543"/>
      <c r="AH60" s="596"/>
      <c r="AI60" s="1101">
        <v>4221.13</v>
      </c>
      <c r="AJ60" s="543"/>
      <c r="AK60" s="596"/>
      <c r="AL60" s="1101">
        <v>4705.18</v>
      </c>
      <c r="AM60" s="543"/>
      <c r="AN60" s="596"/>
      <c r="AO60" s="1101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">
      <c r="A61" s="533" t="str">
        <f t="shared" si="1"/>
        <v>Véhicules neufsFrais de déplacement</v>
      </c>
      <c r="B61" s="743" t="s">
        <v>122</v>
      </c>
      <c r="C61" s="543"/>
      <c r="D61" s="596"/>
      <c r="E61" s="1080">
        <f t="shared" si="3"/>
        <v>7946.19</v>
      </c>
      <c r="F61" s="543"/>
      <c r="G61" s="596"/>
      <c r="H61" s="1101">
        <v>725.26</v>
      </c>
      <c r="I61" s="543"/>
      <c r="J61" s="596"/>
      <c r="K61" s="1101">
        <v>928.42</v>
      </c>
      <c r="L61" s="543"/>
      <c r="M61" s="596"/>
      <c r="N61" s="1101">
        <v>591.37</v>
      </c>
      <c r="O61" s="543"/>
      <c r="P61" s="596"/>
      <c r="Q61" s="1101">
        <v>1180.26</v>
      </c>
      <c r="R61" s="543"/>
      <c r="S61" s="596"/>
      <c r="T61" s="1101">
        <v>1141.1300000000001</v>
      </c>
      <c r="U61" s="543"/>
      <c r="V61" s="596"/>
      <c r="W61" s="1101">
        <v>429.47</v>
      </c>
      <c r="X61" s="543"/>
      <c r="Y61" s="596"/>
      <c r="Z61" s="1101">
        <v>646.1</v>
      </c>
      <c r="AA61" s="543"/>
      <c r="AB61" s="596"/>
      <c r="AC61" s="1101">
        <v>528.05999999999995</v>
      </c>
      <c r="AD61" s="543"/>
      <c r="AE61" s="596"/>
      <c r="AF61" s="1101">
        <v>-158.94</v>
      </c>
      <c r="AG61" s="543"/>
      <c r="AH61" s="596"/>
      <c r="AI61" s="1101">
        <v>27.88</v>
      </c>
      <c r="AJ61" s="543"/>
      <c r="AK61" s="596"/>
      <c r="AL61" s="1101">
        <v>1677.99</v>
      </c>
      <c r="AM61" s="543"/>
      <c r="AN61" s="596"/>
      <c r="AO61" s="1101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">
      <c r="A62" s="533" t="str">
        <f t="shared" si="1"/>
        <v>Véhicules neufsServices extérieurs</v>
      </c>
      <c r="B62" s="747" t="s">
        <v>123</v>
      </c>
      <c r="C62" s="1121"/>
      <c r="D62" s="1122"/>
      <c r="E62" s="1123">
        <f t="shared" si="3"/>
        <v>40323.410000000003</v>
      </c>
      <c r="F62" s="1121"/>
      <c r="G62" s="1122"/>
      <c r="H62" s="1124">
        <v>3486.68</v>
      </c>
      <c r="I62" s="1121"/>
      <c r="J62" s="1122"/>
      <c r="K62" s="1124">
        <v>3354.83</v>
      </c>
      <c r="L62" s="1121"/>
      <c r="M62" s="1122"/>
      <c r="N62" s="1124">
        <v>3242.45</v>
      </c>
      <c r="O62" s="1121"/>
      <c r="P62" s="1122"/>
      <c r="Q62" s="1124">
        <v>4615.6000000000004</v>
      </c>
      <c r="R62" s="1121"/>
      <c r="S62" s="1122"/>
      <c r="T62" s="1124">
        <v>3411.25</v>
      </c>
      <c r="U62" s="1121"/>
      <c r="V62" s="1122"/>
      <c r="W62" s="1124">
        <v>2489.44</v>
      </c>
      <c r="X62" s="1121"/>
      <c r="Y62" s="1122"/>
      <c r="Z62" s="1124">
        <v>3019.73</v>
      </c>
      <c r="AA62" s="1121"/>
      <c r="AB62" s="1122"/>
      <c r="AC62" s="1124">
        <v>2793.6</v>
      </c>
      <c r="AD62" s="1121"/>
      <c r="AE62" s="1122"/>
      <c r="AF62" s="1124">
        <v>3146.4</v>
      </c>
      <c r="AG62" s="1121"/>
      <c r="AH62" s="1122"/>
      <c r="AI62" s="1124">
        <v>1637.7</v>
      </c>
      <c r="AJ62" s="1121"/>
      <c r="AK62" s="1122"/>
      <c r="AL62" s="1124">
        <v>4126.96</v>
      </c>
      <c r="AM62" s="1121"/>
      <c r="AN62" s="1122"/>
      <c r="AO62" s="1124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">
      <c r="A63" s="533" t="str">
        <f t="shared" si="1"/>
        <v>Véhicules neufsFournitures autres</v>
      </c>
      <c r="B63" s="743" t="s">
        <v>124</v>
      </c>
      <c r="C63" s="543"/>
      <c r="D63" s="596"/>
      <c r="E63" s="1080">
        <f t="shared" si="3"/>
        <v>839.06000000000006</v>
      </c>
      <c r="F63" s="543"/>
      <c r="G63" s="596"/>
      <c r="H63" s="1101">
        <v>119.97</v>
      </c>
      <c r="I63" s="543"/>
      <c r="J63" s="596"/>
      <c r="K63" s="1101">
        <v>4.9400000000000004</v>
      </c>
      <c r="L63" s="543"/>
      <c r="M63" s="596"/>
      <c r="N63" s="1101">
        <v>2.36</v>
      </c>
      <c r="O63" s="543"/>
      <c r="P63" s="596"/>
      <c r="Q63" s="1101">
        <v>0</v>
      </c>
      <c r="R63" s="543"/>
      <c r="S63" s="596"/>
      <c r="T63" s="1101">
        <v>0</v>
      </c>
      <c r="U63" s="543"/>
      <c r="V63" s="596"/>
      <c r="W63" s="1101">
        <v>138.66</v>
      </c>
      <c r="X63" s="543"/>
      <c r="Y63" s="596"/>
      <c r="Z63" s="1101">
        <v>60.91</v>
      </c>
      <c r="AA63" s="543"/>
      <c r="AB63" s="596"/>
      <c r="AC63" s="1101">
        <v>0</v>
      </c>
      <c r="AD63" s="543"/>
      <c r="AE63" s="596"/>
      <c r="AF63" s="1101">
        <v>113.9</v>
      </c>
      <c r="AG63" s="543"/>
      <c r="AH63" s="596"/>
      <c r="AI63" s="1101">
        <v>0</v>
      </c>
      <c r="AJ63" s="543"/>
      <c r="AK63" s="596"/>
      <c r="AL63" s="1101">
        <v>385.2</v>
      </c>
      <c r="AM63" s="543"/>
      <c r="AN63" s="596"/>
      <c r="AO63" s="1101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">
      <c r="A64" s="533" t="str">
        <f t="shared" si="1"/>
        <v>Véhicules neufsUniformes</v>
      </c>
      <c r="B64" s="743" t="s">
        <v>125</v>
      </c>
      <c r="C64" s="543"/>
      <c r="D64" s="596"/>
      <c r="E64" s="1080">
        <f t="shared" si="3"/>
        <v>359.90999999999997</v>
      </c>
      <c r="F64" s="543"/>
      <c r="G64" s="596"/>
      <c r="H64" s="1101">
        <v>0</v>
      </c>
      <c r="I64" s="543"/>
      <c r="J64" s="596"/>
      <c r="K64" s="1101">
        <v>0</v>
      </c>
      <c r="L64" s="543"/>
      <c r="M64" s="596"/>
      <c r="N64" s="1101">
        <v>62.91</v>
      </c>
      <c r="O64" s="543"/>
      <c r="P64" s="596"/>
      <c r="Q64" s="1101">
        <v>297</v>
      </c>
      <c r="R64" s="543"/>
      <c r="S64" s="596"/>
      <c r="T64" s="1101">
        <v>0</v>
      </c>
      <c r="U64" s="543"/>
      <c r="V64" s="596"/>
      <c r="W64" s="1101">
        <v>0</v>
      </c>
      <c r="X64" s="543"/>
      <c r="Y64" s="596"/>
      <c r="Z64" s="1101">
        <v>0</v>
      </c>
      <c r="AA64" s="543"/>
      <c r="AB64" s="596"/>
      <c r="AC64" s="1101">
        <v>0</v>
      </c>
      <c r="AD64" s="543"/>
      <c r="AE64" s="596"/>
      <c r="AF64" s="1101">
        <v>0</v>
      </c>
      <c r="AG64" s="543"/>
      <c r="AH64" s="596"/>
      <c r="AI64" s="1101">
        <v>0</v>
      </c>
      <c r="AJ64" s="543"/>
      <c r="AK64" s="596"/>
      <c r="AL64" s="1101">
        <v>0</v>
      </c>
      <c r="AM64" s="543"/>
      <c r="AN64" s="596"/>
      <c r="AO64" s="1101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">
      <c r="A65" s="533" t="str">
        <f t="shared" si="1"/>
        <v>Véhicules neufsPapeterie</v>
      </c>
      <c r="B65" s="743" t="s">
        <v>126</v>
      </c>
      <c r="C65" s="543"/>
      <c r="D65" s="596"/>
      <c r="E65" s="1080">
        <f t="shared" si="3"/>
        <v>6265.5999999999995</v>
      </c>
      <c r="F65" s="543"/>
      <c r="G65" s="596"/>
      <c r="H65" s="1101">
        <v>627.79</v>
      </c>
      <c r="I65" s="543"/>
      <c r="J65" s="596"/>
      <c r="K65" s="1101">
        <v>516.23</v>
      </c>
      <c r="L65" s="543"/>
      <c r="M65" s="596"/>
      <c r="N65" s="1101">
        <v>516.12</v>
      </c>
      <c r="O65" s="543"/>
      <c r="P65" s="596"/>
      <c r="Q65" s="1101">
        <v>527.44000000000005</v>
      </c>
      <c r="R65" s="543"/>
      <c r="S65" s="596"/>
      <c r="T65" s="1101">
        <v>368.11</v>
      </c>
      <c r="U65" s="543"/>
      <c r="V65" s="596"/>
      <c r="W65" s="1101">
        <v>735.07</v>
      </c>
      <c r="X65" s="543"/>
      <c r="Y65" s="596"/>
      <c r="Z65" s="1101">
        <v>336.91</v>
      </c>
      <c r="AA65" s="543"/>
      <c r="AB65" s="596"/>
      <c r="AC65" s="1101">
        <v>786.32</v>
      </c>
      <c r="AD65" s="543"/>
      <c r="AE65" s="596"/>
      <c r="AF65" s="1101">
        <v>605.9</v>
      </c>
      <c r="AG65" s="543"/>
      <c r="AH65" s="596"/>
      <c r="AI65" s="1101">
        <v>464.45</v>
      </c>
      <c r="AJ65" s="543"/>
      <c r="AK65" s="596"/>
      <c r="AL65" s="1101">
        <v>611.08000000000004</v>
      </c>
      <c r="AM65" s="543"/>
      <c r="AN65" s="596"/>
      <c r="AO65" s="1101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">
      <c r="A66" s="533" t="str">
        <f t="shared" si="1"/>
        <v>Véhicules neufsTéléphone</v>
      </c>
      <c r="B66" s="743" t="s">
        <v>127</v>
      </c>
      <c r="C66" s="543"/>
      <c r="D66" s="596"/>
      <c r="E66" s="1080">
        <f t="shared" si="3"/>
        <v>3292.44</v>
      </c>
      <c r="F66" s="543"/>
      <c r="G66" s="596"/>
      <c r="H66" s="1101">
        <v>527.77</v>
      </c>
      <c r="I66" s="543"/>
      <c r="J66" s="596"/>
      <c r="K66" s="1101">
        <v>327.58999999999997</v>
      </c>
      <c r="L66" s="543"/>
      <c r="M66" s="596"/>
      <c r="N66" s="1101">
        <v>563.32000000000005</v>
      </c>
      <c r="O66" s="543"/>
      <c r="P66" s="596"/>
      <c r="Q66" s="1101">
        <v>183.22</v>
      </c>
      <c r="R66" s="543"/>
      <c r="S66" s="596"/>
      <c r="T66" s="1101">
        <v>193.41</v>
      </c>
      <c r="U66" s="543"/>
      <c r="V66" s="596"/>
      <c r="W66" s="1101">
        <v>183.2</v>
      </c>
      <c r="X66" s="543"/>
      <c r="Y66" s="596"/>
      <c r="Z66" s="1101">
        <v>184.93</v>
      </c>
      <c r="AA66" s="543"/>
      <c r="AB66" s="596"/>
      <c r="AC66" s="1101">
        <v>178.01</v>
      </c>
      <c r="AD66" s="543"/>
      <c r="AE66" s="596"/>
      <c r="AF66" s="1101">
        <v>203.51</v>
      </c>
      <c r="AG66" s="543"/>
      <c r="AH66" s="596"/>
      <c r="AI66" s="1101">
        <v>192.44</v>
      </c>
      <c r="AJ66" s="543"/>
      <c r="AK66" s="596"/>
      <c r="AL66" s="1101">
        <v>204.52</v>
      </c>
      <c r="AM66" s="543"/>
      <c r="AN66" s="596"/>
      <c r="AO66" s="1101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">
      <c r="A67" s="533" t="str">
        <f t="shared" si="1"/>
        <v>Véhicules neufsFrais postaux</v>
      </c>
      <c r="B67" s="743" t="s">
        <v>128</v>
      </c>
      <c r="C67" s="543"/>
      <c r="D67" s="596"/>
      <c r="E67" s="1080">
        <f t="shared" si="3"/>
        <v>1599.7400000000002</v>
      </c>
      <c r="F67" s="543"/>
      <c r="G67" s="596"/>
      <c r="H67" s="1101">
        <v>111.32</v>
      </c>
      <c r="I67" s="543"/>
      <c r="J67" s="596"/>
      <c r="K67" s="1101">
        <v>147.97999999999999</v>
      </c>
      <c r="L67" s="543"/>
      <c r="M67" s="596"/>
      <c r="N67" s="1101">
        <v>158.66</v>
      </c>
      <c r="O67" s="543"/>
      <c r="P67" s="596"/>
      <c r="Q67" s="1101">
        <v>222.71</v>
      </c>
      <c r="R67" s="543"/>
      <c r="S67" s="596"/>
      <c r="T67" s="1101">
        <v>199.38</v>
      </c>
      <c r="U67" s="543"/>
      <c r="V67" s="596"/>
      <c r="W67" s="1101">
        <v>309.75</v>
      </c>
      <c r="X67" s="543"/>
      <c r="Y67" s="596"/>
      <c r="Z67" s="1101">
        <v>96.66</v>
      </c>
      <c r="AA67" s="543"/>
      <c r="AB67" s="596"/>
      <c r="AC67" s="1101">
        <v>110.92</v>
      </c>
      <c r="AD67" s="543"/>
      <c r="AE67" s="596"/>
      <c r="AF67" s="1101">
        <v>98.64</v>
      </c>
      <c r="AG67" s="543"/>
      <c r="AH67" s="596"/>
      <c r="AI67" s="1101">
        <v>20.23</v>
      </c>
      <c r="AJ67" s="543"/>
      <c r="AK67" s="596"/>
      <c r="AL67" s="1101">
        <v>34.83</v>
      </c>
      <c r="AM67" s="543"/>
      <c r="AN67" s="596"/>
      <c r="AO67" s="1101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">
      <c r="A68" s="533" t="str">
        <f t="shared" si="1"/>
        <v>Véhicules neufsDivers</v>
      </c>
      <c r="B68" s="743" t="s">
        <v>129</v>
      </c>
      <c r="C68" s="543"/>
      <c r="D68" s="596"/>
      <c r="E68" s="1080">
        <f t="shared" si="3"/>
        <v>9635.01</v>
      </c>
      <c r="F68" s="543"/>
      <c r="G68" s="596"/>
      <c r="H68" s="1101">
        <v>682.2</v>
      </c>
      <c r="I68" s="543"/>
      <c r="J68" s="596"/>
      <c r="K68" s="1101">
        <v>682.2</v>
      </c>
      <c r="L68" s="543"/>
      <c r="M68" s="596"/>
      <c r="N68" s="1101">
        <v>695.45</v>
      </c>
      <c r="O68" s="543"/>
      <c r="P68" s="596"/>
      <c r="Q68" s="1101">
        <v>682.2</v>
      </c>
      <c r="R68" s="543"/>
      <c r="S68" s="596"/>
      <c r="T68" s="1101">
        <v>866.69</v>
      </c>
      <c r="U68" s="543"/>
      <c r="V68" s="596"/>
      <c r="W68" s="1101">
        <v>1827.48</v>
      </c>
      <c r="X68" s="543"/>
      <c r="Y68" s="596"/>
      <c r="Z68" s="1101">
        <v>866.7</v>
      </c>
      <c r="AA68" s="543"/>
      <c r="AB68" s="596"/>
      <c r="AC68" s="1101">
        <v>1520.36</v>
      </c>
      <c r="AD68" s="543"/>
      <c r="AE68" s="596"/>
      <c r="AF68" s="1101">
        <v>761.51</v>
      </c>
      <c r="AG68" s="543"/>
      <c r="AH68" s="596"/>
      <c r="AI68" s="1101">
        <v>248.86</v>
      </c>
      <c r="AJ68" s="543"/>
      <c r="AK68" s="596"/>
      <c r="AL68" s="1101">
        <v>597.37</v>
      </c>
      <c r="AM68" s="543"/>
      <c r="AN68" s="596"/>
      <c r="AO68" s="1101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">
      <c r="A69" s="533" t="str">
        <f t="shared" si="1"/>
        <v>Véhicules neufsFormation</v>
      </c>
      <c r="B69" s="743" t="s">
        <v>130</v>
      </c>
      <c r="C69" s="543"/>
      <c r="D69" s="596"/>
      <c r="E69" s="1080">
        <f t="shared" si="3"/>
        <v>3864.54</v>
      </c>
      <c r="F69" s="543"/>
      <c r="G69" s="596"/>
      <c r="H69" s="1101">
        <v>141.22999999999999</v>
      </c>
      <c r="I69" s="543"/>
      <c r="J69" s="596"/>
      <c r="K69" s="1101">
        <v>589.37</v>
      </c>
      <c r="L69" s="543"/>
      <c r="M69" s="596"/>
      <c r="N69" s="1101">
        <v>524.84</v>
      </c>
      <c r="O69" s="543"/>
      <c r="P69" s="596"/>
      <c r="Q69" s="1101">
        <v>548.25</v>
      </c>
      <c r="R69" s="543"/>
      <c r="S69" s="596"/>
      <c r="T69" s="1101">
        <v>73.3</v>
      </c>
      <c r="U69" s="543"/>
      <c r="V69" s="596"/>
      <c r="W69" s="1101">
        <v>517.53</v>
      </c>
      <c r="X69" s="543"/>
      <c r="Y69" s="596"/>
      <c r="Z69" s="1101">
        <v>1094.6400000000001</v>
      </c>
      <c r="AA69" s="543"/>
      <c r="AB69" s="596"/>
      <c r="AC69" s="1101">
        <v>391.57</v>
      </c>
      <c r="AD69" s="543"/>
      <c r="AE69" s="596"/>
      <c r="AF69" s="1101">
        <v>-415.81</v>
      </c>
      <c r="AG69" s="543"/>
      <c r="AH69" s="596"/>
      <c r="AI69" s="1101">
        <v>-1602.55</v>
      </c>
      <c r="AJ69" s="543"/>
      <c r="AK69" s="596"/>
      <c r="AL69" s="1101">
        <v>1076.6400000000001</v>
      </c>
      <c r="AM69" s="543"/>
      <c r="AN69" s="596"/>
      <c r="AO69" s="1101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">
      <c r="A70" s="533" t="str">
        <f t="shared" si="1"/>
        <v>Véhicules neufsFrais bancaires</v>
      </c>
      <c r="B70" s="743" t="s">
        <v>131</v>
      </c>
      <c r="C70" s="543"/>
      <c r="D70" s="596"/>
      <c r="E70" s="1080">
        <f t="shared" si="3"/>
        <v>34927.129999999997</v>
      </c>
      <c r="F70" s="543"/>
      <c r="G70" s="596"/>
      <c r="H70" s="1101">
        <v>1960.95</v>
      </c>
      <c r="I70" s="543"/>
      <c r="J70" s="596"/>
      <c r="K70" s="1101">
        <v>1540</v>
      </c>
      <c r="L70" s="543"/>
      <c r="M70" s="596"/>
      <c r="N70" s="1101">
        <v>3011.32</v>
      </c>
      <c r="O70" s="543"/>
      <c r="P70" s="596"/>
      <c r="Q70" s="1101">
        <v>4475.8900000000003</v>
      </c>
      <c r="R70" s="543"/>
      <c r="S70" s="596"/>
      <c r="T70" s="1101">
        <v>4388.4799999999996</v>
      </c>
      <c r="U70" s="543"/>
      <c r="V70" s="596"/>
      <c r="W70" s="1101">
        <v>2634.17</v>
      </c>
      <c r="X70" s="543"/>
      <c r="Y70" s="596"/>
      <c r="Z70" s="1101">
        <v>3010.11</v>
      </c>
      <c r="AA70" s="543"/>
      <c r="AB70" s="596"/>
      <c r="AC70" s="1101">
        <v>2835.91</v>
      </c>
      <c r="AD70" s="543"/>
      <c r="AE70" s="596"/>
      <c r="AF70" s="1101">
        <v>1522.38</v>
      </c>
      <c r="AG70" s="543"/>
      <c r="AH70" s="596"/>
      <c r="AI70" s="1101">
        <v>2738.78</v>
      </c>
      <c r="AJ70" s="543"/>
      <c r="AK70" s="596"/>
      <c r="AL70" s="1101">
        <v>4507.29</v>
      </c>
      <c r="AM70" s="543"/>
      <c r="AN70" s="596"/>
      <c r="AO70" s="1101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5" hidden="1" customHeight="1">
      <c r="A71" s="533" t="str">
        <f t="shared" si="1"/>
        <v>Véhicules neufs[...]</v>
      </c>
      <c r="B71" s="743" t="s">
        <v>42</v>
      </c>
      <c r="C71" s="543"/>
      <c r="D71" s="596"/>
      <c r="E71" s="1080">
        <f t="shared" si="3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5" hidden="1" customHeight="1">
      <c r="A72" s="533" t="str">
        <f t="shared" si="1"/>
        <v>Véhicules neufs[...]</v>
      </c>
      <c r="B72" s="743" t="s">
        <v>42</v>
      </c>
      <c r="C72" s="543"/>
      <c r="D72" s="596"/>
      <c r="E72" s="1080">
        <f t="shared" si="3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>
        <v>0</v>
      </c>
      <c r="AG72" s="543"/>
      <c r="AH72" s="596"/>
      <c r="AI72" s="1080">
        <v>0</v>
      </c>
      <c r="AJ72" s="543"/>
      <c r="AK72" s="596"/>
      <c r="AL72" s="1080">
        <v>0</v>
      </c>
      <c r="AM72" s="543"/>
      <c r="AN72" s="596"/>
      <c r="AO72" s="1080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5" hidden="1" customHeight="1">
      <c r="A73" s="533" t="str">
        <f t="shared" ref="A73:A87" si="6">+$C$4&amp;B73</f>
        <v>Véhicules neufs[...]</v>
      </c>
      <c r="B73" s="743" t="s">
        <v>42</v>
      </c>
      <c r="C73" s="601"/>
      <c r="D73" s="1120"/>
      <c r="E73" s="1080">
        <f t="shared" si="3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>
        <v>0</v>
      </c>
      <c r="AG73" s="601"/>
      <c r="AH73" s="1120"/>
      <c r="AI73" s="1080">
        <v>0</v>
      </c>
      <c r="AJ73" s="601"/>
      <c r="AK73" s="1120"/>
      <c r="AL73" s="1080">
        <v>0</v>
      </c>
      <c r="AM73" s="601"/>
      <c r="AN73" s="1120"/>
      <c r="AO73" s="1080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">
      <c r="A74" s="533" t="str">
        <f t="shared" si="6"/>
        <v>Véhicules neufsTOTAL SEMI-FIXES</v>
      </c>
      <c r="B74" s="1106" t="s">
        <v>132</v>
      </c>
      <c r="C74" s="1107" t="s">
        <v>108</v>
      </c>
      <c r="D74" s="1108">
        <f>IFERROR(E74/E$29,0)</f>
        <v>0.17911922894863025</v>
      </c>
      <c r="E74" s="1109">
        <f>+SUM(E57:E73)</f>
        <v>260155.6</v>
      </c>
      <c r="F74" s="1110" t="s">
        <v>108</v>
      </c>
      <c r="G74" s="1111">
        <v>0.30185444883951051</v>
      </c>
      <c r="H74" s="1112">
        <v>18478.82</v>
      </c>
      <c r="I74" s="1110" t="s">
        <v>108</v>
      </c>
      <c r="J74" s="1111">
        <v>0.32825795057437784</v>
      </c>
      <c r="K74" s="1112">
        <v>19880.260000000002</v>
      </c>
      <c r="L74" s="1110" t="s">
        <v>108</v>
      </c>
      <c r="M74" s="1111">
        <v>0.14714091248485001</v>
      </c>
      <c r="N74" s="1112">
        <v>23562.899999999998</v>
      </c>
      <c r="O74" s="1110" t="s">
        <v>108</v>
      </c>
      <c r="P74" s="1111">
        <v>0.12731489622797071</v>
      </c>
      <c r="Q74" s="1112">
        <v>25991.14</v>
      </c>
      <c r="R74" s="1110" t="s">
        <v>108</v>
      </c>
      <c r="S74" s="1111">
        <v>9.1931050926550864E-2</v>
      </c>
      <c r="T74" s="1112">
        <v>26048.45</v>
      </c>
      <c r="U74" s="1110" t="s">
        <v>108</v>
      </c>
      <c r="V74" s="1111">
        <v>0.17920996993978511</v>
      </c>
      <c r="W74" s="1112">
        <v>23712.659999999996</v>
      </c>
      <c r="X74" s="1110" t="s">
        <v>108</v>
      </c>
      <c r="Y74" s="1111">
        <v>0.18486262380593158</v>
      </c>
      <c r="Z74" s="1112">
        <v>24058.240000000002</v>
      </c>
      <c r="AA74" s="1110" t="s">
        <v>108</v>
      </c>
      <c r="AB74" s="1111">
        <v>0.18186406465787541</v>
      </c>
      <c r="AC74" s="1112">
        <v>22286.589999999997</v>
      </c>
      <c r="AD74" s="1110" t="s">
        <v>108</v>
      </c>
      <c r="AE74" s="1111">
        <v>0.22028062519373182</v>
      </c>
      <c r="AF74" s="1112">
        <v>16273.869999999999</v>
      </c>
      <c r="AG74" s="1110" t="s">
        <v>108</v>
      </c>
      <c r="AH74" s="1111">
        <v>0.12370408941363363</v>
      </c>
      <c r="AI74" s="1112">
        <v>16358.990000000003</v>
      </c>
      <c r="AJ74" s="1110" t="s">
        <v>108</v>
      </c>
      <c r="AK74" s="1111">
        <v>0.38940582017959646</v>
      </c>
      <c r="AL74" s="1112">
        <v>26725.930000000004</v>
      </c>
      <c r="AM74" s="1110" t="s">
        <v>108</v>
      </c>
      <c r="AN74" s="1111">
        <v>0.32735329415623321</v>
      </c>
      <c r="AO74" s="1112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">
      <c r="A75" s="533" t="str">
        <f t="shared" si="6"/>
        <v>Véhicules neufs</v>
      </c>
      <c r="B75" s="747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">
      <c r="A76" s="533" t="str">
        <f t="shared" si="6"/>
        <v>Véhicules neufsTOTAL DES DÉPENSES</v>
      </c>
      <c r="B76" s="1125" t="s">
        <v>133</v>
      </c>
      <c r="C76" s="1107" t="s">
        <v>108</v>
      </c>
      <c r="D76" s="1108">
        <f>IFERROR(E76/E$29,0)</f>
        <v>1.1567951260458955</v>
      </c>
      <c r="E76" s="1126">
        <f>E43+E56+E74</f>
        <v>1680147.53</v>
      </c>
      <c r="F76" s="1110" t="s">
        <v>108</v>
      </c>
      <c r="G76" s="1111">
        <v>2.0549424879916236</v>
      </c>
      <c r="H76" s="1127">
        <v>125798.75</v>
      </c>
      <c r="I76" s="1110" t="s">
        <v>108</v>
      </c>
      <c r="J76" s="1111">
        <v>1.7461866105531239</v>
      </c>
      <c r="K76" s="1127">
        <v>105754.16</v>
      </c>
      <c r="L76" s="1110" t="s">
        <v>108</v>
      </c>
      <c r="M76" s="1111">
        <v>0.93926313581514309</v>
      </c>
      <c r="N76" s="1127">
        <v>150412.03</v>
      </c>
      <c r="O76" s="1110" t="s">
        <v>108</v>
      </c>
      <c r="P76" s="1111">
        <v>0.88729270845344699</v>
      </c>
      <c r="Q76" s="1127">
        <v>181139.44</v>
      </c>
      <c r="R76" s="1110" t="s">
        <v>108</v>
      </c>
      <c r="S76" s="1111">
        <v>0.76230827088473196</v>
      </c>
      <c r="T76" s="1127">
        <v>215998.28000000003</v>
      </c>
      <c r="U76" s="1110" t="s">
        <v>108</v>
      </c>
      <c r="V76" s="1111">
        <v>1.1514604805477726</v>
      </c>
      <c r="W76" s="1127">
        <v>152358.66</v>
      </c>
      <c r="X76" s="1110" t="s">
        <v>108</v>
      </c>
      <c r="Y76" s="1111">
        <v>1.1412905584535207</v>
      </c>
      <c r="Z76" s="1127">
        <v>148528.90000000002</v>
      </c>
      <c r="AA76" s="1110" t="s">
        <v>108</v>
      </c>
      <c r="AB76" s="1111">
        <v>1.0955329832261258</v>
      </c>
      <c r="AC76" s="1127">
        <v>134252.44</v>
      </c>
      <c r="AD76" s="1110" t="s">
        <v>108</v>
      </c>
      <c r="AE76" s="1111">
        <v>1.5308533404441651</v>
      </c>
      <c r="AF76" s="1127">
        <v>113096.22999999998</v>
      </c>
      <c r="AG76" s="1110" t="s">
        <v>108</v>
      </c>
      <c r="AH76" s="1111">
        <v>1.0488395144329841</v>
      </c>
      <c r="AI76" s="1127">
        <v>138701.6</v>
      </c>
      <c r="AJ76" s="1110" t="s">
        <v>108</v>
      </c>
      <c r="AK76" s="1111">
        <v>1.7158581659237961</v>
      </c>
      <c r="AL76" s="1127">
        <v>117763.79000000002</v>
      </c>
      <c r="AM76" s="1110" t="s">
        <v>108</v>
      </c>
      <c r="AN76" s="1111">
        <v>1.8797681606423691</v>
      </c>
      <c r="AO76" s="1127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">
      <c r="A77" s="533" t="str">
        <f t="shared" si="6"/>
        <v>Véhicules neufsRBSC neuf</v>
      </c>
      <c r="B77" s="743" t="s">
        <v>393</v>
      </c>
      <c r="C77" s="543"/>
      <c r="D77" s="596"/>
      <c r="E77" s="1080">
        <f t="shared" ref="E77:E84" si="7">+SUM(H77,K77,N77,Q77,T77,W77,Z77,AC77,AF77,AI77,AL77,AO77)</f>
        <v>400729.24000000005</v>
      </c>
      <c r="F77" s="543"/>
      <c r="G77" s="596"/>
      <c r="H77" s="1101">
        <v>35649.629999999997</v>
      </c>
      <c r="I77" s="543"/>
      <c r="J77" s="596"/>
      <c r="K77" s="1101">
        <v>12930.84</v>
      </c>
      <c r="L77" s="543"/>
      <c r="M77" s="596"/>
      <c r="N77" s="1101">
        <v>68181.320000000007</v>
      </c>
      <c r="O77" s="543"/>
      <c r="P77" s="596"/>
      <c r="Q77" s="1101">
        <v>43701.85</v>
      </c>
      <c r="R77" s="543"/>
      <c r="S77" s="596"/>
      <c r="T77" s="1101">
        <v>64585.66</v>
      </c>
      <c r="U77" s="543"/>
      <c r="V77" s="596"/>
      <c r="W77" s="1101">
        <v>38986.85</v>
      </c>
      <c r="X77" s="543"/>
      <c r="Y77" s="596"/>
      <c r="Z77" s="1101">
        <v>21262.21</v>
      </c>
      <c r="AA77" s="543"/>
      <c r="AB77" s="596"/>
      <c r="AC77" s="1101">
        <v>26024.46</v>
      </c>
      <c r="AD77" s="543"/>
      <c r="AE77" s="596"/>
      <c r="AF77" s="1101">
        <v>28695.24</v>
      </c>
      <c r="AG77" s="543"/>
      <c r="AH77" s="596"/>
      <c r="AI77" s="1101">
        <v>28703.58</v>
      </c>
      <c r="AJ77" s="543"/>
      <c r="AK77" s="596"/>
      <c r="AL77" s="1101">
        <v>11409.6</v>
      </c>
      <c r="AM77" s="543"/>
      <c r="AN77" s="596"/>
      <c r="AO77" s="1101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">
      <c r="A78" s="533" t="str">
        <f t="shared" si="6"/>
        <v>Véhicules neufsProgramme neuf 2</v>
      </c>
      <c r="B78" s="743" t="s">
        <v>134</v>
      </c>
      <c r="C78" s="543"/>
      <c r="D78" s="596"/>
      <c r="E78" s="1080">
        <f t="shared" si="7"/>
        <v>0</v>
      </c>
      <c r="F78" s="543"/>
      <c r="G78" s="596"/>
      <c r="H78" s="1101">
        <v>0</v>
      </c>
      <c r="I78" s="543"/>
      <c r="J78" s="596"/>
      <c r="K78" s="1101">
        <v>0</v>
      </c>
      <c r="L78" s="543"/>
      <c r="M78" s="596"/>
      <c r="N78" s="1101">
        <v>0</v>
      </c>
      <c r="O78" s="543"/>
      <c r="P78" s="596"/>
      <c r="Q78" s="1101">
        <v>0</v>
      </c>
      <c r="R78" s="543"/>
      <c r="S78" s="596"/>
      <c r="T78" s="1101">
        <v>0</v>
      </c>
      <c r="U78" s="543"/>
      <c r="V78" s="596"/>
      <c r="W78" s="1101">
        <v>0</v>
      </c>
      <c r="X78" s="543"/>
      <c r="Y78" s="596"/>
      <c r="Z78" s="1101">
        <v>0</v>
      </c>
      <c r="AA78" s="543"/>
      <c r="AB78" s="596"/>
      <c r="AC78" s="1101">
        <v>0</v>
      </c>
      <c r="AD78" s="543"/>
      <c r="AE78" s="596"/>
      <c r="AF78" s="1101">
        <v>0</v>
      </c>
      <c r="AG78" s="543"/>
      <c r="AH78" s="596"/>
      <c r="AI78" s="1101">
        <v>0</v>
      </c>
      <c r="AJ78" s="543"/>
      <c r="AK78" s="596"/>
      <c r="AL78" s="1101">
        <v>0</v>
      </c>
      <c r="AM78" s="543"/>
      <c r="AN78" s="596"/>
      <c r="AO78" s="1101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">
      <c r="A79" s="533" t="str">
        <f t="shared" si="6"/>
        <v>Véhicules neufsProgramme neuf 3</v>
      </c>
      <c r="B79" s="743" t="s">
        <v>135</v>
      </c>
      <c r="C79" s="543"/>
      <c r="D79" s="596"/>
      <c r="E79" s="1080">
        <f t="shared" si="7"/>
        <v>0</v>
      </c>
      <c r="F79" s="543"/>
      <c r="G79" s="596"/>
      <c r="H79" s="1101">
        <v>0</v>
      </c>
      <c r="I79" s="543"/>
      <c r="J79" s="596"/>
      <c r="K79" s="1101">
        <v>0</v>
      </c>
      <c r="L79" s="543"/>
      <c r="M79" s="596"/>
      <c r="N79" s="1101">
        <v>0</v>
      </c>
      <c r="O79" s="543"/>
      <c r="P79" s="596"/>
      <c r="Q79" s="1101">
        <v>0</v>
      </c>
      <c r="R79" s="543"/>
      <c r="S79" s="596"/>
      <c r="T79" s="1101">
        <v>0</v>
      </c>
      <c r="U79" s="543"/>
      <c r="V79" s="596"/>
      <c r="W79" s="1101">
        <v>0</v>
      </c>
      <c r="X79" s="543"/>
      <c r="Y79" s="596"/>
      <c r="Z79" s="1101">
        <v>0</v>
      </c>
      <c r="AA79" s="543"/>
      <c r="AB79" s="596"/>
      <c r="AC79" s="1101">
        <v>0</v>
      </c>
      <c r="AD79" s="543"/>
      <c r="AE79" s="596"/>
      <c r="AF79" s="1101">
        <v>0</v>
      </c>
      <c r="AG79" s="543"/>
      <c r="AH79" s="596"/>
      <c r="AI79" s="1101">
        <v>0</v>
      </c>
      <c r="AJ79" s="543"/>
      <c r="AK79" s="596"/>
      <c r="AL79" s="1101">
        <v>0</v>
      </c>
      <c r="AM79" s="543"/>
      <c r="AN79" s="596"/>
      <c r="AO79" s="1101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">
      <c r="A80" s="533" t="str">
        <f t="shared" si="6"/>
        <v>Véhicules neufsHoldbacks</v>
      </c>
      <c r="B80" s="743" t="s">
        <v>136</v>
      </c>
      <c r="C80" s="543"/>
      <c r="D80" s="596"/>
      <c r="E80" s="1080">
        <f t="shared" si="7"/>
        <v>449866.2</v>
      </c>
      <c r="F80" s="543"/>
      <c r="G80" s="596"/>
      <c r="H80" s="1101">
        <v>26726.6</v>
      </c>
      <c r="I80" s="543"/>
      <c r="J80" s="596"/>
      <c r="K80" s="1101">
        <v>13544</v>
      </c>
      <c r="L80" s="543"/>
      <c r="M80" s="596"/>
      <c r="N80" s="1101">
        <v>42592.800000000003</v>
      </c>
      <c r="O80" s="543"/>
      <c r="P80" s="596"/>
      <c r="Q80" s="1101">
        <v>52973</v>
      </c>
      <c r="R80" s="543"/>
      <c r="S80" s="596"/>
      <c r="T80" s="1101">
        <v>76338.399999999994</v>
      </c>
      <c r="U80" s="543"/>
      <c r="V80" s="596"/>
      <c r="W80" s="1101">
        <v>30943.4</v>
      </c>
      <c r="X80" s="543"/>
      <c r="Y80" s="596"/>
      <c r="Z80" s="1101">
        <v>29948.799999999999</v>
      </c>
      <c r="AA80" s="543"/>
      <c r="AB80" s="596"/>
      <c r="AC80" s="1101">
        <v>33389.4</v>
      </c>
      <c r="AD80" s="543"/>
      <c r="AE80" s="596"/>
      <c r="AF80" s="1101">
        <v>19545</v>
      </c>
      <c r="AG80" s="543"/>
      <c r="AH80" s="596"/>
      <c r="AI80" s="1101">
        <v>60122.8</v>
      </c>
      <c r="AJ80" s="543"/>
      <c r="AK80" s="596"/>
      <c r="AL80" s="1101">
        <v>31024</v>
      </c>
      <c r="AM80" s="543"/>
      <c r="AN80" s="596"/>
      <c r="AO80" s="1101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5" hidden="1" customHeight="1">
      <c r="A81" s="533" t="str">
        <f t="shared" si="6"/>
        <v>Véhicules neufs[...]</v>
      </c>
      <c r="B81" s="743" t="s">
        <v>42</v>
      </c>
      <c r="C81" s="543"/>
      <c r="D81" s="596"/>
      <c r="E81" s="1080">
        <f t="shared" si="7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>
        <v>0</v>
      </c>
      <c r="AG81" s="543"/>
      <c r="AH81" s="596"/>
      <c r="AI81" s="1101">
        <v>0</v>
      </c>
      <c r="AJ81" s="543"/>
      <c r="AK81" s="596"/>
      <c r="AL81" s="1101">
        <v>0</v>
      </c>
      <c r="AM81" s="543"/>
      <c r="AN81" s="596"/>
      <c r="AO81" s="1101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5" hidden="1" customHeight="1">
      <c r="A82" s="533" t="str">
        <f t="shared" si="6"/>
        <v>Véhicules neufs[...]</v>
      </c>
      <c r="B82" s="743" t="s">
        <v>42</v>
      </c>
      <c r="C82" s="543"/>
      <c r="D82" s="596"/>
      <c r="E82" s="1080">
        <f t="shared" si="7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>
        <v>0</v>
      </c>
      <c r="AG82" s="543"/>
      <c r="AH82" s="596"/>
      <c r="AI82" s="1101">
        <v>0</v>
      </c>
      <c r="AJ82" s="543"/>
      <c r="AK82" s="596"/>
      <c r="AL82" s="1101">
        <v>0</v>
      </c>
      <c r="AM82" s="543"/>
      <c r="AN82" s="596"/>
      <c r="AO82" s="1101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5" hidden="1" customHeight="1">
      <c r="A83" s="533" t="str">
        <f t="shared" si="6"/>
        <v>Véhicules neufs[...]</v>
      </c>
      <c r="B83" s="743" t="s">
        <v>42</v>
      </c>
      <c r="C83" s="543"/>
      <c r="D83" s="596"/>
      <c r="E83" s="1080">
        <f t="shared" si="7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>
        <v>0</v>
      </c>
      <c r="AG83" s="543"/>
      <c r="AH83" s="596"/>
      <c r="AI83" s="1101">
        <v>0</v>
      </c>
      <c r="AJ83" s="543"/>
      <c r="AK83" s="596"/>
      <c r="AL83" s="1101">
        <v>0</v>
      </c>
      <c r="AM83" s="543"/>
      <c r="AN83" s="596"/>
      <c r="AO83" s="1101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">
      <c r="A84" s="533" t="str">
        <f t="shared" si="6"/>
        <v>Véhicules neufsFrais administration</v>
      </c>
      <c r="B84" s="743" t="s">
        <v>137</v>
      </c>
      <c r="C84" s="543"/>
      <c r="D84" s="596"/>
      <c r="E84" s="1080">
        <f t="shared" si="7"/>
        <v>146965</v>
      </c>
      <c r="F84" s="543"/>
      <c r="G84" s="596"/>
      <c r="H84" s="1101">
        <v>8330</v>
      </c>
      <c r="I84" s="543"/>
      <c r="J84" s="596"/>
      <c r="K84" s="1101">
        <v>5355</v>
      </c>
      <c r="L84" s="543"/>
      <c r="M84" s="596"/>
      <c r="N84" s="1101">
        <v>16065</v>
      </c>
      <c r="O84" s="543"/>
      <c r="P84" s="596"/>
      <c r="Q84" s="1101">
        <v>17255</v>
      </c>
      <c r="R84" s="543"/>
      <c r="S84" s="596"/>
      <c r="T84" s="1101">
        <v>26180</v>
      </c>
      <c r="U84" s="543"/>
      <c r="V84" s="596"/>
      <c r="W84" s="1101">
        <v>11900</v>
      </c>
      <c r="X84" s="543"/>
      <c r="Y84" s="596"/>
      <c r="Z84" s="1101">
        <v>11305</v>
      </c>
      <c r="AA84" s="543"/>
      <c r="AB84" s="596"/>
      <c r="AC84" s="1101">
        <v>12495</v>
      </c>
      <c r="AD84" s="543"/>
      <c r="AE84" s="596"/>
      <c r="AF84" s="1101">
        <v>9520</v>
      </c>
      <c r="AG84" s="543"/>
      <c r="AH84" s="596"/>
      <c r="AI84" s="1101">
        <v>17255</v>
      </c>
      <c r="AJ84" s="543"/>
      <c r="AK84" s="596"/>
      <c r="AL84" s="1101">
        <v>7140</v>
      </c>
      <c r="AM84" s="543"/>
      <c r="AN84" s="596"/>
      <c r="AO84" s="1101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">
      <c r="A85" s="533" t="str">
        <f t="shared" si="6"/>
        <v>Véhicules neufsAUTRES REVENUS</v>
      </c>
      <c r="B85" s="1128" t="s">
        <v>138</v>
      </c>
      <c r="C85" s="1129"/>
      <c r="D85" s="1130"/>
      <c r="E85" s="1131">
        <f>+SUM(E77:E84)</f>
        <v>997560.44000000006</v>
      </c>
      <c r="F85" s="1132"/>
      <c r="G85" s="1133"/>
      <c r="H85" s="1134">
        <v>70706.23</v>
      </c>
      <c r="I85" s="1132"/>
      <c r="J85" s="1133"/>
      <c r="K85" s="1134">
        <v>31829.84</v>
      </c>
      <c r="L85" s="1132"/>
      <c r="M85" s="1133"/>
      <c r="N85" s="1134">
        <v>126839.12000000001</v>
      </c>
      <c r="O85" s="1132"/>
      <c r="P85" s="1133"/>
      <c r="Q85" s="1134">
        <v>113929.85</v>
      </c>
      <c r="R85" s="1132"/>
      <c r="S85" s="1133"/>
      <c r="T85" s="1134">
        <v>167104.06</v>
      </c>
      <c r="U85" s="1132"/>
      <c r="V85" s="1133"/>
      <c r="W85" s="1134">
        <v>81830.25</v>
      </c>
      <c r="X85" s="1132"/>
      <c r="Y85" s="1133"/>
      <c r="Z85" s="1134">
        <v>62516.009999999995</v>
      </c>
      <c r="AA85" s="1132"/>
      <c r="AB85" s="1133"/>
      <c r="AC85" s="1134">
        <v>71908.86</v>
      </c>
      <c r="AD85" s="1132"/>
      <c r="AE85" s="1133"/>
      <c r="AF85" s="1134">
        <v>57760.240000000005</v>
      </c>
      <c r="AG85" s="1132"/>
      <c r="AH85" s="1133"/>
      <c r="AI85" s="1134">
        <v>106081.38</v>
      </c>
      <c r="AJ85" s="1132"/>
      <c r="AK85" s="1133"/>
      <c r="AL85" s="1134">
        <v>49573.599999999999</v>
      </c>
      <c r="AM85" s="1132"/>
      <c r="AN85" s="1133"/>
      <c r="AO85" s="1134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">
      <c r="A86" s="533" t="str">
        <f t="shared" si="6"/>
        <v>Véhicules neufs</v>
      </c>
      <c r="B86" s="746"/>
      <c r="C86" s="602"/>
      <c r="D86" s="1135"/>
      <c r="E86" s="1136"/>
      <c r="F86" s="601"/>
      <c r="G86" s="1120"/>
      <c r="H86" s="1137"/>
      <c r="I86" s="601"/>
      <c r="J86" s="1120"/>
      <c r="K86" s="1137"/>
      <c r="L86" s="601"/>
      <c r="M86" s="1120"/>
      <c r="N86" s="1137"/>
      <c r="O86" s="601"/>
      <c r="P86" s="1120"/>
      <c r="Q86" s="1137"/>
      <c r="R86" s="601"/>
      <c r="S86" s="1120"/>
      <c r="T86" s="1137"/>
      <c r="U86" s="601"/>
      <c r="V86" s="1120"/>
      <c r="W86" s="1137"/>
      <c r="X86" s="601"/>
      <c r="Y86" s="1120"/>
      <c r="Z86" s="1137"/>
      <c r="AA86" s="601"/>
      <c r="AB86" s="1120"/>
      <c r="AC86" s="1137"/>
      <c r="AD86" s="601"/>
      <c r="AE86" s="1120"/>
      <c r="AF86" s="1137"/>
      <c r="AG86" s="601"/>
      <c r="AH86" s="1120"/>
      <c r="AI86" s="1137"/>
      <c r="AJ86" s="601"/>
      <c r="AK86" s="1120"/>
      <c r="AL86" s="1137"/>
      <c r="AM86" s="601"/>
      <c r="AN86" s="1120"/>
      <c r="AO86" s="1137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6"/>
        <v>Véhicules neufsPROFIT DÉPARTEMENTAL</v>
      </c>
      <c r="B87" s="1138" t="s">
        <v>139</v>
      </c>
      <c r="C87" s="1139"/>
      <c r="D87" s="1140"/>
      <c r="E87" s="1141">
        <f>E29-E76+E85</f>
        <v>769828.71999999869</v>
      </c>
      <c r="F87" s="1142"/>
      <c r="G87" s="1143"/>
      <c r="H87" s="1144">
        <v>6125.1299999997937</v>
      </c>
      <c r="I87" s="1142"/>
      <c r="J87" s="1143"/>
      <c r="K87" s="1144">
        <v>-13361.399999999998</v>
      </c>
      <c r="L87" s="1142"/>
      <c r="M87" s="1143"/>
      <c r="N87" s="1144">
        <v>136565.41999999981</v>
      </c>
      <c r="O87" s="1142"/>
      <c r="P87" s="1143"/>
      <c r="Q87" s="1144">
        <v>136938.86999999979</v>
      </c>
      <c r="R87" s="1142"/>
      <c r="S87" s="1143"/>
      <c r="T87" s="1144">
        <v>234453.45999999956</v>
      </c>
      <c r="U87" s="1142"/>
      <c r="V87" s="1143"/>
      <c r="W87" s="1144">
        <v>61789.339999999967</v>
      </c>
      <c r="X87" s="1142"/>
      <c r="Y87" s="1143"/>
      <c r="Z87" s="1144">
        <v>44128.289999999848</v>
      </c>
      <c r="AA87" s="1142"/>
      <c r="AB87" s="1143"/>
      <c r="AC87" s="1144">
        <v>60201.739999999802</v>
      </c>
      <c r="AD87" s="1142"/>
      <c r="AE87" s="1143"/>
      <c r="AF87" s="1144">
        <v>18541.910000000018</v>
      </c>
      <c r="AG87" s="1142"/>
      <c r="AH87" s="1143"/>
      <c r="AI87" s="1144">
        <v>99622.700000000041</v>
      </c>
      <c r="AJ87" s="1142"/>
      <c r="AK87" s="1143"/>
      <c r="AL87" s="1144">
        <v>442.40000000005966</v>
      </c>
      <c r="AM87" s="1142"/>
      <c r="AN87" s="1143"/>
      <c r="AO87" s="1144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">
      <c r="A88" s="533"/>
      <c r="B88" s="749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">
      <c r="A89" s="533"/>
      <c r="B89" s="749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">
      <c r="A90" s="533"/>
      <c r="B90" s="750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">
      <c r="A91" s="533"/>
      <c r="B91" s="1146" t="str">
        <f>$B$4</f>
        <v>Réel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7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48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">
      <c r="A94" s="533"/>
      <c r="B94" s="7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">
      <c r="A95" s="533" t="str">
        <f>+$C$91&amp;B95</f>
        <v>Véhicules usagésVentes nettes</v>
      </c>
      <c r="B95" s="747" t="s">
        <v>85</v>
      </c>
      <c r="C95" s="1056"/>
      <c r="D95" s="1057"/>
      <c r="E95" s="1058">
        <f>+SUM(H95,K95,N95,Q95,T95,W95,Z95,AC95,AF95,AI95,AL95,AO95)</f>
        <v>14463219.90999998</v>
      </c>
      <c r="F95" s="1056"/>
      <c r="G95" s="1057"/>
      <c r="H95" s="1150">
        <v>873195.89999999898</v>
      </c>
      <c r="I95" s="1056"/>
      <c r="J95" s="1057"/>
      <c r="K95" s="1150">
        <v>851178.52</v>
      </c>
      <c r="L95" s="1056"/>
      <c r="M95" s="1057"/>
      <c r="N95" s="1150">
        <v>1229159.04</v>
      </c>
      <c r="O95" s="1056"/>
      <c r="P95" s="1057"/>
      <c r="Q95" s="1150">
        <v>1384484.48</v>
      </c>
      <c r="R95" s="1056"/>
      <c r="S95" s="1057"/>
      <c r="T95" s="1150">
        <v>1870178.46999999</v>
      </c>
      <c r="U95" s="1056"/>
      <c r="V95" s="1057"/>
      <c r="W95" s="1150">
        <v>1387819.46</v>
      </c>
      <c r="X95" s="1056"/>
      <c r="Y95" s="1057"/>
      <c r="Z95" s="1150">
        <v>1404731.62</v>
      </c>
      <c r="AA95" s="1056"/>
      <c r="AB95" s="1057"/>
      <c r="AC95" s="1150">
        <v>1193609.8199999901</v>
      </c>
      <c r="AD95" s="1056"/>
      <c r="AE95" s="1057"/>
      <c r="AF95" s="1150">
        <v>917038.41999999993</v>
      </c>
      <c r="AG95" s="1056"/>
      <c r="AH95" s="1057"/>
      <c r="AI95" s="1150">
        <v>1289465.2600000002</v>
      </c>
      <c r="AJ95" s="1056"/>
      <c r="AK95" s="1057"/>
      <c r="AL95" s="1150">
        <v>1738330.6400000004</v>
      </c>
      <c r="AM95" s="1056"/>
      <c r="AN95" s="1057"/>
      <c r="AO95" s="1150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">
      <c r="A96" s="533" t="str">
        <f t="shared" ref="A96:A162" si="8">+$C$91&amp;B96</f>
        <v>Véhicules usagésCertifié</v>
      </c>
      <c r="B96" s="743" t="s">
        <v>141</v>
      </c>
      <c r="C96" s="1060">
        <f t="shared" ref="C96:E98" si="9">+SUM(F96,I96,L96,O96,R96,U96,X96,AA96,AD96,AG96,AJ96,AM96)</f>
        <v>54</v>
      </c>
      <c r="D96" s="1061">
        <f>IF(C96=0,0,E96/C96)</f>
        <v>2392.0279629629608</v>
      </c>
      <c r="E96" s="1062">
        <f t="shared" si="9"/>
        <v>129169.50999999988</v>
      </c>
      <c r="F96" s="1063">
        <v>6</v>
      </c>
      <c r="G96" s="1061">
        <v>2516.6349999999998</v>
      </c>
      <c r="H96" s="1064">
        <v>15099.81</v>
      </c>
      <c r="I96" s="1063">
        <v>3</v>
      </c>
      <c r="J96" s="1061">
        <v>3005.856666666657</v>
      </c>
      <c r="K96" s="1064">
        <v>9017.5699999999706</v>
      </c>
      <c r="L96" s="1063">
        <v>4</v>
      </c>
      <c r="M96" s="1061">
        <v>2911.3575000000001</v>
      </c>
      <c r="N96" s="1064">
        <v>11645.43</v>
      </c>
      <c r="O96" s="1063">
        <v>5</v>
      </c>
      <c r="P96" s="1061">
        <v>3241.2919999999999</v>
      </c>
      <c r="Q96" s="1064">
        <v>16206.46</v>
      </c>
      <c r="R96" s="1063">
        <v>3</v>
      </c>
      <c r="S96" s="1061">
        <v>2327.88333333333</v>
      </c>
      <c r="T96" s="1064">
        <v>6983.6499999999896</v>
      </c>
      <c r="U96" s="1063">
        <v>6</v>
      </c>
      <c r="V96" s="1061">
        <v>2132.8233333333333</v>
      </c>
      <c r="W96" s="1064">
        <v>12796.94</v>
      </c>
      <c r="X96" s="1063">
        <v>10</v>
      </c>
      <c r="Y96" s="1061">
        <v>1754.4559999999899</v>
      </c>
      <c r="Z96" s="1064">
        <v>17544.559999999899</v>
      </c>
      <c r="AA96" s="1063">
        <v>4</v>
      </c>
      <c r="AB96" s="1061">
        <v>1608.5999999999974</v>
      </c>
      <c r="AC96" s="1064">
        <v>6434.3999999999896</v>
      </c>
      <c r="AD96" s="1063">
        <v>2</v>
      </c>
      <c r="AE96" s="1061">
        <v>3489.7299999999959</v>
      </c>
      <c r="AF96" s="1064">
        <v>6979.4599999999919</v>
      </c>
      <c r="AG96" s="1063">
        <v>4</v>
      </c>
      <c r="AH96" s="1061">
        <v>1812.4475000000002</v>
      </c>
      <c r="AI96" s="1064">
        <v>7249.7900000000009</v>
      </c>
      <c r="AJ96" s="1063">
        <v>4</v>
      </c>
      <c r="AK96" s="1061">
        <v>3394.9200000000146</v>
      </c>
      <c r="AL96" s="1064">
        <v>13579.680000000058</v>
      </c>
      <c r="AM96" s="1063">
        <v>3</v>
      </c>
      <c r="AN96" s="1061">
        <v>1877.2533333333324</v>
      </c>
      <c r="AO96" s="1064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">
      <c r="A97" s="533" t="str">
        <f t="shared" si="8"/>
        <v>Véhicules usagésNon Certifié</v>
      </c>
      <c r="B97" s="743" t="s">
        <v>142</v>
      </c>
      <c r="C97" s="1060">
        <f t="shared" si="9"/>
        <v>72</v>
      </c>
      <c r="D97" s="1061">
        <f>IF(C97=0,0,E97/C97)</f>
        <v>1630.212361111109</v>
      </c>
      <c r="E97" s="1062">
        <f t="shared" si="9"/>
        <v>117375.28999999985</v>
      </c>
      <c r="F97" s="1063">
        <v>3</v>
      </c>
      <c r="G97" s="1061">
        <v>464.92999999999665</v>
      </c>
      <c r="H97" s="1064">
        <v>1394.78999999999</v>
      </c>
      <c r="I97" s="1063">
        <v>7</v>
      </c>
      <c r="J97" s="1061">
        <v>2588.0242857142716</v>
      </c>
      <c r="K97" s="1064">
        <v>18116.1699999999</v>
      </c>
      <c r="L97" s="1063">
        <v>5</v>
      </c>
      <c r="M97" s="1061">
        <v>1005.3120000000001</v>
      </c>
      <c r="N97" s="1064">
        <v>5026.5600000000004</v>
      </c>
      <c r="O97" s="1063">
        <v>12</v>
      </c>
      <c r="P97" s="1061">
        <v>1852.4199999999917</v>
      </c>
      <c r="Q97" s="1064">
        <v>22229.039999999899</v>
      </c>
      <c r="R97" s="1063">
        <v>4</v>
      </c>
      <c r="S97" s="1061">
        <v>1818.9100000000026</v>
      </c>
      <c r="T97" s="1064">
        <v>7275.6400000000103</v>
      </c>
      <c r="U97" s="1063">
        <v>13</v>
      </c>
      <c r="V97" s="1061">
        <v>1919.1207692307692</v>
      </c>
      <c r="W97" s="1064">
        <v>24948.57</v>
      </c>
      <c r="X97" s="1063">
        <v>1</v>
      </c>
      <c r="Y97" s="1061">
        <v>1766.85</v>
      </c>
      <c r="Z97" s="1064">
        <v>1766.85</v>
      </c>
      <c r="AA97" s="1063">
        <v>7</v>
      </c>
      <c r="AB97" s="1061">
        <v>909.37571428571425</v>
      </c>
      <c r="AC97" s="1064">
        <v>6365.63</v>
      </c>
      <c r="AD97" s="1063">
        <v>5</v>
      </c>
      <c r="AE97" s="1061">
        <v>1836.2619999999981</v>
      </c>
      <c r="AF97" s="1064">
        <v>9181.3099999999904</v>
      </c>
      <c r="AG97" s="1063">
        <v>3</v>
      </c>
      <c r="AH97" s="1061">
        <v>1673.1299999999999</v>
      </c>
      <c r="AI97" s="1064">
        <v>5019.3899999999994</v>
      </c>
      <c r="AJ97" s="1063">
        <v>10</v>
      </c>
      <c r="AK97" s="1061">
        <v>1411.3990000000019</v>
      </c>
      <c r="AL97" s="1064">
        <v>14113.99000000002</v>
      </c>
      <c r="AM97" s="1063">
        <v>2</v>
      </c>
      <c r="AN97" s="1061">
        <v>968.67500000000325</v>
      </c>
      <c r="AO97" s="1064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">
      <c r="A98" s="533" t="str">
        <f t="shared" si="8"/>
        <v>Véhicules usagésAutres Marques</v>
      </c>
      <c r="B98" s="743" t="s">
        <v>2811</v>
      </c>
      <c r="C98" s="1060">
        <f t="shared" si="9"/>
        <v>61</v>
      </c>
      <c r="D98" s="1061">
        <f>IF(C98=0,0,E98/C98)</f>
        <v>1498.5888524590159</v>
      </c>
      <c r="E98" s="1062">
        <f t="shared" si="9"/>
        <v>91413.919999999969</v>
      </c>
      <c r="F98" s="1063">
        <v>4</v>
      </c>
      <c r="G98" s="1061">
        <v>1303.4575</v>
      </c>
      <c r="H98" s="1064">
        <v>5213.83</v>
      </c>
      <c r="I98" s="1063">
        <v>3</v>
      </c>
      <c r="J98" s="1061">
        <v>798.81666666666661</v>
      </c>
      <c r="K98" s="1064">
        <v>2396.4499999999998</v>
      </c>
      <c r="L98" s="1063">
        <v>9</v>
      </c>
      <c r="M98" s="1061">
        <v>1767.5655555555556</v>
      </c>
      <c r="N98" s="1064">
        <v>15908.09</v>
      </c>
      <c r="O98" s="1063">
        <v>5</v>
      </c>
      <c r="P98" s="1061">
        <v>1888.0919999999958</v>
      </c>
      <c r="Q98" s="1064">
        <v>9440.4599999999791</v>
      </c>
      <c r="R98" s="1063">
        <v>8</v>
      </c>
      <c r="S98" s="1061">
        <v>1148.9350000000013</v>
      </c>
      <c r="T98" s="1064">
        <v>9191.4800000000105</v>
      </c>
      <c r="U98" s="1063">
        <v>6</v>
      </c>
      <c r="V98" s="1061">
        <v>1460.9366666666649</v>
      </c>
      <c r="W98" s="1064">
        <v>8765.6199999999899</v>
      </c>
      <c r="X98" s="1063">
        <v>4</v>
      </c>
      <c r="Y98" s="1061">
        <v>663.05499999999995</v>
      </c>
      <c r="Z98" s="1064">
        <v>2652.22</v>
      </c>
      <c r="AA98" s="1063">
        <v>8</v>
      </c>
      <c r="AB98" s="1061">
        <v>1538.7774999999999</v>
      </c>
      <c r="AC98" s="1064">
        <v>12310.22</v>
      </c>
      <c r="AD98" s="1063">
        <v>3</v>
      </c>
      <c r="AE98" s="1061">
        <v>1345.849999999996</v>
      </c>
      <c r="AF98" s="1064">
        <v>4037.5499999999884</v>
      </c>
      <c r="AG98" s="1063">
        <v>7</v>
      </c>
      <c r="AH98" s="1061">
        <v>1841.8500000000017</v>
      </c>
      <c r="AI98" s="1064">
        <v>12892.950000000012</v>
      </c>
      <c r="AJ98" s="1063">
        <v>4</v>
      </c>
      <c r="AK98" s="1061">
        <v>2151.2624999999971</v>
      </c>
      <c r="AL98" s="1064">
        <v>8605.0499999999884</v>
      </c>
      <c r="AM98" s="1063">
        <v>0</v>
      </c>
      <c r="AN98" s="1061">
        <v>0</v>
      </c>
      <c r="AO98" s="1064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">
      <c r="A99" s="533" t="str">
        <f t="shared" si="8"/>
        <v>Véhicules usagésTotal Usagés</v>
      </c>
      <c r="B99" s="1066" t="s">
        <v>143</v>
      </c>
      <c r="C99" s="1067">
        <f>+C96+C97+C98</f>
        <v>187</v>
      </c>
      <c r="D99" s="1068">
        <f>IF(C99&lt;=0,0,E99/C99)</f>
        <v>1807.2658823529396</v>
      </c>
      <c r="E99" s="1069">
        <f>+E96+E97+E98</f>
        <v>337958.71999999968</v>
      </c>
      <c r="F99" s="1067">
        <v>13</v>
      </c>
      <c r="G99" s="1068">
        <v>1669.8792307692302</v>
      </c>
      <c r="H99" s="1069">
        <v>21708.429999999993</v>
      </c>
      <c r="I99" s="1067">
        <v>13</v>
      </c>
      <c r="J99" s="1068">
        <v>2271.5530769230672</v>
      </c>
      <c r="K99" s="1069">
        <v>29530.189999999871</v>
      </c>
      <c r="L99" s="1067">
        <v>18</v>
      </c>
      <c r="M99" s="1068">
        <v>1810.0044444444445</v>
      </c>
      <c r="N99" s="1069">
        <v>32580.080000000002</v>
      </c>
      <c r="O99" s="1067">
        <v>22</v>
      </c>
      <c r="P99" s="1068">
        <v>2176.1799999999944</v>
      </c>
      <c r="Q99" s="1069">
        <v>47875.959999999875</v>
      </c>
      <c r="R99" s="1067">
        <v>15</v>
      </c>
      <c r="S99" s="1068">
        <v>1563.3846666666675</v>
      </c>
      <c r="T99" s="1069">
        <v>23450.770000000011</v>
      </c>
      <c r="U99" s="1067">
        <v>25</v>
      </c>
      <c r="V99" s="1068">
        <v>1860.4451999999997</v>
      </c>
      <c r="W99" s="1069">
        <v>46511.12999999999</v>
      </c>
      <c r="X99" s="1067">
        <v>15</v>
      </c>
      <c r="Y99" s="1068">
        <v>1464.2419999999934</v>
      </c>
      <c r="Z99" s="1069">
        <v>21963.629999999899</v>
      </c>
      <c r="AA99" s="1067">
        <v>19</v>
      </c>
      <c r="AB99" s="1068">
        <v>1321.5921052631572</v>
      </c>
      <c r="AC99" s="1069">
        <v>25110.249999999989</v>
      </c>
      <c r="AD99" s="1067">
        <v>10</v>
      </c>
      <c r="AE99" s="1068">
        <v>2019.8319999999972</v>
      </c>
      <c r="AF99" s="1069">
        <v>20198.319999999971</v>
      </c>
      <c r="AG99" s="1067">
        <v>14</v>
      </c>
      <c r="AH99" s="1068">
        <v>1797.2950000000008</v>
      </c>
      <c r="AI99" s="1069">
        <v>25162.130000000012</v>
      </c>
      <c r="AJ99" s="1067">
        <v>18</v>
      </c>
      <c r="AK99" s="1068">
        <v>2016.5955555555593</v>
      </c>
      <c r="AL99" s="1069">
        <v>36298.720000000067</v>
      </c>
      <c r="AM99" s="1067">
        <v>5</v>
      </c>
      <c r="AN99" s="1068">
        <v>1513.8220000000008</v>
      </c>
      <c r="AO99" s="1069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">
      <c r="A100" s="533" t="str">
        <f t="shared" si="8"/>
        <v>Véhicules usagés</v>
      </c>
      <c r="B100" s="751"/>
      <c r="C100" s="543"/>
      <c r="D100" s="596"/>
      <c r="E100" s="1070"/>
      <c r="F100" s="1151"/>
      <c r="G100" s="1152"/>
      <c r="H100" s="1153"/>
      <c r="I100" s="1151"/>
      <c r="J100" s="1152"/>
      <c r="K100" s="1153"/>
      <c r="L100" s="1151"/>
      <c r="M100" s="1152"/>
      <c r="N100" s="1153"/>
      <c r="O100" s="1151"/>
      <c r="P100" s="1152"/>
      <c r="Q100" s="1153"/>
      <c r="R100" s="1151"/>
      <c r="S100" s="1152"/>
      <c r="T100" s="1153"/>
      <c r="U100" s="1151"/>
      <c r="V100" s="1152"/>
      <c r="W100" s="1153"/>
      <c r="X100" s="1151"/>
      <c r="Y100" s="1152"/>
      <c r="Z100" s="1153"/>
      <c r="AA100" s="1151"/>
      <c r="AB100" s="1152"/>
      <c r="AC100" s="1153"/>
      <c r="AD100" s="1151"/>
      <c r="AE100" s="1152"/>
      <c r="AF100" s="1153"/>
      <c r="AG100" s="1151"/>
      <c r="AH100" s="1152"/>
      <c r="AI100" s="1153"/>
      <c r="AJ100" s="1151"/>
      <c r="AK100" s="1152"/>
      <c r="AL100" s="1153"/>
      <c r="AM100" s="1151"/>
      <c r="AN100" s="1152"/>
      <c r="AO100" s="1153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">
      <c r="A101" s="533" t="str">
        <f>+$C$4&amp;B101</f>
        <v>Véhicules neufsRachat bail</v>
      </c>
      <c r="B101" s="1154" t="s">
        <v>93</v>
      </c>
      <c r="C101" s="1065"/>
      <c r="D101" s="1061"/>
      <c r="E101" s="1062">
        <f>+SUM(H101,K101,N101,Q101,T101,W101,Z101,AC101,AF101,AI101,AL101,AO101)</f>
        <v>28009.619999999988</v>
      </c>
      <c r="F101" s="1065"/>
      <c r="G101" s="1061"/>
      <c r="H101" s="1064">
        <v>0</v>
      </c>
      <c r="I101" s="1065"/>
      <c r="J101" s="1061"/>
      <c r="K101" s="1064">
        <v>5939.6500000000196</v>
      </c>
      <c r="L101" s="1065"/>
      <c r="M101" s="1061"/>
      <c r="N101" s="1064">
        <v>2990.6799999999898</v>
      </c>
      <c r="O101" s="1065"/>
      <c r="P101" s="1061"/>
      <c r="Q101" s="1064">
        <v>3995.3899999999799</v>
      </c>
      <c r="R101" s="1065"/>
      <c r="S101" s="1061"/>
      <c r="T101" s="1064">
        <v>2498</v>
      </c>
      <c r="U101" s="1065"/>
      <c r="V101" s="1061"/>
      <c r="W101" s="1064">
        <v>563.25</v>
      </c>
      <c r="X101" s="1065"/>
      <c r="Y101" s="1061"/>
      <c r="Z101" s="1064">
        <v>2498</v>
      </c>
      <c r="AA101" s="1065"/>
      <c r="AB101" s="1061"/>
      <c r="AC101" s="1064">
        <v>3531</v>
      </c>
      <c r="AD101" s="1065"/>
      <c r="AE101" s="1061"/>
      <c r="AF101" s="1064">
        <v>999</v>
      </c>
      <c r="AG101" s="1065"/>
      <c r="AH101" s="1061"/>
      <c r="AI101" s="1064">
        <v>1998</v>
      </c>
      <c r="AJ101" s="1065"/>
      <c r="AK101" s="1061"/>
      <c r="AL101" s="1064">
        <v>1997.6500000000015</v>
      </c>
      <c r="AM101" s="1065"/>
      <c r="AN101" s="1061"/>
      <c r="AO101" s="1064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">
      <c r="A102" s="533" t="str">
        <f t="shared" si="8"/>
        <v>Véhicules usagés</v>
      </c>
      <c r="B102" s="743"/>
      <c r="C102" s="543"/>
      <c r="D102" s="596"/>
      <c r="E102" s="1070"/>
      <c r="F102" s="1065"/>
      <c r="G102" s="596"/>
      <c r="H102" s="1062"/>
      <c r="I102" s="1065"/>
      <c r="J102" s="596"/>
      <c r="K102" s="1062"/>
      <c r="L102" s="1065"/>
      <c r="M102" s="596"/>
      <c r="N102" s="1062"/>
      <c r="O102" s="1065"/>
      <c r="P102" s="596"/>
      <c r="Q102" s="1062"/>
      <c r="R102" s="1065"/>
      <c r="S102" s="596"/>
      <c r="T102" s="1062"/>
      <c r="U102" s="1065"/>
      <c r="V102" s="596"/>
      <c r="W102" s="1062"/>
      <c r="X102" s="1065"/>
      <c r="Y102" s="596"/>
      <c r="Z102" s="1062"/>
      <c r="AA102" s="1065"/>
      <c r="AB102" s="596"/>
      <c r="AC102" s="1062"/>
      <c r="AD102" s="1065"/>
      <c r="AE102" s="596"/>
      <c r="AF102" s="1062"/>
      <c r="AG102" s="1065"/>
      <c r="AH102" s="596"/>
      <c r="AI102" s="1062"/>
      <c r="AJ102" s="1065"/>
      <c r="AK102" s="596"/>
      <c r="AL102" s="1062"/>
      <c r="AM102" s="1065"/>
      <c r="AN102" s="596"/>
      <c r="AO102" s="106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">
      <c r="A103" s="533" t="str">
        <f t="shared" si="8"/>
        <v>Véhicules usagésVentes au Gros</v>
      </c>
      <c r="B103" s="743" t="s">
        <v>144</v>
      </c>
      <c r="C103" s="1060">
        <f>+SUM(F103,I103,L103,O103,R103,U103,X103,AA103,AD103,AG103,AJ103,AM103)</f>
        <v>200</v>
      </c>
      <c r="D103" s="1061">
        <f>IF(C103=0,0,E103/C103)</f>
        <v>409.70679999999919</v>
      </c>
      <c r="E103" s="1062">
        <f>+SUM(H103,K103,N103,Q103,T103,W103,Z103,AC103,AF103,AI103,AL103,AO103)</f>
        <v>81941.359999999841</v>
      </c>
      <c r="F103" s="1063">
        <v>13</v>
      </c>
      <c r="G103" s="1061">
        <v>367.89153846153539</v>
      </c>
      <c r="H103" s="1064">
        <v>4782.5899999999601</v>
      </c>
      <c r="I103" s="1063">
        <v>15</v>
      </c>
      <c r="J103" s="1061">
        <v>338.43599999999799</v>
      </c>
      <c r="K103" s="1064">
        <v>5076.53999999997</v>
      </c>
      <c r="L103" s="1063">
        <v>12</v>
      </c>
      <c r="M103" s="1061">
        <v>358.89083333333332</v>
      </c>
      <c r="N103" s="1064">
        <v>4306.6899999999996</v>
      </c>
      <c r="O103" s="1063">
        <v>15</v>
      </c>
      <c r="P103" s="1061">
        <v>613.86400000000128</v>
      </c>
      <c r="Q103" s="1064">
        <v>9207.9600000000191</v>
      </c>
      <c r="R103" s="1063">
        <v>34</v>
      </c>
      <c r="S103" s="1061">
        <v>500.4129411764676</v>
      </c>
      <c r="T103" s="1064">
        <v>17014.039999999899</v>
      </c>
      <c r="U103" s="1063">
        <v>11</v>
      </c>
      <c r="V103" s="1061">
        <v>-175.90818181818091</v>
      </c>
      <c r="W103" s="1064">
        <v>-1934.98999999999</v>
      </c>
      <c r="X103" s="1063">
        <v>23</v>
      </c>
      <c r="Y103" s="1061">
        <v>264.54652173913041</v>
      </c>
      <c r="Z103" s="1064">
        <v>6084.57</v>
      </c>
      <c r="AA103" s="1063">
        <v>15</v>
      </c>
      <c r="AB103" s="1061">
        <v>645.38600000000008</v>
      </c>
      <c r="AC103" s="1064">
        <v>9680.7900000000009</v>
      </c>
      <c r="AD103" s="1063">
        <v>10</v>
      </c>
      <c r="AE103" s="1061">
        <v>566.52200000000016</v>
      </c>
      <c r="AF103" s="1064">
        <v>5665.2200000000012</v>
      </c>
      <c r="AG103" s="1063">
        <v>20</v>
      </c>
      <c r="AH103" s="1061">
        <v>577.12550000000044</v>
      </c>
      <c r="AI103" s="1064">
        <v>11542.510000000009</v>
      </c>
      <c r="AJ103" s="1063">
        <v>30</v>
      </c>
      <c r="AK103" s="1061">
        <v>297.97799999999893</v>
      </c>
      <c r="AL103" s="1064">
        <v>8939.3399999999674</v>
      </c>
      <c r="AM103" s="1063">
        <v>2</v>
      </c>
      <c r="AN103" s="1061">
        <v>788.04999999999927</v>
      </c>
      <c r="AO103" s="1064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">
      <c r="A104" s="533" t="str">
        <f t="shared" si="8"/>
        <v>Véhicules usagés</v>
      </c>
      <c r="B104" s="747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">
      <c r="A105" s="533" t="str">
        <f t="shared" si="8"/>
        <v>Véhicules usagésRev. Finances</v>
      </c>
      <c r="B105" s="743" t="s">
        <v>94</v>
      </c>
      <c r="C105" s="1065"/>
      <c r="D105" s="1061">
        <f>IF(C99=0,0,E105/C99)</f>
        <v>350.59080213903746</v>
      </c>
      <c r="E105" s="1062">
        <f>+SUM(H105,K105,N105,Q105,T105,W105,Z105,AC105,AF105,AI105,AL105,AO105)</f>
        <v>65560.48000000001</v>
      </c>
      <c r="F105" s="1063"/>
      <c r="G105" s="1061">
        <v>573.26538461538462</v>
      </c>
      <c r="H105" s="1064">
        <v>7452.45</v>
      </c>
      <c r="I105" s="1063"/>
      <c r="J105" s="1061">
        <v>376.75153846153847</v>
      </c>
      <c r="K105" s="1064">
        <v>4897.7700000000004</v>
      </c>
      <c r="L105" s="1063"/>
      <c r="M105" s="1061">
        <v>316.79999999999995</v>
      </c>
      <c r="N105" s="1064">
        <v>5702.4</v>
      </c>
      <c r="O105" s="1063"/>
      <c r="P105" s="1061">
        <v>605.96318181818185</v>
      </c>
      <c r="Q105" s="1064">
        <v>13331.19</v>
      </c>
      <c r="R105" s="1063"/>
      <c r="S105" s="1061">
        <v>879.48266666666666</v>
      </c>
      <c r="T105" s="1064">
        <v>13192.24</v>
      </c>
      <c r="U105" s="1063"/>
      <c r="V105" s="1061">
        <v>336.26800000000003</v>
      </c>
      <c r="W105" s="1064">
        <v>8406.7000000000007</v>
      </c>
      <c r="X105" s="1063"/>
      <c r="Y105" s="1061">
        <v>-51.541333333333263</v>
      </c>
      <c r="Z105" s="1064">
        <v>-773.11999999999898</v>
      </c>
      <c r="AA105" s="1063"/>
      <c r="AB105" s="1061">
        <v>245.39684210526315</v>
      </c>
      <c r="AC105" s="1064">
        <v>4662.54</v>
      </c>
      <c r="AD105" s="1063"/>
      <c r="AE105" s="1061">
        <v>86.942000000000007</v>
      </c>
      <c r="AF105" s="1064">
        <v>869.42000000000007</v>
      </c>
      <c r="AG105" s="1063"/>
      <c r="AH105" s="1061">
        <v>365.34785714285715</v>
      </c>
      <c r="AI105" s="1064">
        <v>5114.87</v>
      </c>
      <c r="AJ105" s="1063"/>
      <c r="AK105" s="1061">
        <v>-29.883888888888887</v>
      </c>
      <c r="AL105" s="1064">
        <v>-537.91</v>
      </c>
      <c r="AM105" s="1063"/>
      <c r="AN105" s="1061">
        <v>648.38600000000008</v>
      </c>
      <c r="AO105" s="1064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">
      <c r="A106" s="533" t="str">
        <f t="shared" si="8"/>
        <v>Véhicules usagésRev. Protections</v>
      </c>
      <c r="B106" s="743" t="s">
        <v>95</v>
      </c>
      <c r="C106" s="1065"/>
      <c r="D106" s="1061">
        <f>IF(C99=0,0,E106/C99)</f>
        <v>989.7588235294113</v>
      </c>
      <c r="E106" s="1062">
        <f>+SUM(H106,K106,N106,Q106,T106,W106,Z106,AC106,AF106,AI106,AL106,AO106)</f>
        <v>185084.89999999991</v>
      </c>
      <c r="F106" s="1063"/>
      <c r="G106" s="1061">
        <v>369.32230769230688</v>
      </c>
      <c r="H106" s="1064">
        <v>4801.1899999999896</v>
      </c>
      <c r="I106" s="1063"/>
      <c r="J106" s="1061">
        <v>692.88846153846146</v>
      </c>
      <c r="K106" s="1064">
        <v>9007.5499999999993</v>
      </c>
      <c r="L106" s="1063"/>
      <c r="M106" s="1061">
        <v>594.33333333333337</v>
      </c>
      <c r="N106" s="1064">
        <v>10698</v>
      </c>
      <c r="O106" s="1063"/>
      <c r="P106" s="1061">
        <v>1538.4390909090864</v>
      </c>
      <c r="Q106" s="1064">
        <v>33845.659999999902</v>
      </c>
      <c r="R106" s="1063"/>
      <c r="S106" s="1061">
        <v>1715.4953333333333</v>
      </c>
      <c r="T106" s="1064">
        <v>25732.43</v>
      </c>
      <c r="U106" s="1063"/>
      <c r="V106" s="1061">
        <v>1091.8920000000001</v>
      </c>
      <c r="W106" s="1064">
        <v>27297.3</v>
      </c>
      <c r="X106" s="1063"/>
      <c r="Y106" s="1061">
        <v>1057.0806666666665</v>
      </c>
      <c r="Z106" s="1064">
        <v>15856.21</v>
      </c>
      <c r="AA106" s="1063"/>
      <c r="AB106" s="1061">
        <v>399.11473684210478</v>
      </c>
      <c r="AC106" s="1064">
        <v>7583.1799999999903</v>
      </c>
      <c r="AD106" s="1063"/>
      <c r="AE106" s="1061">
        <v>1425.4470000000001</v>
      </c>
      <c r="AF106" s="1064">
        <v>14254.470000000001</v>
      </c>
      <c r="AG106" s="1063"/>
      <c r="AH106" s="1061">
        <v>1167.2014285714286</v>
      </c>
      <c r="AI106" s="1064">
        <v>16340.82</v>
      </c>
      <c r="AJ106" s="1063"/>
      <c r="AK106" s="1061">
        <v>465.005</v>
      </c>
      <c r="AL106" s="1064">
        <v>8370.09</v>
      </c>
      <c r="AM106" s="1063"/>
      <c r="AN106" s="1061">
        <v>2259.6</v>
      </c>
      <c r="AO106" s="1064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">
      <c r="A107" s="533" t="str">
        <f t="shared" si="8"/>
        <v>Véhicules usagésRev. Autres</v>
      </c>
      <c r="B107" s="743" t="s">
        <v>96</v>
      </c>
      <c r="C107" s="1065"/>
      <c r="D107" s="1156">
        <f>IF(C99=0,0,E107/C99)</f>
        <v>293.79860962566789</v>
      </c>
      <c r="E107" s="1062">
        <f>+SUM(H107,K107,N107,Q107,T107,W107,Z107,AC107,AF107,AI107,AL107,AO107)</f>
        <v>54940.339999999895</v>
      </c>
      <c r="F107" s="1063">
        <v>4</v>
      </c>
      <c r="G107" s="1156">
        <v>202.46153846153845</v>
      </c>
      <c r="H107" s="1064">
        <v>2632</v>
      </c>
      <c r="I107" s="1063">
        <v>3</v>
      </c>
      <c r="J107" s="1156">
        <v>75.92307692307692</v>
      </c>
      <c r="K107" s="1064">
        <v>987</v>
      </c>
      <c r="L107" s="1063">
        <v>9</v>
      </c>
      <c r="M107" s="1156">
        <v>182.77777777777777</v>
      </c>
      <c r="N107" s="1064">
        <v>3290</v>
      </c>
      <c r="O107" s="1063">
        <v>5</v>
      </c>
      <c r="P107" s="1156">
        <v>191.39772727272728</v>
      </c>
      <c r="Q107" s="1064">
        <v>4210.75</v>
      </c>
      <c r="R107" s="1063">
        <v>8</v>
      </c>
      <c r="S107" s="1156">
        <v>734.6486666666666</v>
      </c>
      <c r="T107" s="1064">
        <v>11019.73</v>
      </c>
      <c r="U107" s="1063">
        <v>6</v>
      </c>
      <c r="V107" s="1156">
        <v>340.77799999999957</v>
      </c>
      <c r="W107" s="1064">
        <v>8519.4499999999898</v>
      </c>
      <c r="X107" s="1063">
        <v>4</v>
      </c>
      <c r="Y107" s="1156">
        <v>768.64599999999336</v>
      </c>
      <c r="Z107" s="1064">
        <v>11529.6899999999</v>
      </c>
      <c r="AA107" s="1063">
        <v>8</v>
      </c>
      <c r="AB107" s="1156">
        <v>194.7757894736842</v>
      </c>
      <c r="AC107" s="1064">
        <v>3700.74</v>
      </c>
      <c r="AD107" s="1063"/>
      <c r="AE107" s="1156">
        <v>155.5</v>
      </c>
      <c r="AF107" s="1064">
        <v>1555</v>
      </c>
      <c r="AG107" s="1063"/>
      <c r="AH107" s="1156">
        <v>226.14142857142855</v>
      </c>
      <c r="AI107" s="1064">
        <v>3165.9799999999996</v>
      </c>
      <c r="AJ107" s="1063"/>
      <c r="AK107" s="1156">
        <v>132.88888888888889</v>
      </c>
      <c r="AL107" s="1064">
        <v>2392</v>
      </c>
      <c r="AM107" s="1063"/>
      <c r="AN107" s="1156">
        <v>387.6</v>
      </c>
      <c r="AO107" s="1064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">
      <c r="A108" s="533" t="str">
        <f t="shared" si="8"/>
        <v>Véhicules usagésTotal F&amp;I</v>
      </c>
      <c r="B108" s="1066" t="s">
        <v>97</v>
      </c>
      <c r="C108" s="1067">
        <f>C99</f>
        <v>187</v>
      </c>
      <c r="D108" s="1068">
        <f>IF(C108&lt;=0,0,E108/C108)</f>
        <v>1634.1482352941166</v>
      </c>
      <c r="E108" s="1069">
        <f>E105+E106+E107</f>
        <v>305585.7199999998</v>
      </c>
      <c r="F108" s="1067">
        <v>13</v>
      </c>
      <c r="G108" s="1068">
        <v>1145.0492307692298</v>
      </c>
      <c r="H108" s="1069">
        <v>14885.639999999989</v>
      </c>
      <c r="I108" s="1067">
        <v>13</v>
      </c>
      <c r="J108" s="1068">
        <v>1145.563076923077</v>
      </c>
      <c r="K108" s="1069">
        <v>14892.32</v>
      </c>
      <c r="L108" s="1067">
        <v>18</v>
      </c>
      <c r="M108" s="1068">
        <v>1093.9111111111113</v>
      </c>
      <c r="N108" s="1069">
        <v>19690.400000000001</v>
      </c>
      <c r="O108" s="1067">
        <v>22</v>
      </c>
      <c r="P108" s="1068">
        <v>2335.7999999999956</v>
      </c>
      <c r="Q108" s="1069">
        <v>51387.599999999904</v>
      </c>
      <c r="R108" s="1067">
        <v>15</v>
      </c>
      <c r="S108" s="1068">
        <v>3329.6266666666661</v>
      </c>
      <c r="T108" s="1069">
        <v>49944.399999999994</v>
      </c>
      <c r="U108" s="1067">
        <v>25</v>
      </c>
      <c r="V108" s="1068">
        <v>1768.9379999999996</v>
      </c>
      <c r="W108" s="1069">
        <v>44223.44999999999</v>
      </c>
      <c r="X108" s="1067">
        <v>15</v>
      </c>
      <c r="Y108" s="1068">
        <v>1774.1853333333268</v>
      </c>
      <c r="Z108" s="1069">
        <v>26612.779999999901</v>
      </c>
      <c r="AA108" s="1067">
        <v>19</v>
      </c>
      <c r="AB108" s="1068">
        <v>839.28736842105207</v>
      </c>
      <c r="AC108" s="1069">
        <v>15946.45999999999</v>
      </c>
      <c r="AD108" s="1067">
        <v>10</v>
      </c>
      <c r="AE108" s="1068">
        <v>1667.8889999999999</v>
      </c>
      <c r="AF108" s="1069">
        <v>16678.89</v>
      </c>
      <c r="AG108" s="1067">
        <v>14</v>
      </c>
      <c r="AH108" s="1068">
        <v>1758.6907142857142</v>
      </c>
      <c r="AI108" s="1069">
        <v>24621.67</v>
      </c>
      <c r="AJ108" s="1067">
        <v>18</v>
      </c>
      <c r="AK108" s="1068">
        <v>568.01</v>
      </c>
      <c r="AL108" s="1069">
        <v>10224.18</v>
      </c>
      <c r="AM108" s="1067">
        <v>5</v>
      </c>
      <c r="AN108" s="1068">
        <v>3295.5860000000002</v>
      </c>
      <c r="AO108" s="1069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">
      <c r="A109" s="533" t="str">
        <f t="shared" si="8"/>
        <v>Véhicules usagés</v>
      </c>
      <c r="B109" s="7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8"/>
        <v>Véhicules usagésTotal Dépt. Usagés</v>
      </c>
      <c r="B111" s="1081" t="s">
        <v>145</v>
      </c>
      <c r="C111" s="1082">
        <f>C99+C103</f>
        <v>387</v>
      </c>
      <c r="D111" s="1083">
        <f>IF(C111&lt;=0,0,E111/C111)</f>
        <v>1947.0165891472852</v>
      </c>
      <c r="E111" s="1084">
        <f>E99+E108+E103+E101</f>
        <v>753495.41999999934</v>
      </c>
      <c r="F111" s="1085">
        <v>26</v>
      </c>
      <c r="G111" s="1086">
        <v>1591.4099999999976</v>
      </c>
      <c r="H111" s="1087">
        <f>H99+H108+H103+H101</f>
        <v>41376.659999999938</v>
      </c>
      <c r="I111" s="1085">
        <v>28</v>
      </c>
      <c r="J111" s="1086">
        <v>1767.8232142857087</v>
      </c>
      <c r="K111" s="1087">
        <f>K99+K108+K103+K101</f>
        <v>55438.699999999866</v>
      </c>
      <c r="L111" s="1085">
        <v>30</v>
      </c>
      <c r="M111" s="1086">
        <v>1885.9056666666668</v>
      </c>
      <c r="N111" s="1087">
        <f>N99+N108+N103+N101</f>
        <v>59567.85</v>
      </c>
      <c r="O111" s="1085">
        <v>37</v>
      </c>
      <c r="P111" s="1086">
        <v>2931.6627027026975</v>
      </c>
      <c r="Q111" s="1087">
        <f>Q99+Q108+Q103+Q101</f>
        <v>112466.90999999979</v>
      </c>
      <c r="R111" s="1085">
        <v>49</v>
      </c>
      <c r="S111" s="1086">
        <v>1845.0859183673449</v>
      </c>
      <c r="T111" s="1087">
        <f>T99+T108+T103+T101</f>
        <v>92907.209999999905</v>
      </c>
      <c r="U111" s="1085">
        <v>36</v>
      </c>
      <c r="V111" s="1086">
        <v>2466.6552777777779</v>
      </c>
      <c r="W111" s="1087">
        <f>W99+W108+W103+W101</f>
        <v>89362.84</v>
      </c>
      <c r="X111" s="1085">
        <v>38</v>
      </c>
      <c r="Y111" s="1086">
        <v>1438.4468421052579</v>
      </c>
      <c r="Z111" s="1087">
        <f>Z99+Z108+Z103+Z101</f>
        <v>57158.979999999799</v>
      </c>
      <c r="AA111" s="1085">
        <v>34</v>
      </c>
      <c r="AB111" s="1086">
        <v>1492.2794117647052</v>
      </c>
      <c r="AC111" s="1087">
        <f>AC99+AC108+AC103+AC101</f>
        <v>54268.499999999978</v>
      </c>
      <c r="AD111" s="1085">
        <v>20</v>
      </c>
      <c r="AE111" s="1086">
        <v>2127.1214999999984</v>
      </c>
      <c r="AF111" s="1087">
        <f>AF99+AF108+AF103+AF101</f>
        <v>43541.429999999971</v>
      </c>
      <c r="AG111" s="1085">
        <v>34</v>
      </c>
      <c r="AH111" s="1086">
        <v>1803.7150000000006</v>
      </c>
      <c r="AI111" s="1087">
        <f>AI99+AI108+AI103+AI101</f>
        <v>63324.310000000019</v>
      </c>
      <c r="AJ111" s="1085">
        <v>48</v>
      </c>
      <c r="AK111" s="1086">
        <v>1155.463333333334</v>
      </c>
      <c r="AL111" s="1087">
        <f>AL99+AL108+AL103+AL101</f>
        <v>57459.890000000036</v>
      </c>
      <c r="AM111" s="1085">
        <v>7</v>
      </c>
      <c r="AN111" s="1086">
        <v>3660.448571428572</v>
      </c>
      <c r="AO111" s="1087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8"/>
        <v>Véhicules usagés</v>
      </c>
      <c r="B112" s="745"/>
      <c r="C112" s="598"/>
      <c r="D112" s="1088"/>
      <c r="E112" s="1089"/>
      <c r="F112" s="1090"/>
      <c r="G112" s="1091"/>
      <c r="H112" s="1092"/>
      <c r="I112" s="1090"/>
      <c r="J112" s="1091"/>
      <c r="K112" s="1092"/>
      <c r="L112" s="1090"/>
      <c r="M112" s="1091"/>
      <c r="N112" s="1092"/>
      <c r="O112" s="1090"/>
      <c r="P112" s="1091"/>
      <c r="Q112" s="1092"/>
      <c r="R112" s="1090"/>
      <c r="S112" s="1091"/>
      <c r="T112" s="1092"/>
      <c r="U112" s="1090"/>
      <c r="V112" s="1091"/>
      <c r="W112" s="1092"/>
      <c r="X112" s="1090"/>
      <c r="Y112" s="1091"/>
      <c r="Z112" s="1092"/>
      <c r="AA112" s="1090"/>
      <c r="AB112" s="1091"/>
      <c r="AC112" s="1092"/>
      <c r="AD112" s="1090"/>
      <c r="AE112" s="1091"/>
      <c r="AF112" s="1092"/>
      <c r="AG112" s="1090"/>
      <c r="AH112" s="1091"/>
      <c r="AI112" s="1092"/>
      <c r="AJ112" s="1090"/>
      <c r="AK112" s="1091"/>
      <c r="AL112" s="1092"/>
      <c r="AM112" s="1090"/>
      <c r="AN112" s="1091"/>
      <c r="AO112" s="1092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8"/>
        <v>Véhicules usagés</v>
      </c>
      <c r="B113" s="751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">
      <c r="A114" s="533" t="str">
        <f t="shared" si="8"/>
        <v>Véhicules usagésDEPENSES</v>
      </c>
      <c r="B114" s="1096" t="s">
        <v>99</v>
      </c>
      <c r="C114" s="543"/>
      <c r="D114" s="1097"/>
      <c r="E114" s="1070"/>
      <c r="F114" s="543"/>
      <c r="G114" s="1097"/>
      <c r="H114" s="1062"/>
      <c r="I114" s="543"/>
      <c r="J114" s="1097"/>
      <c r="K114" s="1062"/>
      <c r="L114" s="543"/>
      <c r="M114" s="1097"/>
      <c r="N114" s="1062"/>
      <c r="O114" s="543"/>
      <c r="P114" s="1097"/>
      <c r="Q114" s="1062"/>
      <c r="R114" s="543"/>
      <c r="S114" s="1097"/>
      <c r="T114" s="1062"/>
      <c r="U114" s="543"/>
      <c r="V114" s="1097"/>
      <c r="W114" s="1062"/>
      <c r="X114" s="543"/>
      <c r="Y114" s="1097"/>
      <c r="Z114" s="1062"/>
      <c r="AA114" s="543"/>
      <c r="AB114" s="1097"/>
      <c r="AC114" s="1062"/>
      <c r="AD114" s="543"/>
      <c r="AE114" s="1097"/>
      <c r="AF114" s="1062"/>
      <c r="AG114" s="543"/>
      <c r="AH114" s="1097"/>
      <c r="AI114" s="1062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">
      <c r="A115" s="533" t="str">
        <f t="shared" si="8"/>
        <v>Véhicules usagésComm. vendeurs</v>
      </c>
      <c r="B115" s="743" t="s">
        <v>100</v>
      </c>
      <c r="C115" s="1098">
        <f>E115/E99</f>
        <v>0.31452208127667225</v>
      </c>
      <c r="D115" s="1099">
        <f t="shared" ref="D115" si="10">IF(C$99=0,0,E115/(C$99))</f>
        <v>568.42502673796798</v>
      </c>
      <c r="E115" s="1080">
        <f t="shared" ref="E115:E155" si="11">+SUM(H115,K115,N115,Q115,T115,W115,Z115,AC115,AF115,AI115,AL115,AO115)</f>
        <v>106295.48000000001</v>
      </c>
      <c r="F115" s="1158">
        <f>H115/H99</f>
        <v>0.37443057835135951</v>
      </c>
      <c r="G115" s="1099">
        <f>IF(F$99=0,0,H115/(F$99))</f>
        <v>625.25384615384621</v>
      </c>
      <c r="H115" s="1101">
        <v>8128.3</v>
      </c>
      <c r="I115" s="1158">
        <f>K115/K99</f>
        <v>0.27257935014979701</v>
      </c>
      <c r="J115" s="1099">
        <f>IF(I$99=0,0,K115/(I$99))</f>
        <v>619.17846153846153</v>
      </c>
      <c r="K115" s="1101">
        <v>8049.32</v>
      </c>
      <c r="L115" s="1158">
        <f>N115/N99</f>
        <v>0.3416326786183459</v>
      </c>
      <c r="M115" s="1099">
        <f>IF(L$99=0,0,N115/(L$99))</f>
        <v>618.35666666666668</v>
      </c>
      <c r="N115" s="1101">
        <v>11130.42</v>
      </c>
      <c r="O115" s="1158">
        <f>Q115/Q99</f>
        <v>0.30682392582832885</v>
      </c>
      <c r="P115" s="1099">
        <f>IF(O$99=0,0,Q115/(O$99))</f>
        <v>667.70409090909095</v>
      </c>
      <c r="Q115" s="1101">
        <v>14689.49</v>
      </c>
      <c r="R115" s="1158">
        <f>T115/T99</f>
        <v>0.3207732624557742</v>
      </c>
      <c r="S115" s="1099">
        <f>IF(R$99=0,0,T115/(R$99))</f>
        <v>501.49200000000002</v>
      </c>
      <c r="T115" s="1101">
        <v>7522.38</v>
      </c>
      <c r="U115" s="1158">
        <f>W115/W99</f>
        <v>0.37513902586327191</v>
      </c>
      <c r="V115" s="1099">
        <f>IF(U$99=0,0,W115/(U$99))</f>
        <v>697.92560000000003</v>
      </c>
      <c r="W115" s="1101">
        <v>17448.14</v>
      </c>
      <c r="X115" s="1158">
        <f>Z115/Z99</f>
        <v>0.29214524192950025</v>
      </c>
      <c r="Y115" s="1099">
        <f>IF(X$99=0,0,Z115/(X$99))</f>
        <v>427.7713333333333</v>
      </c>
      <c r="Z115" s="1101">
        <v>6416.57</v>
      </c>
      <c r="AA115" s="1158">
        <f>AC115/AC99</f>
        <v>0.31047162015511609</v>
      </c>
      <c r="AB115" s="1099">
        <f>IF(AA$99=0,0,AC115/(AA$99))</f>
        <v>410.31684210526316</v>
      </c>
      <c r="AC115" s="1101">
        <v>7796.02</v>
      </c>
      <c r="AD115" s="1158">
        <v>0.26600083571306959</v>
      </c>
      <c r="AE115" s="1099">
        <f>IF(AD$99=0,0,AF115/(AD$99))</f>
        <v>537.27700000000004</v>
      </c>
      <c r="AF115" s="1101">
        <v>5372.77</v>
      </c>
      <c r="AG115" s="1158">
        <v>0.25429882128420755</v>
      </c>
      <c r="AH115" s="1099">
        <f>IF(AG$99=0,0,AI115/(AG$99))</f>
        <v>457.05</v>
      </c>
      <c r="AI115" s="1101">
        <v>6398.7</v>
      </c>
      <c r="AJ115" s="1158">
        <v>0.25792286890556976</v>
      </c>
      <c r="AK115" s="1099">
        <f>IF(AJ$99=0,0,AL115/(AJ$99))</f>
        <v>520.12611111111119</v>
      </c>
      <c r="AL115" s="1101">
        <v>9362.27</v>
      </c>
      <c r="AM115" s="1158">
        <v>0.5259667252821002</v>
      </c>
      <c r="AN115" s="1099">
        <f>IF(AM$99=0,0,AO115/(AM$99))</f>
        <v>796.22</v>
      </c>
      <c r="AO115" s="1101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">
      <c r="A116" s="533" t="str">
        <f t="shared" si="8"/>
        <v>Véhicules usagésComm. F&amp;I</v>
      </c>
      <c r="B116" s="747" t="s">
        <v>101</v>
      </c>
      <c r="C116" s="1102">
        <f>E116/E108</f>
        <v>0.2485631200306089</v>
      </c>
      <c r="D116" s="1030">
        <f>IF(C$99=0,0,E116/(C$99))</f>
        <v>406.18898395721925</v>
      </c>
      <c r="E116" s="1103">
        <f t="shared" si="11"/>
        <v>75957.34</v>
      </c>
      <c r="F116" s="1104">
        <f>H116/H108</f>
        <v>0.24330630056887059</v>
      </c>
      <c r="G116" s="1030">
        <f t="shared" ref="G116:G121" si="12">IF(F$99=0,0,H116/(F$99))</f>
        <v>278.59769230769228</v>
      </c>
      <c r="H116" s="1105">
        <v>3621.77</v>
      </c>
      <c r="I116" s="1104">
        <f>K116/K108</f>
        <v>0.22996148350290618</v>
      </c>
      <c r="J116" s="1030">
        <f t="shared" ref="J116:J121" si="13">IF(I$99=0,0,K116/(I$99))</f>
        <v>263.43538461538458</v>
      </c>
      <c r="K116" s="1105">
        <v>3424.66</v>
      </c>
      <c r="L116" s="1104">
        <f>N116/N108</f>
        <v>0.20569262178523542</v>
      </c>
      <c r="M116" s="1030">
        <f t="shared" ref="M116:M121" si="14">IF(L$99=0,0,N116/(L$99))</f>
        <v>225.00944444444445</v>
      </c>
      <c r="N116" s="1105">
        <v>4050.17</v>
      </c>
      <c r="O116" s="1104">
        <f>Q116/Q108</f>
        <v>0.26125855264694259</v>
      </c>
      <c r="P116" s="1030">
        <f t="shared" ref="P116:P121" si="15">IF(O$99=0,0,Q116/(O$99))</f>
        <v>610.24772727272727</v>
      </c>
      <c r="Q116" s="1105">
        <v>13425.45</v>
      </c>
      <c r="R116" s="1104">
        <f>T116/T108</f>
        <v>0.2473900977887411</v>
      </c>
      <c r="S116" s="1030">
        <f t="shared" ref="S116:S121" si="16">IF(R$99=0,0,T116/(R$99))</f>
        <v>823.7166666666667</v>
      </c>
      <c r="T116" s="1105">
        <v>12355.75</v>
      </c>
      <c r="U116" s="1104">
        <f>W116/W108</f>
        <v>0.26403616181008044</v>
      </c>
      <c r="V116" s="1030">
        <f t="shared" ref="V116:V121" si="17">IF(U$99=0,0,W116/(U$99))</f>
        <v>467.06360000000001</v>
      </c>
      <c r="W116" s="1105">
        <v>11676.59</v>
      </c>
      <c r="X116" s="1159">
        <f>Z116/Z108</f>
        <v>0.29210552223405556</v>
      </c>
      <c r="Y116" s="1030">
        <f t="shared" ref="Y116:Y121" si="18">IF(X$99=0,0,Z116/(X$99))</f>
        <v>518.24933333333331</v>
      </c>
      <c r="Z116" s="1105">
        <v>7773.74</v>
      </c>
      <c r="AA116" s="1159">
        <f>AC116/AC108</f>
        <v>0.13319194354107441</v>
      </c>
      <c r="AB116" s="1030">
        <f t="shared" ref="AB116:AB121" si="19">IF(AA$99=0,0,AC116/(AA$99))</f>
        <v>111.78631578947369</v>
      </c>
      <c r="AC116" s="1105">
        <v>2123.94</v>
      </c>
      <c r="AD116" s="1159">
        <v>0.23455157987132239</v>
      </c>
      <c r="AE116" s="1030">
        <f t="shared" ref="AE116:AE121" si="20">IF(AD$99=0,0,AF116/(AD$99))</f>
        <v>391.20600000000002</v>
      </c>
      <c r="AF116" s="1105">
        <v>3912.06</v>
      </c>
      <c r="AG116" s="1159">
        <v>0.24696375184948868</v>
      </c>
      <c r="AH116" s="1030">
        <f t="shared" ref="AH116:AH121" si="21">IF(AG$99=0,0,AI116/(AG$99))</f>
        <v>434.33285714285711</v>
      </c>
      <c r="AI116" s="1105">
        <v>6080.66</v>
      </c>
      <c r="AJ116" s="1159">
        <v>0.21400053598430388</v>
      </c>
      <c r="AK116" s="1030">
        <f t="shared" ref="AK116:AK121" si="22">IF(AJ$99=0,0,AL116/(AJ$99))</f>
        <v>121.55444444444444</v>
      </c>
      <c r="AL116" s="1105">
        <v>2187.98</v>
      </c>
      <c r="AM116" s="1159">
        <v>0.32313342756037922</v>
      </c>
      <c r="AN116" s="1030">
        <f t="shared" ref="AN116:AN121" si="23">IF(AM$99=0,0,AO116/(AM$99))</f>
        <v>1064.914</v>
      </c>
      <c r="AO116" s="1105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">
      <c r="A117" s="533" t="str">
        <f t="shared" si="8"/>
        <v>Véhicules usagésFrais de livraison</v>
      </c>
      <c r="B117" s="743" t="s">
        <v>102</v>
      </c>
      <c r="C117" s="543"/>
      <c r="D117" s="1099">
        <f t="shared" ref="D117:D121" si="24">IF(C$99=0,0,E117/(C$99))</f>
        <v>79.64368983957219</v>
      </c>
      <c r="E117" s="1080">
        <f t="shared" si="11"/>
        <v>14893.37</v>
      </c>
      <c r="F117" s="543"/>
      <c r="G117" s="1099">
        <f t="shared" si="12"/>
        <v>58.972307692307695</v>
      </c>
      <c r="H117" s="1101">
        <v>766.64</v>
      </c>
      <c r="I117" s="543"/>
      <c r="J117" s="1099">
        <f t="shared" si="13"/>
        <v>83.379230769230773</v>
      </c>
      <c r="K117" s="1101">
        <v>1083.93</v>
      </c>
      <c r="L117" s="543"/>
      <c r="M117" s="1099">
        <f t="shared" si="14"/>
        <v>72.971666666666664</v>
      </c>
      <c r="N117" s="1101">
        <v>1313.49</v>
      </c>
      <c r="O117" s="543"/>
      <c r="P117" s="1099">
        <f t="shared" si="15"/>
        <v>80.948181818181808</v>
      </c>
      <c r="Q117" s="1101">
        <v>1780.86</v>
      </c>
      <c r="R117" s="543"/>
      <c r="S117" s="1099">
        <f t="shared" si="16"/>
        <v>125.02199999999999</v>
      </c>
      <c r="T117" s="1101">
        <v>1875.33</v>
      </c>
      <c r="U117" s="543"/>
      <c r="V117" s="1099">
        <f t="shared" si="17"/>
        <v>60.966000000000001</v>
      </c>
      <c r="W117" s="1101">
        <v>1524.15</v>
      </c>
      <c r="X117" s="543"/>
      <c r="Y117" s="1099">
        <f t="shared" si="18"/>
        <v>119.45733333333332</v>
      </c>
      <c r="Z117" s="1101">
        <v>1791.86</v>
      </c>
      <c r="AA117" s="543"/>
      <c r="AB117" s="1099">
        <f t="shared" si="19"/>
        <v>52.315263157894741</v>
      </c>
      <c r="AC117" s="1101">
        <v>993.99</v>
      </c>
      <c r="AD117" s="543"/>
      <c r="AE117" s="1099">
        <f t="shared" si="20"/>
        <v>116.10299999999999</v>
      </c>
      <c r="AF117" s="1101">
        <v>1161.03</v>
      </c>
      <c r="AG117" s="543"/>
      <c r="AH117" s="1099">
        <f t="shared" si="21"/>
        <v>76.951428571428565</v>
      </c>
      <c r="AI117" s="1101">
        <v>1077.32</v>
      </c>
      <c r="AJ117" s="543"/>
      <c r="AK117" s="1099">
        <f t="shared" si="22"/>
        <v>58.51166666666667</v>
      </c>
      <c r="AL117" s="1101">
        <v>1053.21</v>
      </c>
      <c r="AM117" s="543"/>
      <c r="AN117" s="1099">
        <f t="shared" si="23"/>
        <v>94.311999999999998</v>
      </c>
      <c r="AO117" s="1101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">
      <c r="A118" s="533" t="str">
        <f t="shared" si="8"/>
        <v>Véhicules usagésService gratuit 1</v>
      </c>
      <c r="B118" s="743" t="s">
        <v>103</v>
      </c>
      <c r="C118" s="543"/>
      <c r="D118" s="1099">
        <f t="shared" si="24"/>
        <v>67.362085561497338</v>
      </c>
      <c r="E118" s="1080">
        <f t="shared" si="11"/>
        <v>12596.710000000001</v>
      </c>
      <c r="F118" s="543"/>
      <c r="G118" s="1099">
        <f t="shared" si="12"/>
        <v>85.98615384615384</v>
      </c>
      <c r="H118" s="1101">
        <v>1117.82</v>
      </c>
      <c r="I118" s="543"/>
      <c r="J118" s="1099">
        <f t="shared" si="13"/>
        <v>32.221538461538458</v>
      </c>
      <c r="K118" s="1101">
        <v>418.88</v>
      </c>
      <c r="L118" s="543"/>
      <c r="M118" s="1099">
        <f t="shared" si="14"/>
        <v>18</v>
      </c>
      <c r="N118" s="1101">
        <v>324</v>
      </c>
      <c r="O118" s="543"/>
      <c r="P118" s="1099">
        <f t="shared" si="15"/>
        <v>37.948181818181816</v>
      </c>
      <c r="Q118" s="1101">
        <v>834.86</v>
      </c>
      <c r="R118" s="543"/>
      <c r="S118" s="1099">
        <f t="shared" si="16"/>
        <v>76.418666666666667</v>
      </c>
      <c r="T118" s="1101">
        <v>1146.28</v>
      </c>
      <c r="U118" s="543"/>
      <c r="V118" s="1099">
        <f t="shared" si="17"/>
        <v>79.516800000000003</v>
      </c>
      <c r="W118" s="1101">
        <v>1987.92</v>
      </c>
      <c r="X118" s="543"/>
      <c r="Y118" s="1099">
        <f t="shared" si="18"/>
        <v>85.835999999999999</v>
      </c>
      <c r="Z118" s="1101">
        <v>1287.54</v>
      </c>
      <c r="AA118" s="543"/>
      <c r="AB118" s="1099">
        <f t="shared" si="19"/>
        <v>51.683157894736844</v>
      </c>
      <c r="AC118" s="1101">
        <v>981.98</v>
      </c>
      <c r="AD118" s="543"/>
      <c r="AE118" s="1099">
        <f t="shared" si="20"/>
        <v>14.586000000000002</v>
      </c>
      <c r="AF118" s="1101">
        <v>145.86000000000001</v>
      </c>
      <c r="AG118" s="543"/>
      <c r="AH118" s="1099">
        <f t="shared" si="21"/>
        <v>99.237857142857138</v>
      </c>
      <c r="AI118" s="1101">
        <v>1389.33</v>
      </c>
      <c r="AJ118" s="543"/>
      <c r="AK118" s="1099">
        <f t="shared" si="22"/>
        <v>153.90222222222221</v>
      </c>
      <c r="AL118" s="1101">
        <v>2770.24</v>
      </c>
      <c r="AM118" s="543"/>
      <c r="AN118" s="1099">
        <f t="shared" si="23"/>
        <v>38.4</v>
      </c>
      <c r="AO118" s="1101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">
      <c r="A119" s="533" t="str">
        <f t="shared" si="8"/>
        <v>Véhicules usagésEntretien stock</v>
      </c>
      <c r="B119" s="747" t="s">
        <v>104</v>
      </c>
      <c r="C119" s="601"/>
      <c r="D119" s="1030">
        <f t="shared" si="24"/>
        <v>170.92967914438503</v>
      </c>
      <c r="E119" s="1103">
        <f t="shared" si="11"/>
        <v>31963.850000000002</v>
      </c>
      <c r="F119" s="601"/>
      <c r="G119" s="1030">
        <f t="shared" si="12"/>
        <v>154.87846153846155</v>
      </c>
      <c r="H119" s="1105">
        <v>2013.42</v>
      </c>
      <c r="I119" s="601"/>
      <c r="J119" s="1030">
        <f t="shared" si="13"/>
        <v>194.09846153846155</v>
      </c>
      <c r="K119" s="1105">
        <v>2523.2800000000002</v>
      </c>
      <c r="L119" s="601"/>
      <c r="M119" s="1030">
        <f t="shared" si="14"/>
        <v>149.69555555555556</v>
      </c>
      <c r="N119" s="1105">
        <v>2694.52</v>
      </c>
      <c r="O119" s="601"/>
      <c r="P119" s="1030">
        <f t="shared" si="15"/>
        <v>112.5059090909091</v>
      </c>
      <c r="Q119" s="1105">
        <v>2475.13</v>
      </c>
      <c r="R119" s="601"/>
      <c r="S119" s="1030">
        <f t="shared" si="16"/>
        <v>161.53133333333332</v>
      </c>
      <c r="T119" s="1105">
        <v>2422.9699999999998</v>
      </c>
      <c r="U119" s="601"/>
      <c r="V119" s="1030">
        <f t="shared" si="17"/>
        <v>128.67439999999999</v>
      </c>
      <c r="W119" s="1105">
        <v>3216.86</v>
      </c>
      <c r="X119" s="601"/>
      <c r="Y119" s="1030">
        <f t="shared" si="18"/>
        <v>337.69533333333334</v>
      </c>
      <c r="Z119" s="1105">
        <v>5065.43</v>
      </c>
      <c r="AA119" s="601"/>
      <c r="AB119" s="1030">
        <f t="shared" si="19"/>
        <v>154.97</v>
      </c>
      <c r="AC119" s="1105">
        <v>2944.43</v>
      </c>
      <c r="AD119" s="601"/>
      <c r="AE119" s="1030">
        <f t="shared" si="20"/>
        <v>231.38800000000001</v>
      </c>
      <c r="AF119" s="1105">
        <v>2313.88</v>
      </c>
      <c r="AG119" s="601"/>
      <c r="AH119" s="1030">
        <f t="shared" si="21"/>
        <v>130.97714285714287</v>
      </c>
      <c r="AI119" s="1105">
        <v>1833.68</v>
      </c>
      <c r="AJ119" s="601"/>
      <c r="AK119" s="1030">
        <f t="shared" si="22"/>
        <v>134.88499999999999</v>
      </c>
      <c r="AL119" s="1105">
        <v>2427.9299999999998</v>
      </c>
      <c r="AM119" s="601"/>
      <c r="AN119" s="1030">
        <f t="shared" si="23"/>
        <v>406.464</v>
      </c>
      <c r="AO119" s="1105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">
      <c r="A120" s="533" t="str">
        <f t="shared" si="8"/>
        <v>Véhicules usagésPublicité 1</v>
      </c>
      <c r="B120" s="743" t="s">
        <v>105</v>
      </c>
      <c r="C120" s="543"/>
      <c r="D120" s="1099">
        <f t="shared" si="24"/>
        <v>341.30080213903744</v>
      </c>
      <c r="E120" s="1080">
        <f t="shared" si="11"/>
        <v>63823.25</v>
      </c>
      <c r="F120" s="543"/>
      <c r="G120" s="1099">
        <f t="shared" si="12"/>
        <v>534.17384615384617</v>
      </c>
      <c r="H120" s="1101">
        <v>6944.26</v>
      </c>
      <c r="I120" s="543"/>
      <c r="J120" s="1099">
        <f t="shared" si="13"/>
        <v>415.85692307692312</v>
      </c>
      <c r="K120" s="1101">
        <v>5406.14</v>
      </c>
      <c r="L120" s="543"/>
      <c r="M120" s="1099">
        <f t="shared" si="14"/>
        <v>288.29333333333329</v>
      </c>
      <c r="N120" s="1101">
        <v>5189.28</v>
      </c>
      <c r="O120" s="543"/>
      <c r="P120" s="1099">
        <f t="shared" si="15"/>
        <v>225.72954545454547</v>
      </c>
      <c r="Q120" s="1101">
        <v>4966.05</v>
      </c>
      <c r="R120" s="543"/>
      <c r="S120" s="1099">
        <f t="shared" si="16"/>
        <v>450.2646666666667</v>
      </c>
      <c r="T120" s="1101">
        <v>6753.97</v>
      </c>
      <c r="U120" s="543"/>
      <c r="V120" s="1099">
        <f t="shared" si="17"/>
        <v>270.50959999999998</v>
      </c>
      <c r="W120" s="1101">
        <v>6762.74</v>
      </c>
      <c r="X120" s="543"/>
      <c r="Y120" s="1099">
        <f t="shared" si="18"/>
        <v>302.17933333333332</v>
      </c>
      <c r="Z120" s="1101">
        <v>4532.6899999999996</v>
      </c>
      <c r="AA120" s="543"/>
      <c r="AB120" s="1099">
        <f t="shared" si="19"/>
        <v>328.83789473684209</v>
      </c>
      <c r="AC120" s="1101">
        <v>6247.92</v>
      </c>
      <c r="AD120" s="543"/>
      <c r="AE120" s="1099">
        <f t="shared" si="20"/>
        <v>328.73500000000001</v>
      </c>
      <c r="AF120" s="1101">
        <v>3287.3500000000004</v>
      </c>
      <c r="AG120" s="543"/>
      <c r="AH120" s="1099">
        <f t="shared" si="21"/>
        <v>585.63857142857148</v>
      </c>
      <c r="AI120" s="1101">
        <v>8198.94</v>
      </c>
      <c r="AJ120" s="543"/>
      <c r="AK120" s="1099">
        <f t="shared" si="22"/>
        <v>315.96722222222223</v>
      </c>
      <c r="AL120" s="1101">
        <v>5687.41</v>
      </c>
      <c r="AM120" s="543"/>
      <c r="AN120" s="1099">
        <f t="shared" si="23"/>
        <v>-30.7</v>
      </c>
      <c r="AO120" s="1101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">
      <c r="A121" s="533" t="str">
        <f t="shared" si="8"/>
        <v>Véhicules usagésIntérêt de gros</v>
      </c>
      <c r="B121" s="743" t="s">
        <v>106</v>
      </c>
      <c r="C121" s="543"/>
      <c r="D121" s="1099">
        <f t="shared" si="24"/>
        <v>251.18229946524067</v>
      </c>
      <c r="E121" s="1080">
        <f t="shared" si="11"/>
        <v>46971.090000000004</v>
      </c>
      <c r="F121" s="543"/>
      <c r="G121" s="1099">
        <f t="shared" si="12"/>
        <v>304.82923076923078</v>
      </c>
      <c r="H121" s="1101">
        <v>3962.78</v>
      </c>
      <c r="I121" s="543"/>
      <c r="J121" s="1099">
        <f t="shared" si="13"/>
        <v>367.18538461538458</v>
      </c>
      <c r="K121" s="1101">
        <v>4773.41</v>
      </c>
      <c r="L121" s="543"/>
      <c r="M121" s="1099">
        <f t="shared" si="14"/>
        <v>264.29999999999995</v>
      </c>
      <c r="N121" s="1101">
        <v>4757.3999999999996</v>
      </c>
      <c r="O121" s="543"/>
      <c r="P121" s="1099">
        <f t="shared" si="15"/>
        <v>191.83909090909091</v>
      </c>
      <c r="Q121" s="1101">
        <v>4220.46</v>
      </c>
      <c r="R121" s="543"/>
      <c r="S121" s="1099">
        <f t="shared" si="16"/>
        <v>312.40400000000005</v>
      </c>
      <c r="T121" s="1101">
        <v>4686.0600000000004</v>
      </c>
      <c r="U121" s="543"/>
      <c r="V121" s="1099">
        <f t="shared" si="17"/>
        <v>214.69119999999998</v>
      </c>
      <c r="W121" s="1101">
        <v>5367.28</v>
      </c>
      <c r="X121" s="543"/>
      <c r="Y121" s="1099">
        <f t="shared" si="18"/>
        <v>306.11333333333334</v>
      </c>
      <c r="Z121" s="1101">
        <v>4591.7</v>
      </c>
      <c r="AA121" s="543"/>
      <c r="AB121" s="1099">
        <f t="shared" si="19"/>
        <v>171.97315789473683</v>
      </c>
      <c r="AC121" s="1101">
        <v>3267.49</v>
      </c>
      <c r="AD121" s="543"/>
      <c r="AE121" s="1099">
        <f t="shared" si="20"/>
        <v>271.08199999999999</v>
      </c>
      <c r="AF121" s="1101">
        <v>2710.82</v>
      </c>
      <c r="AG121" s="543"/>
      <c r="AH121" s="1099">
        <f t="shared" si="21"/>
        <v>231.21857142857144</v>
      </c>
      <c r="AI121" s="1101">
        <v>3237.06</v>
      </c>
      <c r="AJ121" s="543"/>
      <c r="AK121" s="1099">
        <f t="shared" si="22"/>
        <v>187.81777777777776</v>
      </c>
      <c r="AL121" s="1101">
        <v>3380.72</v>
      </c>
      <c r="AM121" s="543"/>
      <c r="AN121" s="1099">
        <f t="shared" si="23"/>
        <v>403.18200000000002</v>
      </c>
      <c r="AO121" s="1101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5" hidden="1" customHeight="1">
      <c r="A122" s="533" t="str">
        <f t="shared" si="8"/>
        <v>Véhicules usagés[...]</v>
      </c>
      <c r="B122" s="743" t="s">
        <v>42</v>
      </c>
      <c r="C122" s="1160"/>
      <c r="D122" s="1099">
        <f t="shared" ref="D122:D124" si="25">IF(C$99=0,0,E122/(C$96+C$97))</f>
        <v>0</v>
      </c>
      <c r="E122" s="1080">
        <f t="shared" si="11"/>
        <v>0</v>
      </c>
      <c r="F122" s="1160"/>
      <c r="G122" s="1099"/>
      <c r="H122" s="1080"/>
      <c r="I122" s="1160"/>
      <c r="J122" s="1099"/>
      <c r="K122" s="1080"/>
      <c r="L122" s="1160"/>
      <c r="M122" s="1099"/>
      <c r="N122" s="1080"/>
      <c r="O122" s="1160"/>
      <c r="P122" s="1099"/>
      <c r="Q122" s="1080"/>
      <c r="R122" s="1160"/>
      <c r="S122" s="1099"/>
      <c r="T122" s="1080"/>
      <c r="U122" s="1160"/>
      <c r="V122" s="1099"/>
      <c r="W122" s="1080"/>
      <c r="X122" s="1160"/>
      <c r="Y122" s="1099"/>
      <c r="Z122" s="1080"/>
      <c r="AA122" s="1160"/>
      <c r="AB122" s="1099"/>
      <c r="AC122" s="1080"/>
      <c r="AD122" s="1160"/>
      <c r="AE122" s="1099">
        <v>0</v>
      </c>
      <c r="AF122" s="1080">
        <v>0</v>
      </c>
      <c r="AG122" s="1160"/>
      <c r="AH122" s="1099">
        <v>0</v>
      </c>
      <c r="AI122" s="1080">
        <v>0</v>
      </c>
      <c r="AJ122" s="1160"/>
      <c r="AK122" s="1099">
        <v>0</v>
      </c>
      <c r="AL122" s="1080">
        <v>0</v>
      </c>
      <c r="AM122" s="1160"/>
      <c r="AN122" s="1099">
        <v>0</v>
      </c>
      <c r="AO122" s="1080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5" hidden="1" customHeight="1">
      <c r="A123" s="533" t="str">
        <f t="shared" si="8"/>
        <v>Véhicules usagés[...]</v>
      </c>
      <c r="B123" s="743" t="s">
        <v>42</v>
      </c>
      <c r="C123" s="1160"/>
      <c r="D123" s="1099">
        <f t="shared" si="25"/>
        <v>0</v>
      </c>
      <c r="E123" s="1080">
        <f t="shared" si="11"/>
        <v>0</v>
      </c>
      <c r="F123" s="1160"/>
      <c r="G123" s="1099"/>
      <c r="H123" s="1080"/>
      <c r="I123" s="1160"/>
      <c r="J123" s="1099"/>
      <c r="K123" s="1080"/>
      <c r="L123" s="1160"/>
      <c r="M123" s="1099"/>
      <c r="N123" s="1080"/>
      <c r="O123" s="1160"/>
      <c r="P123" s="1099"/>
      <c r="Q123" s="1080"/>
      <c r="R123" s="1160"/>
      <c r="S123" s="1099"/>
      <c r="T123" s="1080"/>
      <c r="U123" s="1160"/>
      <c r="V123" s="1099"/>
      <c r="W123" s="1080"/>
      <c r="X123" s="1160"/>
      <c r="Y123" s="1099"/>
      <c r="Z123" s="1080"/>
      <c r="AA123" s="1160"/>
      <c r="AB123" s="1099"/>
      <c r="AC123" s="1080"/>
      <c r="AD123" s="1160"/>
      <c r="AE123" s="1099">
        <v>0</v>
      </c>
      <c r="AF123" s="1080">
        <v>0</v>
      </c>
      <c r="AG123" s="1160"/>
      <c r="AH123" s="1099">
        <v>0</v>
      </c>
      <c r="AI123" s="1080">
        <v>0</v>
      </c>
      <c r="AJ123" s="1160"/>
      <c r="AK123" s="1099">
        <v>0</v>
      </c>
      <c r="AL123" s="1080">
        <v>0</v>
      </c>
      <c r="AM123" s="1160"/>
      <c r="AN123" s="1099">
        <v>0</v>
      </c>
      <c r="AO123" s="1080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5" hidden="1" customHeight="1">
      <c r="A124" s="533" t="str">
        <f t="shared" si="8"/>
        <v>Véhicules usagés[...]</v>
      </c>
      <c r="B124" s="743" t="s">
        <v>42</v>
      </c>
      <c r="C124" s="1160"/>
      <c r="D124" s="1099">
        <f t="shared" si="25"/>
        <v>0</v>
      </c>
      <c r="E124" s="1080">
        <f t="shared" si="11"/>
        <v>0</v>
      </c>
      <c r="F124" s="1160"/>
      <c r="G124" s="1099"/>
      <c r="H124" s="1080"/>
      <c r="I124" s="1160"/>
      <c r="J124" s="1099"/>
      <c r="K124" s="1080"/>
      <c r="L124" s="1160"/>
      <c r="M124" s="1099"/>
      <c r="N124" s="1080"/>
      <c r="O124" s="1160"/>
      <c r="P124" s="1099"/>
      <c r="Q124" s="1080"/>
      <c r="R124" s="1160"/>
      <c r="S124" s="1099"/>
      <c r="T124" s="1080"/>
      <c r="U124" s="1160"/>
      <c r="V124" s="1099"/>
      <c r="W124" s="1080"/>
      <c r="X124" s="1160"/>
      <c r="Y124" s="1099"/>
      <c r="Z124" s="1080"/>
      <c r="AA124" s="1160"/>
      <c r="AB124" s="1099"/>
      <c r="AC124" s="1080"/>
      <c r="AD124" s="1160"/>
      <c r="AE124" s="1099">
        <v>0</v>
      </c>
      <c r="AF124" s="1080">
        <v>0</v>
      </c>
      <c r="AG124" s="1160"/>
      <c r="AH124" s="1099">
        <v>0</v>
      </c>
      <c r="AI124" s="1080">
        <v>0</v>
      </c>
      <c r="AJ124" s="1160"/>
      <c r="AK124" s="1099">
        <v>0</v>
      </c>
      <c r="AL124" s="1080">
        <v>0</v>
      </c>
      <c r="AM124" s="1160"/>
      <c r="AN124" s="1099">
        <v>0</v>
      </c>
      <c r="AO124" s="1080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">
      <c r="A125" s="533" t="str">
        <f t="shared" si="8"/>
        <v>Véhicules usagésTOTAL VARIABLES</v>
      </c>
      <c r="B125" s="1106" t="s">
        <v>107</v>
      </c>
      <c r="C125" s="1107" t="s">
        <v>108</v>
      </c>
      <c r="D125" s="1108">
        <f>IFERROR(E125/E$111,0)</f>
        <v>0.46782114481863785</v>
      </c>
      <c r="E125" s="1109">
        <f>SUM(E115:E124)</f>
        <v>352501.09</v>
      </c>
      <c r="F125" s="1110" t="s">
        <v>108</v>
      </c>
      <c r="G125" s="1111"/>
      <c r="H125" s="1112">
        <v>26554.9899999999</v>
      </c>
      <c r="I125" s="1110" t="s">
        <v>108</v>
      </c>
      <c r="J125" s="1111"/>
      <c r="K125" s="1112">
        <v>25679.62</v>
      </c>
      <c r="L125" s="1110" t="s">
        <v>108</v>
      </c>
      <c r="M125" s="1111"/>
      <c r="N125" s="1112">
        <v>29459.279999999999</v>
      </c>
      <c r="O125" s="1110" t="s">
        <v>108</v>
      </c>
      <c r="P125" s="1111"/>
      <c r="Q125" s="1112">
        <v>42392.3</v>
      </c>
      <c r="R125" s="1161" t="s">
        <v>108</v>
      </c>
      <c r="S125" s="1111"/>
      <c r="T125" s="1112">
        <v>36762.74</v>
      </c>
      <c r="U125" s="1161" t="s">
        <v>108</v>
      </c>
      <c r="V125" s="1111"/>
      <c r="W125" s="1112">
        <v>47983.68</v>
      </c>
      <c r="X125" s="1110" t="s">
        <v>108</v>
      </c>
      <c r="Y125" s="1111"/>
      <c r="Z125" s="1112">
        <v>31459.53</v>
      </c>
      <c r="AA125" s="1110" t="s">
        <v>108</v>
      </c>
      <c r="AB125" s="1111"/>
      <c r="AC125" s="1112">
        <v>24355.769999999899</v>
      </c>
      <c r="AD125" s="1110" t="s">
        <v>108</v>
      </c>
      <c r="AE125" s="1111">
        <v>0.44435096913834066</v>
      </c>
      <c r="AF125" s="1112">
        <v>18903.770000000004</v>
      </c>
      <c r="AG125" s="1110" t="s">
        <v>108</v>
      </c>
      <c r="AH125" s="1111">
        <v>0.46009110934605374</v>
      </c>
      <c r="AI125" s="1112">
        <v>28215.69</v>
      </c>
      <c r="AJ125" s="1110" t="s">
        <v>108</v>
      </c>
      <c r="AK125" s="1111">
        <v>0.48446943361825962</v>
      </c>
      <c r="AL125" s="1112">
        <v>26869.759999999998</v>
      </c>
      <c r="AM125" s="1110" t="s">
        <v>108</v>
      </c>
      <c r="AN125" s="1111">
        <v>0.54107185926471146</v>
      </c>
      <c r="AO125" s="1112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">
      <c r="A126" s="533" t="str">
        <f t="shared" si="8"/>
        <v>Véhicules usagésSalaires cadres</v>
      </c>
      <c r="B126" s="1113" t="s">
        <v>109</v>
      </c>
      <c r="C126" s="543"/>
      <c r="D126" s="596"/>
      <c r="E126" s="1080">
        <f t="shared" si="11"/>
        <v>48370.329999999994</v>
      </c>
      <c r="F126" s="543"/>
      <c r="G126" s="596"/>
      <c r="H126" s="1101">
        <v>4941.7700000000004</v>
      </c>
      <c r="I126" s="543"/>
      <c r="J126" s="596"/>
      <c r="K126" s="1101">
        <v>3027.94</v>
      </c>
      <c r="L126" s="543"/>
      <c r="M126" s="596"/>
      <c r="N126" s="1101">
        <v>4749.6499999999996</v>
      </c>
      <c r="O126" s="543"/>
      <c r="P126" s="596"/>
      <c r="Q126" s="1101">
        <v>4324.1899999999996</v>
      </c>
      <c r="R126" s="543"/>
      <c r="S126" s="596"/>
      <c r="T126" s="1101">
        <v>3666.89</v>
      </c>
      <c r="U126" s="543"/>
      <c r="V126" s="596"/>
      <c r="W126" s="1101">
        <v>6180.53</v>
      </c>
      <c r="X126" s="543"/>
      <c r="Y126" s="596"/>
      <c r="Z126" s="1101">
        <v>3221.48</v>
      </c>
      <c r="AA126" s="543"/>
      <c r="AB126" s="596"/>
      <c r="AC126" s="1101">
        <v>3444.18</v>
      </c>
      <c r="AD126" s="543"/>
      <c r="AE126" s="596"/>
      <c r="AF126" s="1101">
        <v>2664.71</v>
      </c>
      <c r="AG126" s="543"/>
      <c r="AH126" s="596"/>
      <c r="AI126" s="1101">
        <v>3919.93</v>
      </c>
      <c r="AJ126" s="543"/>
      <c r="AK126" s="596"/>
      <c r="AL126" s="1101">
        <v>4619.41</v>
      </c>
      <c r="AM126" s="543"/>
      <c r="AN126" s="596"/>
      <c r="AO126" s="1101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">
      <c r="A127" s="533" t="str">
        <f t="shared" si="8"/>
        <v>Véhicules usagésSalaires commis</v>
      </c>
      <c r="B127" s="1114" t="s">
        <v>110</v>
      </c>
      <c r="C127" s="543"/>
      <c r="D127" s="596"/>
      <c r="E127" s="1080">
        <f t="shared" si="11"/>
        <v>35803.82</v>
      </c>
      <c r="F127" s="543"/>
      <c r="G127" s="596"/>
      <c r="H127" s="1101">
        <v>3722.1</v>
      </c>
      <c r="I127" s="543"/>
      <c r="J127" s="596"/>
      <c r="K127" s="1101">
        <v>3111.23</v>
      </c>
      <c r="L127" s="543"/>
      <c r="M127" s="596"/>
      <c r="N127" s="1101">
        <v>2704.83</v>
      </c>
      <c r="O127" s="543"/>
      <c r="P127" s="596"/>
      <c r="Q127" s="1101">
        <v>2814.78</v>
      </c>
      <c r="R127" s="543"/>
      <c r="S127" s="596"/>
      <c r="T127" s="1101">
        <v>3291.71</v>
      </c>
      <c r="U127" s="543"/>
      <c r="V127" s="596"/>
      <c r="W127" s="1101">
        <v>2757.87</v>
      </c>
      <c r="X127" s="543"/>
      <c r="Y127" s="596"/>
      <c r="Z127" s="1101">
        <v>2898.72</v>
      </c>
      <c r="AA127" s="543"/>
      <c r="AB127" s="596"/>
      <c r="AC127" s="1101">
        <v>3065.73</v>
      </c>
      <c r="AD127" s="543"/>
      <c r="AE127" s="596"/>
      <c r="AF127" s="1101">
        <v>3025.53</v>
      </c>
      <c r="AG127" s="543"/>
      <c r="AH127" s="596"/>
      <c r="AI127" s="1101">
        <v>3094.78</v>
      </c>
      <c r="AJ127" s="543"/>
      <c r="AK127" s="596"/>
      <c r="AL127" s="1101">
        <v>2771.17</v>
      </c>
      <c r="AM127" s="543"/>
      <c r="AN127" s="596"/>
      <c r="AO127" s="1101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">
      <c r="A128" s="533" t="str">
        <f t="shared" si="8"/>
        <v>Véhicules usagésSalaires autres</v>
      </c>
      <c r="B128" s="1113" t="s">
        <v>111</v>
      </c>
      <c r="C128" s="1115"/>
      <c r="D128" s="1116"/>
      <c r="E128" s="1117">
        <f t="shared" si="11"/>
        <v>30899</v>
      </c>
      <c r="F128" s="1115"/>
      <c r="G128" s="1116"/>
      <c r="H128" s="1118">
        <v>2809</v>
      </c>
      <c r="I128" s="1115"/>
      <c r="J128" s="1116"/>
      <c r="K128" s="1118">
        <v>2809</v>
      </c>
      <c r="L128" s="1115"/>
      <c r="M128" s="1116"/>
      <c r="N128" s="1118">
        <v>2809</v>
      </c>
      <c r="O128" s="1115"/>
      <c r="P128" s="1116"/>
      <c r="Q128" s="1118">
        <v>2809</v>
      </c>
      <c r="R128" s="1115"/>
      <c r="S128" s="1116"/>
      <c r="T128" s="1118">
        <v>2809</v>
      </c>
      <c r="U128" s="1115"/>
      <c r="V128" s="1116"/>
      <c r="W128" s="1118">
        <v>2809</v>
      </c>
      <c r="X128" s="1115"/>
      <c r="Y128" s="1116"/>
      <c r="Z128" s="1118">
        <v>2809</v>
      </c>
      <c r="AA128" s="1115"/>
      <c r="AB128" s="1116"/>
      <c r="AC128" s="1118">
        <v>2809</v>
      </c>
      <c r="AD128" s="1115"/>
      <c r="AE128" s="1116"/>
      <c r="AF128" s="1118">
        <v>2809</v>
      </c>
      <c r="AG128" s="1115"/>
      <c r="AH128" s="1116"/>
      <c r="AI128" s="1118">
        <v>2809</v>
      </c>
      <c r="AJ128" s="1115"/>
      <c r="AK128" s="1116"/>
      <c r="AL128" s="1118">
        <v>2809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">
      <c r="A129" s="533" t="str">
        <f t="shared" si="8"/>
        <v>Véhicules usagésSalaires spécialistes</v>
      </c>
      <c r="B129" s="1113" t="s">
        <v>112</v>
      </c>
      <c r="C129" s="543"/>
      <c r="D129" s="596"/>
      <c r="E129" s="1080">
        <f t="shared" si="11"/>
        <v>0</v>
      </c>
      <c r="F129" s="543"/>
      <c r="G129" s="596"/>
      <c r="H129" s="1101">
        <v>0</v>
      </c>
      <c r="I129" s="543"/>
      <c r="J129" s="596"/>
      <c r="K129" s="1101">
        <v>0</v>
      </c>
      <c r="L129" s="543"/>
      <c r="M129" s="596"/>
      <c r="N129" s="1101">
        <v>0</v>
      </c>
      <c r="O129" s="543"/>
      <c r="P129" s="596"/>
      <c r="Q129" s="1101">
        <v>0</v>
      </c>
      <c r="R129" s="543"/>
      <c r="S129" s="596"/>
      <c r="T129" s="1101">
        <v>0</v>
      </c>
      <c r="U129" s="543"/>
      <c r="V129" s="596"/>
      <c r="W129" s="1101">
        <v>0</v>
      </c>
      <c r="X129" s="543"/>
      <c r="Y129" s="596"/>
      <c r="Z129" s="1101">
        <v>0</v>
      </c>
      <c r="AA129" s="543"/>
      <c r="AB129" s="596"/>
      <c r="AC129" s="1101">
        <v>0</v>
      </c>
      <c r="AD129" s="543"/>
      <c r="AE129" s="596"/>
      <c r="AF129" s="1101">
        <v>0</v>
      </c>
      <c r="AG129" s="543"/>
      <c r="AH129" s="596"/>
      <c r="AI129" s="1101">
        <v>0</v>
      </c>
      <c r="AJ129" s="543"/>
      <c r="AK129" s="596"/>
      <c r="AL129" s="1101">
        <v>0</v>
      </c>
      <c r="AM129" s="543"/>
      <c r="AN129" s="596"/>
      <c r="AO129" s="1101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5" hidden="1" customHeight="1">
      <c r="A130" s="533" t="str">
        <f t="shared" si="8"/>
        <v>Véhicules usagés[...]</v>
      </c>
      <c r="B130" s="743" t="s">
        <v>42</v>
      </c>
      <c r="C130" s="543"/>
      <c r="D130" s="596"/>
      <c r="E130" s="1080">
        <f t="shared" si="11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>
        <v>0</v>
      </c>
      <c r="AG130" s="543"/>
      <c r="AH130" s="596"/>
      <c r="AI130" s="1101">
        <v>0</v>
      </c>
      <c r="AJ130" s="543"/>
      <c r="AK130" s="596"/>
      <c r="AL130" s="1101">
        <v>0</v>
      </c>
      <c r="AM130" s="543"/>
      <c r="AN130" s="596"/>
      <c r="AO130" s="1101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5" hidden="1" customHeight="1">
      <c r="A131" s="533" t="str">
        <f t="shared" si="8"/>
        <v>Véhicules usagés[...]</v>
      </c>
      <c r="B131" s="743" t="s">
        <v>42</v>
      </c>
      <c r="C131" s="543"/>
      <c r="D131" s="596"/>
      <c r="E131" s="1080">
        <f t="shared" si="11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>
        <v>0</v>
      </c>
      <c r="AG131" s="543"/>
      <c r="AH131" s="596"/>
      <c r="AI131" s="1101">
        <v>0</v>
      </c>
      <c r="AJ131" s="543"/>
      <c r="AK131" s="596"/>
      <c r="AL131" s="1101">
        <v>0</v>
      </c>
      <c r="AM131" s="543"/>
      <c r="AN131" s="596"/>
      <c r="AO131" s="1101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5" hidden="1" customHeight="1">
      <c r="A132" s="533" t="str">
        <f t="shared" si="8"/>
        <v>Véhicules usagés[...]</v>
      </c>
      <c r="B132" s="743" t="s">
        <v>42</v>
      </c>
      <c r="C132" s="543"/>
      <c r="D132" s="596"/>
      <c r="E132" s="1080">
        <f t="shared" si="11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>
        <v>0</v>
      </c>
      <c r="AG132" s="543"/>
      <c r="AH132" s="596"/>
      <c r="AI132" s="1101">
        <v>0</v>
      </c>
      <c r="AJ132" s="543"/>
      <c r="AK132" s="596"/>
      <c r="AL132" s="1101">
        <v>0</v>
      </c>
      <c r="AM132" s="543"/>
      <c r="AN132" s="596"/>
      <c r="AO132" s="1101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">
      <c r="A133" s="533" t="str">
        <f t="shared" si="8"/>
        <v>Véhicules usagésSalaires en absences</v>
      </c>
      <c r="B133" s="1114" t="s">
        <v>113</v>
      </c>
      <c r="C133" s="543"/>
      <c r="D133" s="596"/>
      <c r="E133" s="1080">
        <f t="shared" si="11"/>
        <v>43711.22</v>
      </c>
      <c r="F133" s="543"/>
      <c r="G133" s="596"/>
      <c r="H133" s="1101">
        <v>6169.21</v>
      </c>
      <c r="I133" s="543"/>
      <c r="J133" s="596"/>
      <c r="K133" s="1101">
        <v>2785.02</v>
      </c>
      <c r="L133" s="543"/>
      <c r="M133" s="596"/>
      <c r="N133" s="1101">
        <v>2973.16</v>
      </c>
      <c r="O133" s="543"/>
      <c r="P133" s="596"/>
      <c r="Q133" s="1101">
        <v>4280.1400000000003</v>
      </c>
      <c r="R133" s="543"/>
      <c r="S133" s="596"/>
      <c r="T133" s="1101">
        <v>4453.6400000000003</v>
      </c>
      <c r="U133" s="543"/>
      <c r="V133" s="596"/>
      <c r="W133" s="1101">
        <v>4970.03</v>
      </c>
      <c r="X133" s="543"/>
      <c r="Y133" s="596"/>
      <c r="Z133" s="1101">
        <v>5062.3999999999996</v>
      </c>
      <c r="AA133" s="543"/>
      <c r="AB133" s="596"/>
      <c r="AC133" s="1101">
        <v>2672.07</v>
      </c>
      <c r="AD133" s="543"/>
      <c r="AE133" s="596"/>
      <c r="AF133" s="1101">
        <v>2624.04</v>
      </c>
      <c r="AG133" s="543"/>
      <c r="AH133" s="596"/>
      <c r="AI133" s="1101">
        <v>2783.96</v>
      </c>
      <c r="AJ133" s="543"/>
      <c r="AK133" s="596"/>
      <c r="AL133" s="1101">
        <v>2882.43</v>
      </c>
      <c r="AM133" s="543"/>
      <c r="AN133" s="596"/>
      <c r="AO133" s="1101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">
      <c r="A134" s="533" t="str">
        <f t="shared" si="8"/>
        <v>Véhicules usagésDéduction à la source</v>
      </c>
      <c r="B134" s="1113" t="s">
        <v>114</v>
      </c>
      <c r="C134" s="1115"/>
      <c r="D134" s="1116"/>
      <c r="E134" s="1117">
        <f t="shared" si="11"/>
        <v>43239.78</v>
      </c>
      <c r="F134" s="1115"/>
      <c r="G134" s="1116"/>
      <c r="H134" s="1118">
        <v>5633.38</v>
      </c>
      <c r="I134" s="1115"/>
      <c r="J134" s="1116"/>
      <c r="K134" s="1118">
        <v>3621.47</v>
      </c>
      <c r="L134" s="1115"/>
      <c r="M134" s="1116"/>
      <c r="N134" s="1118">
        <v>3346.15</v>
      </c>
      <c r="O134" s="1115"/>
      <c r="P134" s="1116"/>
      <c r="Q134" s="1118">
        <v>4660.29</v>
      </c>
      <c r="R134" s="1115"/>
      <c r="S134" s="1116"/>
      <c r="T134" s="1118">
        <v>6595.11</v>
      </c>
      <c r="U134" s="1115"/>
      <c r="V134" s="1116"/>
      <c r="W134" s="1118">
        <v>5186.22</v>
      </c>
      <c r="X134" s="1115"/>
      <c r="Y134" s="1116"/>
      <c r="Z134" s="1118">
        <v>3049.56</v>
      </c>
      <c r="AA134" s="1115"/>
      <c r="AB134" s="1116"/>
      <c r="AC134" s="1118">
        <v>2599.48</v>
      </c>
      <c r="AD134" s="1115"/>
      <c r="AE134" s="1116"/>
      <c r="AF134" s="1118">
        <v>2138.27</v>
      </c>
      <c r="AG134" s="1115"/>
      <c r="AH134" s="1116"/>
      <c r="AI134" s="1118">
        <v>2506.61</v>
      </c>
      <c r="AJ134" s="1115"/>
      <c r="AK134" s="1116"/>
      <c r="AL134" s="1118">
        <v>1515.95</v>
      </c>
      <c r="AM134" s="1115"/>
      <c r="AN134" s="1116"/>
      <c r="AO134" s="1118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">
      <c r="A135" s="533" t="str">
        <f t="shared" si="8"/>
        <v>Véhicules usagésBénéfices marginaux</v>
      </c>
      <c r="B135" s="1119" t="s">
        <v>115</v>
      </c>
      <c r="C135" s="543"/>
      <c r="D135" s="596"/>
      <c r="E135" s="1080">
        <f t="shared" si="11"/>
        <v>25319.16</v>
      </c>
      <c r="F135" s="543"/>
      <c r="G135" s="596"/>
      <c r="H135" s="1101">
        <v>2784.19</v>
      </c>
      <c r="I135" s="543"/>
      <c r="J135" s="596"/>
      <c r="K135" s="1101">
        <v>1885.91</v>
      </c>
      <c r="L135" s="543"/>
      <c r="M135" s="596"/>
      <c r="N135" s="1101">
        <v>1840.42</v>
      </c>
      <c r="O135" s="543"/>
      <c r="P135" s="596"/>
      <c r="Q135" s="1101">
        <v>2248.29</v>
      </c>
      <c r="R135" s="543"/>
      <c r="S135" s="596"/>
      <c r="T135" s="1101">
        <v>2486.52</v>
      </c>
      <c r="U135" s="543"/>
      <c r="V135" s="596"/>
      <c r="W135" s="1101">
        <v>2416.08</v>
      </c>
      <c r="X135" s="543"/>
      <c r="Y135" s="596"/>
      <c r="Z135" s="1101">
        <v>2676.34</v>
      </c>
      <c r="AA135" s="543"/>
      <c r="AB135" s="596"/>
      <c r="AC135" s="1101">
        <v>2288.75</v>
      </c>
      <c r="AD135" s="543"/>
      <c r="AE135" s="596"/>
      <c r="AF135" s="1101">
        <v>1747.32</v>
      </c>
      <c r="AG135" s="543"/>
      <c r="AH135" s="596"/>
      <c r="AI135" s="1101">
        <v>1890.24</v>
      </c>
      <c r="AJ135" s="543"/>
      <c r="AK135" s="596"/>
      <c r="AL135" s="1101">
        <v>1671.57</v>
      </c>
      <c r="AM135" s="543"/>
      <c r="AN135" s="596"/>
      <c r="AO135" s="1101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">
      <c r="A136" s="533" t="str">
        <f t="shared" si="8"/>
        <v>Véhicules usagésCsst</v>
      </c>
      <c r="B136" s="1113" t="s">
        <v>116</v>
      </c>
      <c r="C136" s="543"/>
      <c r="D136" s="596"/>
      <c r="E136" s="1080">
        <f t="shared" si="11"/>
        <v>7210.0899999999983</v>
      </c>
      <c r="F136" s="543"/>
      <c r="G136" s="596"/>
      <c r="H136" s="1101">
        <v>874.24</v>
      </c>
      <c r="I136" s="543"/>
      <c r="J136" s="596"/>
      <c r="K136" s="1101">
        <v>514.15</v>
      </c>
      <c r="L136" s="543"/>
      <c r="M136" s="596"/>
      <c r="N136" s="1101">
        <v>518.58000000000004</v>
      </c>
      <c r="O136" s="543"/>
      <c r="P136" s="596"/>
      <c r="Q136" s="1101">
        <v>798.12</v>
      </c>
      <c r="R136" s="543"/>
      <c r="S136" s="596"/>
      <c r="T136" s="1101">
        <v>1023.73</v>
      </c>
      <c r="U136" s="543"/>
      <c r="V136" s="596"/>
      <c r="W136" s="1101">
        <v>1281.33</v>
      </c>
      <c r="X136" s="543"/>
      <c r="Y136" s="596"/>
      <c r="Z136" s="1101">
        <v>847.33</v>
      </c>
      <c r="AA136" s="543"/>
      <c r="AB136" s="596"/>
      <c r="AC136" s="1101">
        <v>261.77999999999997</v>
      </c>
      <c r="AD136" s="543"/>
      <c r="AE136" s="596"/>
      <c r="AF136" s="1101">
        <v>96.94</v>
      </c>
      <c r="AG136" s="543"/>
      <c r="AH136" s="596"/>
      <c r="AI136" s="1101">
        <v>198.23</v>
      </c>
      <c r="AJ136" s="543"/>
      <c r="AK136" s="596"/>
      <c r="AL136" s="1101">
        <v>174.55</v>
      </c>
      <c r="AM136" s="543"/>
      <c r="AN136" s="596"/>
      <c r="AO136" s="1101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5" hidden="1" customHeight="1">
      <c r="A137" s="533"/>
      <c r="B137" s="743" t="s">
        <v>42</v>
      </c>
      <c r="C137" s="601"/>
      <c r="D137" s="1120"/>
      <c r="E137" s="1103">
        <f t="shared" si="11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>
        <v>0</v>
      </c>
      <c r="AG137" s="601"/>
      <c r="AH137" s="1120"/>
      <c r="AI137" s="1103">
        <v>0</v>
      </c>
      <c r="AJ137" s="601"/>
      <c r="AK137" s="1120"/>
      <c r="AL137" s="1103">
        <v>0</v>
      </c>
      <c r="AM137" s="601"/>
      <c r="AN137" s="1120"/>
      <c r="AO137" s="1103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">
      <c r="A138" s="533" t="str">
        <f t="shared" si="8"/>
        <v>Véhicules usagésTOTAL PERSONNEL</v>
      </c>
      <c r="B138" s="1106" t="s">
        <v>117</v>
      </c>
      <c r="C138" s="1107" t="s">
        <v>108</v>
      </c>
      <c r="D138" s="1108">
        <f>IFERROR(E138/E$111,0)</f>
        <v>0.31128709448559116</v>
      </c>
      <c r="E138" s="1109">
        <f>SUM(E126:E136)</f>
        <v>234553.4</v>
      </c>
      <c r="F138" s="1110"/>
      <c r="G138" s="1111"/>
      <c r="H138" s="1112">
        <v>26933.89</v>
      </c>
      <c r="I138" s="1110"/>
      <c r="J138" s="1111"/>
      <c r="K138" s="1112">
        <v>17754.72</v>
      </c>
      <c r="L138" s="1110"/>
      <c r="M138" s="1111"/>
      <c r="N138" s="1112">
        <v>18941.79</v>
      </c>
      <c r="O138" s="1110"/>
      <c r="P138" s="1111"/>
      <c r="Q138" s="1112">
        <v>21934.81</v>
      </c>
      <c r="R138" s="1110"/>
      <c r="S138" s="1111"/>
      <c r="T138" s="1112">
        <v>24326.6</v>
      </c>
      <c r="U138" s="1110"/>
      <c r="V138" s="1111"/>
      <c r="W138" s="1112">
        <v>25601.06</v>
      </c>
      <c r="X138" s="1110"/>
      <c r="Y138" s="1111"/>
      <c r="Z138" s="1112">
        <v>20564.830000000002</v>
      </c>
      <c r="AA138" s="1110"/>
      <c r="AB138" s="1111"/>
      <c r="AC138" s="1112">
        <v>17140.9899999999</v>
      </c>
      <c r="AD138" s="1110" t="s">
        <v>108</v>
      </c>
      <c r="AE138" s="1111">
        <v>0.35507633202898869</v>
      </c>
      <c r="AF138" s="1112">
        <v>15105.81</v>
      </c>
      <c r="AG138" s="1110" t="s">
        <v>108</v>
      </c>
      <c r="AH138" s="1111">
        <v>0.28051174120862638</v>
      </c>
      <c r="AI138" s="1112">
        <v>17202.75</v>
      </c>
      <c r="AJ138" s="1110" t="s">
        <v>108</v>
      </c>
      <c r="AK138" s="1111">
        <v>0.29649145076001243</v>
      </c>
      <c r="AL138" s="1112">
        <v>16444.080000000002</v>
      </c>
      <c r="AM138" s="1110" t="s">
        <v>108</v>
      </c>
      <c r="AN138" s="1111">
        <v>0.49182379677119981</v>
      </c>
      <c r="AO138" s="1112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">
      <c r="A139" s="533" t="str">
        <f t="shared" si="8"/>
        <v>Véhicules usagésPublicité 2</v>
      </c>
      <c r="B139" s="743" t="s">
        <v>118</v>
      </c>
      <c r="C139" s="543"/>
      <c r="D139" s="596"/>
      <c r="E139" s="1080">
        <f t="shared" si="11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">
      <c r="A140" s="533" t="str">
        <f t="shared" si="8"/>
        <v>Véhicules usagésService gratuit 2</v>
      </c>
      <c r="B140" s="743" t="s">
        <v>119</v>
      </c>
      <c r="C140" s="543"/>
      <c r="D140" s="596"/>
      <c r="E140" s="1080">
        <f t="shared" si="11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">
      <c r="A141" s="533" t="str">
        <f t="shared" si="8"/>
        <v>Véhicules usagésFrais véhicules de cie</v>
      </c>
      <c r="B141" s="747" t="s">
        <v>120</v>
      </c>
      <c r="C141" s="1121"/>
      <c r="D141" s="1122"/>
      <c r="E141" s="1123">
        <f t="shared" si="11"/>
        <v>12012.869999999999</v>
      </c>
      <c r="F141" s="1121"/>
      <c r="G141" s="1122"/>
      <c r="H141" s="1124">
        <v>1217.75</v>
      </c>
      <c r="I141" s="1121"/>
      <c r="J141" s="1122"/>
      <c r="K141" s="1124">
        <v>941.68</v>
      </c>
      <c r="L141" s="1121"/>
      <c r="M141" s="1122"/>
      <c r="N141" s="1124">
        <v>1085.27</v>
      </c>
      <c r="O141" s="1121"/>
      <c r="P141" s="1122"/>
      <c r="Q141" s="1124">
        <v>667.7</v>
      </c>
      <c r="R141" s="1121"/>
      <c r="S141" s="1122"/>
      <c r="T141" s="1124">
        <v>993.36</v>
      </c>
      <c r="U141" s="1121"/>
      <c r="V141" s="1122"/>
      <c r="W141" s="1124">
        <v>944.98</v>
      </c>
      <c r="X141" s="1121"/>
      <c r="Y141" s="1122"/>
      <c r="Z141" s="1124">
        <v>1007.99</v>
      </c>
      <c r="AA141" s="1121"/>
      <c r="AB141" s="1122"/>
      <c r="AC141" s="1124">
        <v>926.69</v>
      </c>
      <c r="AD141" s="1121"/>
      <c r="AE141" s="1122"/>
      <c r="AF141" s="1124">
        <v>1170.1600000000001</v>
      </c>
      <c r="AG141" s="1121"/>
      <c r="AH141" s="1122"/>
      <c r="AI141" s="1124">
        <v>1237.52</v>
      </c>
      <c r="AJ141" s="1121"/>
      <c r="AK141" s="1122"/>
      <c r="AL141" s="1124">
        <v>1099.56</v>
      </c>
      <c r="AM141" s="1121"/>
      <c r="AN141" s="1122"/>
      <c r="AO141" s="1124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">
      <c r="A142" s="533" t="str">
        <f t="shared" si="8"/>
        <v>Véhicules usagésInformatique</v>
      </c>
      <c r="B142" s="743" t="s">
        <v>121</v>
      </c>
      <c r="C142" s="543"/>
      <c r="D142" s="596"/>
      <c r="E142" s="1080">
        <f t="shared" si="11"/>
        <v>17911.490000000002</v>
      </c>
      <c r="F142" s="543"/>
      <c r="G142" s="596"/>
      <c r="H142" s="1101">
        <v>1549.78</v>
      </c>
      <c r="I142" s="543"/>
      <c r="J142" s="596"/>
      <c r="K142" s="1101">
        <v>1425.17</v>
      </c>
      <c r="L142" s="543"/>
      <c r="M142" s="596"/>
      <c r="N142" s="1101">
        <v>1463.03</v>
      </c>
      <c r="O142" s="543"/>
      <c r="P142" s="596"/>
      <c r="Q142" s="1101">
        <v>1412</v>
      </c>
      <c r="R142" s="543"/>
      <c r="S142" s="596"/>
      <c r="T142" s="1101">
        <v>1959.03</v>
      </c>
      <c r="U142" s="543"/>
      <c r="V142" s="596"/>
      <c r="W142" s="1101">
        <v>1418.33</v>
      </c>
      <c r="X142" s="543"/>
      <c r="Y142" s="596"/>
      <c r="Z142" s="1101">
        <v>1466.88</v>
      </c>
      <c r="AA142" s="543"/>
      <c r="AB142" s="596"/>
      <c r="AC142" s="1101">
        <v>1448.17</v>
      </c>
      <c r="AD142" s="543"/>
      <c r="AE142" s="596"/>
      <c r="AF142" s="1101">
        <v>1293.95</v>
      </c>
      <c r="AG142" s="543"/>
      <c r="AH142" s="596"/>
      <c r="AI142" s="1101">
        <v>1303.4000000000001</v>
      </c>
      <c r="AJ142" s="543"/>
      <c r="AK142" s="596"/>
      <c r="AL142" s="1101">
        <v>1350.6</v>
      </c>
      <c r="AM142" s="543"/>
      <c r="AN142" s="596"/>
      <c r="AO142" s="1101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">
      <c r="A143" s="533" t="str">
        <f t="shared" si="8"/>
        <v>Véhicules usagésFrais de déplacement</v>
      </c>
      <c r="B143" s="743" t="s">
        <v>122</v>
      </c>
      <c r="C143" s="543"/>
      <c r="D143" s="596"/>
      <c r="E143" s="1080">
        <f t="shared" si="11"/>
        <v>1600.33</v>
      </c>
      <c r="F143" s="543"/>
      <c r="G143" s="596"/>
      <c r="H143" s="1101">
        <v>163.22999999999999</v>
      </c>
      <c r="I143" s="543"/>
      <c r="J143" s="596"/>
      <c r="K143" s="1101">
        <v>179.53</v>
      </c>
      <c r="L143" s="543"/>
      <c r="M143" s="596"/>
      <c r="N143" s="1101">
        <v>124.2</v>
      </c>
      <c r="O143" s="543"/>
      <c r="P143" s="596"/>
      <c r="Q143" s="1101">
        <v>247</v>
      </c>
      <c r="R143" s="543"/>
      <c r="S143" s="596"/>
      <c r="T143" s="1101">
        <v>110.32</v>
      </c>
      <c r="U143" s="543"/>
      <c r="V143" s="596"/>
      <c r="W143" s="1101">
        <v>95.44</v>
      </c>
      <c r="X143" s="543"/>
      <c r="Y143" s="596"/>
      <c r="Z143" s="1101">
        <v>82.92</v>
      </c>
      <c r="AA143" s="543"/>
      <c r="AB143" s="596"/>
      <c r="AC143" s="1101">
        <v>117.35</v>
      </c>
      <c r="AD143" s="543"/>
      <c r="AE143" s="596"/>
      <c r="AF143" s="1101">
        <v>115.1</v>
      </c>
      <c r="AG143" s="543"/>
      <c r="AH143" s="596"/>
      <c r="AI143" s="1101">
        <v>93.46</v>
      </c>
      <c r="AJ143" s="543"/>
      <c r="AK143" s="596"/>
      <c r="AL143" s="1101">
        <v>220.84</v>
      </c>
      <c r="AM143" s="543"/>
      <c r="AN143" s="596"/>
      <c r="AO143" s="1101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">
      <c r="A144" s="533" t="str">
        <f t="shared" si="8"/>
        <v>Véhicules usagésServices extérieurs</v>
      </c>
      <c r="B144" s="747" t="s">
        <v>123</v>
      </c>
      <c r="C144" s="1121"/>
      <c r="D144" s="1122"/>
      <c r="E144" s="1123">
        <f t="shared" si="11"/>
        <v>9138.16</v>
      </c>
      <c r="F144" s="1121"/>
      <c r="G144" s="1122"/>
      <c r="H144" s="1124">
        <v>774.84</v>
      </c>
      <c r="I144" s="1121"/>
      <c r="J144" s="1122"/>
      <c r="K144" s="1124">
        <v>758.72</v>
      </c>
      <c r="L144" s="1121"/>
      <c r="M144" s="1122"/>
      <c r="N144" s="1124">
        <v>737.42</v>
      </c>
      <c r="O144" s="1121"/>
      <c r="P144" s="1122"/>
      <c r="Q144" s="1124">
        <v>1032.31</v>
      </c>
      <c r="R144" s="1121"/>
      <c r="S144" s="1122"/>
      <c r="T144" s="1124">
        <v>758.08</v>
      </c>
      <c r="U144" s="1121"/>
      <c r="V144" s="1122"/>
      <c r="W144" s="1124">
        <v>553.22</v>
      </c>
      <c r="X144" s="1121"/>
      <c r="Y144" s="1122"/>
      <c r="Z144" s="1124">
        <v>675.99</v>
      </c>
      <c r="AA144" s="1121"/>
      <c r="AB144" s="1122"/>
      <c r="AC144" s="1124">
        <v>631.08000000000004</v>
      </c>
      <c r="AD144" s="1121"/>
      <c r="AE144" s="1122"/>
      <c r="AF144" s="1124">
        <v>751.99</v>
      </c>
      <c r="AG144" s="1121"/>
      <c r="AH144" s="1122"/>
      <c r="AI144" s="1124">
        <v>383.75</v>
      </c>
      <c r="AJ144" s="1121"/>
      <c r="AK144" s="1122"/>
      <c r="AL144" s="1124">
        <v>956.72</v>
      </c>
      <c r="AM144" s="1121"/>
      <c r="AN144" s="1122"/>
      <c r="AO144" s="1124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">
      <c r="A145" s="533" t="str">
        <f t="shared" si="8"/>
        <v>Véhicules usagésFournitures autres</v>
      </c>
      <c r="B145" s="743" t="s">
        <v>124</v>
      </c>
      <c r="C145" s="543"/>
      <c r="D145" s="596"/>
      <c r="E145" s="1080">
        <f t="shared" si="11"/>
        <v>153.47</v>
      </c>
      <c r="F145" s="543"/>
      <c r="G145" s="596"/>
      <c r="H145" s="1101">
        <v>79.98</v>
      </c>
      <c r="I145" s="543"/>
      <c r="J145" s="596"/>
      <c r="K145" s="1101">
        <v>1.1000000000000001</v>
      </c>
      <c r="L145" s="543"/>
      <c r="M145" s="596"/>
      <c r="N145" s="1101">
        <v>0.53</v>
      </c>
      <c r="O145" s="543"/>
      <c r="P145" s="596"/>
      <c r="Q145" s="1101">
        <v>0</v>
      </c>
      <c r="R145" s="543"/>
      <c r="S145" s="596"/>
      <c r="T145" s="1101">
        <v>0</v>
      </c>
      <c r="U145" s="543"/>
      <c r="V145" s="596"/>
      <c r="W145" s="1101">
        <v>30.81</v>
      </c>
      <c r="X145" s="543"/>
      <c r="Y145" s="596"/>
      <c r="Z145" s="1101">
        <v>13.54</v>
      </c>
      <c r="AA145" s="543"/>
      <c r="AB145" s="596"/>
      <c r="AC145" s="1101">
        <v>0</v>
      </c>
      <c r="AD145" s="543"/>
      <c r="AE145" s="596"/>
      <c r="AF145" s="1101">
        <v>24.59</v>
      </c>
      <c r="AG145" s="543"/>
      <c r="AH145" s="596"/>
      <c r="AI145" s="1101">
        <v>0</v>
      </c>
      <c r="AJ145" s="543"/>
      <c r="AK145" s="596"/>
      <c r="AL145" s="1101">
        <v>0</v>
      </c>
      <c r="AM145" s="543"/>
      <c r="AN145" s="596"/>
      <c r="AO145" s="1101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">
      <c r="A146" s="533" t="str">
        <f t="shared" si="8"/>
        <v>Véhicules usagésUniformes</v>
      </c>
      <c r="B146" s="743" t="s">
        <v>125</v>
      </c>
      <c r="C146" s="543"/>
      <c r="D146" s="596"/>
      <c r="E146" s="1080">
        <f t="shared" si="11"/>
        <v>79.98</v>
      </c>
      <c r="F146" s="543"/>
      <c r="G146" s="596"/>
      <c r="H146" s="1101">
        <v>0</v>
      </c>
      <c r="I146" s="543"/>
      <c r="J146" s="596"/>
      <c r="K146" s="1101">
        <v>0</v>
      </c>
      <c r="L146" s="543"/>
      <c r="M146" s="596"/>
      <c r="N146" s="1101">
        <v>13.98</v>
      </c>
      <c r="O146" s="543"/>
      <c r="P146" s="596"/>
      <c r="Q146" s="1101">
        <v>66</v>
      </c>
      <c r="R146" s="543"/>
      <c r="S146" s="596"/>
      <c r="T146" s="1101">
        <v>0</v>
      </c>
      <c r="U146" s="543"/>
      <c r="V146" s="596"/>
      <c r="W146" s="1101">
        <v>0</v>
      </c>
      <c r="X146" s="543"/>
      <c r="Y146" s="596"/>
      <c r="Z146" s="1101">
        <v>0</v>
      </c>
      <c r="AA146" s="543"/>
      <c r="AB146" s="596"/>
      <c r="AC146" s="1101">
        <v>0</v>
      </c>
      <c r="AD146" s="543"/>
      <c r="AE146" s="596"/>
      <c r="AF146" s="1101">
        <v>0</v>
      </c>
      <c r="AG146" s="543"/>
      <c r="AH146" s="596"/>
      <c r="AI146" s="1101">
        <v>0</v>
      </c>
      <c r="AJ146" s="543"/>
      <c r="AK146" s="596"/>
      <c r="AL146" s="1101">
        <v>0</v>
      </c>
      <c r="AM146" s="543"/>
      <c r="AN146" s="596"/>
      <c r="AO146" s="1101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">
      <c r="A147" s="533" t="str">
        <f t="shared" si="8"/>
        <v>Véhicules usagésPapeterie</v>
      </c>
      <c r="B147" s="743" t="s">
        <v>126</v>
      </c>
      <c r="C147" s="543"/>
      <c r="D147" s="596"/>
      <c r="E147" s="1080">
        <f t="shared" si="11"/>
        <v>1760.98</v>
      </c>
      <c r="F147" s="543"/>
      <c r="G147" s="596"/>
      <c r="H147" s="1101">
        <v>299.52</v>
      </c>
      <c r="I147" s="543"/>
      <c r="J147" s="596"/>
      <c r="K147" s="1101">
        <v>114.72</v>
      </c>
      <c r="L147" s="543"/>
      <c r="M147" s="596"/>
      <c r="N147" s="1101">
        <v>106.25</v>
      </c>
      <c r="O147" s="543"/>
      <c r="P147" s="596"/>
      <c r="Q147" s="1101">
        <v>159.87</v>
      </c>
      <c r="R147" s="543"/>
      <c r="S147" s="596"/>
      <c r="T147" s="1101">
        <v>81.81</v>
      </c>
      <c r="U147" s="543"/>
      <c r="V147" s="596"/>
      <c r="W147" s="1101">
        <v>163.36000000000001</v>
      </c>
      <c r="X147" s="543"/>
      <c r="Y147" s="596"/>
      <c r="Z147" s="1101">
        <v>74.87</v>
      </c>
      <c r="AA147" s="543"/>
      <c r="AB147" s="596"/>
      <c r="AC147" s="1101">
        <v>233.93</v>
      </c>
      <c r="AD147" s="543"/>
      <c r="AE147" s="596"/>
      <c r="AF147" s="1101">
        <v>231.32</v>
      </c>
      <c r="AG147" s="543"/>
      <c r="AH147" s="596"/>
      <c r="AI147" s="1101">
        <v>121.71</v>
      </c>
      <c r="AJ147" s="543"/>
      <c r="AK147" s="596"/>
      <c r="AL147" s="1101">
        <v>135.80000000000001</v>
      </c>
      <c r="AM147" s="543"/>
      <c r="AN147" s="596"/>
      <c r="AO147" s="1101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">
      <c r="A148" s="533" t="str">
        <f t="shared" si="8"/>
        <v>Véhicules usagésTéléphone</v>
      </c>
      <c r="B148" s="743" t="s">
        <v>127</v>
      </c>
      <c r="C148" s="543"/>
      <c r="D148" s="596"/>
      <c r="E148" s="1080">
        <f t="shared" si="11"/>
        <v>989.81</v>
      </c>
      <c r="F148" s="543"/>
      <c r="G148" s="596"/>
      <c r="H148" s="1101">
        <v>141.87</v>
      </c>
      <c r="I148" s="543"/>
      <c r="J148" s="596"/>
      <c r="K148" s="1101">
        <v>92.46</v>
      </c>
      <c r="L148" s="543"/>
      <c r="M148" s="596"/>
      <c r="N148" s="1101">
        <v>144.85</v>
      </c>
      <c r="O148" s="543"/>
      <c r="P148" s="596"/>
      <c r="Q148" s="1101">
        <v>60.38</v>
      </c>
      <c r="R148" s="543"/>
      <c r="S148" s="596"/>
      <c r="T148" s="1101">
        <v>67.569999999999993</v>
      </c>
      <c r="U148" s="543"/>
      <c r="V148" s="596"/>
      <c r="W148" s="1101">
        <v>60.38</v>
      </c>
      <c r="X148" s="543"/>
      <c r="Y148" s="596"/>
      <c r="Z148" s="1101">
        <v>60.76</v>
      </c>
      <c r="AA148" s="543"/>
      <c r="AB148" s="596"/>
      <c r="AC148" s="1101">
        <v>56.77</v>
      </c>
      <c r="AD148" s="543"/>
      <c r="AE148" s="596"/>
      <c r="AF148" s="1101">
        <v>74.739999999999995</v>
      </c>
      <c r="AG148" s="543"/>
      <c r="AH148" s="596"/>
      <c r="AI148" s="1101">
        <v>67.349999999999994</v>
      </c>
      <c r="AJ148" s="543"/>
      <c r="AK148" s="596"/>
      <c r="AL148" s="1101">
        <v>65.12</v>
      </c>
      <c r="AM148" s="543"/>
      <c r="AN148" s="596"/>
      <c r="AO148" s="1101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">
      <c r="A149" s="533" t="str">
        <f t="shared" si="8"/>
        <v>Véhicules usagésFrais postaux</v>
      </c>
      <c r="B149" s="743" t="s">
        <v>128</v>
      </c>
      <c r="C149" s="543"/>
      <c r="D149" s="596"/>
      <c r="E149" s="1080">
        <f t="shared" si="11"/>
        <v>1221.2900000000002</v>
      </c>
      <c r="F149" s="543"/>
      <c r="G149" s="596"/>
      <c r="H149" s="1101">
        <v>37.200000000000003</v>
      </c>
      <c r="I149" s="543"/>
      <c r="J149" s="596"/>
      <c r="K149" s="1101">
        <v>38.99</v>
      </c>
      <c r="L149" s="543"/>
      <c r="M149" s="596"/>
      <c r="N149" s="1101">
        <v>78.41</v>
      </c>
      <c r="O149" s="543"/>
      <c r="P149" s="596"/>
      <c r="Q149" s="1101">
        <v>49.5</v>
      </c>
      <c r="R149" s="543"/>
      <c r="S149" s="596"/>
      <c r="T149" s="1101">
        <v>81.459999999999994</v>
      </c>
      <c r="U149" s="543"/>
      <c r="V149" s="596"/>
      <c r="W149" s="1101">
        <v>221.08</v>
      </c>
      <c r="X149" s="543"/>
      <c r="Y149" s="596"/>
      <c r="Z149" s="1101">
        <v>164.05</v>
      </c>
      <c r="AA149" s="543"/>
      <c r="AB149" s="596"/>
      <c r="AC149" s="1101">
        <v>119.66</v>
      </c>
      <c r="AD149" s="543"/>
      <c r="AE149" s="596"/>
      <c r="AF149" s="1101">
        <v>148.72</v>
      </c>
      <c r="AG149" s="543"/>
      <c r="AH149" s="596"/>
      <c r="AI149" s="1101">
        <v>98.62</v>
      </c>
      <c r="AJ149" s="543"/>
      <c r="AK149" s="596"/>
      <c r="AL149" s="1101">
        <v>169.18</v>
      </c>
      <c r="AM149" s="543"/>
      <c r="AN149" s="596"/>
      <c r="AO149" s="1101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">
      <c r="A150" s="533" t="str">
        <f t="shared" si="8"/>
        <v>Véhicules usagésDivers</v>
      </c>
      <c r="B150" s="743" t="s">
        <v>129</v>
      </c>
      <c r="C150" s="543"/>
      <c r="D150" s="596"/>
      <c r="E150" s="1080">
        <f t="shared" si="11"/>
        <v>2231.7799999999997</v>
      </c>
      <c r="F150" s="543"/>
      <c r="G150" s="596"/>
      <c r="H150" s="1101">
        <v>151.6</v>
      </c>
      <c r="I150" s="543"/>
      <c r="J150" s="596"/>
      <c r="K150" s="1101">
        <v>151.6</v>
      </c>
      <c r="L150" s="543"/>
      <c r="M150" s="596"/>
      <c r="N150" s="1101">
        <v>154.55000000000001</v>
      </c>
      <c r="O150" s="543"/>
      <c r="P150" s="596"/>
      <c r="Q150" s="1101">
        <v>151.6</v>
      </c>
      <c r="R150" s="543"/>
      <c r="S150" s="596"/>
      <c r="T150" s="1101">
        <v>192.6</v>
      </c>
      <c r="U150" s="543"/>
      <c r="V150" s="596"/>
      <c r="W150" s="1101">
        <v>406.11</v>
      </c>
      <c r="X150" s="543"/>
      <c r="Y150" s="596"/>
      <c r="Z150" s="1101">
        <v>192.6</v>
      </c>
      <c r="AA150" s="543"/>
      <c r="AB150" s="596"/>
      <c r="AC150" s="1101">
        <v>337.85</v>
      </c>
      <c r="AD150" s="543"/>
      <c r="AE150" s="596"/>
      <c r="AF150" s="1101">
        <v>169.22</v>
      </c>
      <c r="AG150" s="543"/>
      <c r="AH150" s="596"/>
      <c r="AI150" s="1101">
        <v>55.3</v>
      </c>
      <c r="AJ150" s="543"/>
      <c r="AK150" s="596"/>
      <c r="AL150" s="1101">
        <v>132.75</v>
      </c>
      <c r="AM150" s="543"/>
      <c r="AN150" s="596"/>
      <c r="AO150" s="1101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">
      <c r="A151" s="533" t="str">
        <f t="shared" si="8"/>
        <v>Véhicules usagésFormation</v>
      </c>
      <c r="B151" s="743" t="s">
        <v>130</v>
      </c>
      <c r="C151" s="543"/>
      <c r="D151" s="596"/>
      <c r="E151" s="1080">
        <f t="shared" si="11"/>
        <v>734.87</v>
      </c>
      <c r="F151" s="543"/>
      <c r="G151" s="596"/>
      <c r="H151" s="1101">
        <v>31.38</v>
      </c>
      <c r="I151" s="543"/>
      <c r="J151" s="596"/>
      <c r="K151" s="1101">
        <v>130.97</v>
      </c>
      <c r="L151" s="543"/>
      <c r="M151" s="596"/>
      <c r="N151" s="1101">
        <v>116.63</v>
      </c>
      <c r="O151" s="543"/>
      <c r="P151" s="596"/>
      <c r="Q151" s="1101">
        <v>121.83</v>
      </c>
      <c r="R151" s="543"/>
      <c r="S151" s="596"/>
      <c r="T151" s="1101">
        <v>16.29</v>
      </c>
      <c r="U151" s="543"/>
      <c r="V151" s="596"/>
      <c r="W151" s="1101">
        <v>115</v>
      </c>
      <c r="X151" s="543"/>
      <c r="Y151" s="596"/>
      <c r="Z151" s="1101">
        <v>60.7</v>
      </c>
      <c r="AA151" s="543"/>
      <c r="AB151" s="596"/>
      <c r="AC151" s="1101">
        <v>87.01</v>
      </c>
      <c r="AD151" s="543"/>
      <c r="AE151" s="596"/>
      <c r="AF151" s="1101">
        <v>-33.74</v>
      </c>
      <c r="AG151" s="543"/>
      <c r="AH151" s="596"/>
      <c r="AI151" s="1101">
        <v>-356.12</v>
      </c>
      <c r="AJ151" s="543"/>
      <c r="AK151" s="596"/>
      <c r="AL151" s="1101">
        <v>239.25</v>
      </c>
      <c r="AM151" s="543"/>
      <c r="AN151" s="596"/>
      <c r="AO151" s="1101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">
      <c r="A152" s="533" t="str">
        <f t="shared" si="8"/>
        <v>Véhicules usagésFrais bancaires</v>
      </c>
      <c r="B152" s="743" t="s">
        <v>131</v>
      </c>
      <c r="C152" s="543"/>
      <c r="D152" s="596"/>
      <c r="E152" s="1080">
        <f t="shared" si="11"/>
        <v>7761.58</v>
      </c>
      <c r="F152" s="543"/>
      <c r="G152" s="596"/>
      <c r="H152" s="1101">
        <v>435.77</v>
      </c>
      <c r="I152" s="543"/>
      <c r="J152" s="596"/>
      <c r="K152" s="1101">
        <v>342.23</v>
      </c>
      <c r="L152" s="543"/>
      <c r="M152" s="596"/>
      <c r="N152" s="1101">
        <v>669.18</v>
      </c>
      <c r="O152" s="543"/>
      <c r="P152" s="596"/>
      <c r="Q152" s="1101">
        <v>994.64</v>
      </c>
      <c r="R152" s="543"/>
      <c r="S152" s="596"/>
      <c r="T152" s="1101">
        <v>975.21</v>
      </c>
      <c r="U152" s="543"/>
      <c r="V152" s="596"/>
      <c r="W152" s="1101">
        <v>585.38</v>
      </c>
      <c r="X152" s="543"/>
      <c r="Y152" s="596"/>
      <c r="Z152" s="1101">
        <v>668.91</v>
      </c>
      <c r="AA152" s="543"/>
      <c r="AB152" s="596"/>
      <c r="AC152" s="1101">
        <v>630.20000000000005</v>
      </c>
      <c r="AD152" s="543"/>
      <c r="AE152" s="596"/>
      <c r="AF152" s="1101">
        <v>338.31</v>
      </c>
      <c r="AG152" s="543"/>
      <c r="AH152" s="596"/>
      <c r="AI152" s="1101">
        <v>608.62</v>
      </c>
      <c r="AJ152" s="543"/>
      <c r="AK152" s="596"/>
      <c r="AL152" s="1101">
        <v>1001.61</v>
      </c>
      <c r="AM152" s="543"/>
      <c r="AN152" s="596"/>
      <c r="AO152" s="1101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5" hidden="1" customHeight="1">
      <c r="A153" s="533" t="str">
        <f t="shared" si="8"/>
        <v>Véhicules usagés[...]</v>
      </c>
      <c r="B153" s="743" t="s">
        <v>42</v>
      </c>
      <c r="C153" s="543"/>
      <c r="D153" s="596"/>
      <c r="E153" s="1080">
        <f t="shared" si="11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>
        <v>0</v>
      </c>
      <c r="AG153" s="543"/>
      <c r="AH153" s="596"/>
      <c r="AI153" s="1080">
        <v>0</v>
      </c>
      <c r="AJ153" s="543"/>
      <c r="AK153" s="596"/>
      <c r="AL153" s="1080">
        <v>0</v>
      </c>
      <c r="AM153" s="543"/>
      <c r="AN153" s="596"/>
      <c r="AO153" s="1080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5" hidden="1" customHeight="1">
      <c r="A154" s="533" t="str">
        <f t="shared" si="8"/>
        <v>Véhicules usagés[...]</v>
      </c>
      <c r="B154" s="743" t="s">
        <v>42</v>
      </c>
      <c r="C154" s="543"/>
      <c r="D154" s="596"/>
      <c r="E154" s="1080">
        <f t="shared" si="11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>
        <v>0</v>
      </c>
      <c r="AG154" s="543"/>
      <c r="AH154" s="596"/>
      <c r="AI154" s="1080">
        <v>0</v>
      </c>
      <c r="AJ154" s="543"/>
      <c r="AK154" s="596"/>
      <c r="AL154" s="1080">
        <v>0</v>
      </c>
      <c r="AM154" s="543"/>
      <c r="AN154" s="596"/>
      <c r="AO154" s="1080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5" hidden="1" customHeight="1">
      <c r="A155" s="533" t="str">
        <f t="shared" si="8"/>
        <v>Véhicules usagés[...]</v>
      </c>
      <c r="B155" s="743" t="s">
        <v>42</v>
      </c>
      <c r="C155" s="601"/>
      <c r="D155" s="1120"/>
      <c r="E155" s="1080">
        <f t="shared" si="11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>
        <v>0</v>
      </c>
      <c r="AG155" s="601"/>
      <c r="AH155" s="1120"/>
      <c r="AI155" s="1080">
        <v>0</v>
      </c>
      <c r="AJ155" s="601"/>
      <c r="AK155" s="1120"/>
      <c r="AL155" s="1080">
        <v>0</v>
      </c>
      <c r="AM155" s="601"/>
      <c r="AN155" s="1120"/>
      <c r="AO155" s="1080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">
      <c r="A156" s="533" t="str">
        <f t="shared" si="8"/>
        <v>Véhicules usagésTOTAL SEMI-FIXES</v>
      </c>
      <c r="B156" s="1106" t="s">
        <v>132</v>
      </c>
      <c r="C156" s="1107" t="s">
        <v>108</v>
      </c>
      <c r="D156" s="1108">
        <f>IFERROR(E156/E$111,0)</f>
        <v>7.3784934220303633E-2</v>
      </c>
      <c r="E156" s="1109">
        <f>+SUM(E139:E155)</f>
        <v>55596.610000000015</v>
      </c>
      <c r="F156" s="1110"/>
      <c r="G156" s="1111"/>
      <c r="H156" s="1112">
        <v>4882.92</v>
      </c>
      <c r="I156" s="1110"/>
      <c r="J156" s="1111"/>
      <c r="K156" s="1112">
        <v>4177.17</v>
      </c>
      <c r="L156" s="1110"/>
      <c r="M156" s="1111"/>
      <c r="N156" s="1112">
        <v>4694.3</v>
      </c>
      <c r="O156" s="1110"/>
      <c r="P156" s="1111"/>
      <c r="Q156" s="1112">
        <v>4962.83</v>
      </c>
      <c r="R156" s="1110"/>
      <c r="S156" s="1111"/>
      <c r="T156" s="1112">
        <v>5235.7299999999996</v>
      </c>
      <c r="U156" s="1110"/>
      <c r="V156" s="1111"/>
      <c r="W156" s="1112">
        <v>4594.09</v>
      </c>
      <c r="X156" s="1110"/>
      <c r="Y156" s="1111"/>
      <c r="Z156" s="1112">
        <v>4469.21</v>
      </c>
      <c r="AA156" s="1110"/>
      <c r="AB156" s="1111"/>
      <c r="AC156" s="1112">
        <v>4588.71</v>
      </c>
      <c r="AD156" s="1110" t="s">
        <v>108</v>
      </c>
      <c r="AE156" s="1111">
        <v>0.10070792853158606</v>
      </c>
      <c r="AF156" s="1112">
        <v>4284.3599999999997</v>
      </c>
      <c r="AG156" s="1110" t="s">
        <v>108</v>
      </c>
      <c r="AH156" s="1111">
        <v>5.8924301820866103E-2</v>
      </c>
      <c r="AI156" s="1112">
        <v>3613.61</v>
      </c>
      <c r="AJ156" s="1110" t="s">
        <v>108</v>
      </c>
      <c r="AK156" s="1111">
        <v>9.6848414344606282E-2</v>
      </c>
      <c r="AL156" s="1112">
        <v>5371.4299999999994</v>
      </c>
      <c r="AM156" s="1110" t="s">
        <v>108</v>
      </c>
      <c r="AN156" s="1111">
        <v>0.18429630404392278</v>
      </c>
      <c r="AO156" s="1112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">
      <c r="A157" s="533" t="str">
        <f t="shared" si="8"/>
        <v>Véhicules usagés</v>
      </c>
      <c r="B157" s="747"/>
      <c r="C157" s="601"/>
      <c r="D157" s="1120"/>
      <c r="E157" s="1103"/>
      <c r="F157" s="601" t="s">
        <v>108</v>
      </c>
      <c r="G157" s="1120">
        <v>0</v>
      </c>
      <c r="H157" s="1103"/>
      <c r="I157" s="601" t="s">
        <v>108</v>
      </c>
      <c r="J157" s="1120">
        <v>0</v>
      </c>
      <c r="K157" s="1103"/>
      <c r="L157" s="601" t="s">
        <v>108</v>
      </c>
      <c r="M157" s="1120">
        <v>0</v>
      </c>
      <c r="N157" s="1103"/>
      <c r="O157" s="601" t="s">
        <v>108</v>
      </c>
      <c r="P157" s="1120">
        <v>0</v>
      </c>
      <c r="Q157" s="1103"/>
      <c r="R157" s="601" t="s">
        <v>108</v>
      </c>
      <c r="S157" s="1120">
        <v>0</v>
      </c>
      <c r="T157" s="1103"/>
      <c r="U157" s="601" t="s">
        <v>108</v>
      </c>
      <c r="V157" s="1120">
        <v>0</v>
      </c>
      <c r="W157" s="1103"/>
      <c r="X157" s="601" t="s">
        <v>108</v>
      </c>
      <c r="Y157" s="1120">
        <v>0</v>
      </c>
      <c r="Z157" s="1103"/>
      <c r="AA157" s="601" t="s">
        <v>108</v>
      </c>
      <c r="AB157" s="1120">
        <v>0</v>
      </c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">
      <c r="A158" s="533" t="str">
        <f t="shared" si="8"/>
        <v>Véhicules usagésTOTAL DES DÉPENSES</v>
      </c>
      <c r="B158" s="1125" t="s">
        <v>133</v>
      </c>
      <c r="C158" s="1107" t="s">
        <v>108</v>
      </c>
      <c r="D158" s="1108">
        <f>IFERROR(E158/E$111,0)</f>
        <v>0.85289317352453253</v>
      </c>
      <c r="E158" s="1126">
        <f>E125+E138+E156</f>
        <v>642651.1</v>
      </c>
      <c r="F158" s="1110"/>
      <c r="G158" s="1111"/>
      <c r="H158" s="1127">
        <v>58371.799999999901</v>
      </c>
      <c r="I158" s="1110"/>
      <c r="J158" s="1111"/>
      <c r="K158" s="1127">
        <v>47611.509999999995</v>
      </c>
      <c r="L158" s="1110"/>
      <c r="M158" s="1111"/>
      <c r="N158" s="1127">
        <v>53095.37</v>
      </c>
      <c r="O158" s="1110"/>
      <c r="P158" s="1111"/>
      <c r="Q158" s="1127">
        <v>69289.94</v>
      </c>
      <c r="R158" s="1110"/>
      <c r="S158" s="1111"/>
      <c r="T158" s="1127">
        <v>66325.069999999992</v>
      </c>
      <c r="U158" s="1110"/>
      <c r="V158" s="1111"/>
      <c r="W158" s="1127">
        <v>78178.83</v>
      </c>
      <c r="X158" s="1110"/>
      <c r="Y158" s="1111"/>
      <c r="Z158" s="1127">
        <v>56493.57</v>
      </c>
      <c r="AA158" s="1110"/>
      <c r="AB158" s="1111"/>
      <c r="AC158" s="1127">
        <v>46085.469999999797</v>
      </c>
      <c r="AD158" s="1110" t="s">
        <v>108</v>
      </c>
      <c r="AE158" s="1111">
        <v>0.90013522969891535</v>
      </c>
      <c r="AF158" s="1127">
        <v>38293.94</v>
      </c>
      <c r="AG158" s="1110" t="s">
        <v>108</v>
      </c>
      <c r="AH158" s="1111">
        <v>0.79952715237554628</v>
      </c>
      <c r="AI158" s="1127">
        <v>49032.05</v>
      </c>
      <c r="AJ158" s="1110" t="s">
        <v>108</v>
      </c>
      <c r="AK158" s="1111">
        <v>0.87780929872287827</v>
      </c>
      <c r="AL158" s="1127">
        <v>48685.27</v>
      </c>
      <c r="AM158" s="1110" t="s">
        <v>108</v>
      </c>
      <c r="AN158" s="1111">
        <v>1.217191960079834</v>
      </c>
      <c r="AO158" s="1127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">
      <c r="A159" s="533" t="str">
        <f t="shared" si="8"/>
        <v>Véhicules usagésRBSC used</v>
      </c>
      <c r="B159" s="743" t="s">
        <v>394</v>
      </c>
      <c r="C159" s="1148"/>
      <c r="D159" s="1162"/>
      <c r="E159" s="1080">
        <f t="shared" ref="E159:E165" si="26">+SUM(H159,K159,N159,Q159,T159,W159,Z159,AC159,AF159,AI159,AL159,AO159)</f>
        <v>14775</v>
      </c>
      <c r="F159" s="1148"/>
      <c r="G159" s="1162"/>
      <c r="H159" s="1101">
        <v>1500</v>
      </c>
      <c r="I159" s="1148"/>
      <c r="J159" s="1162"/>
      <c r="K159" s="1101">
        <v>1000</v>
      </c>
      <c r="L159" s="1148"/>
      <c r="M159" s="1162"/>
      <c r="N159" s="1101">
        <v>0</v>
      </c>
      <c r="O159" s="1148"/>
      <c r="P159" s="1162"/>
      <c r="Q159" s="1101">
        <v>3000</v>
      </c>
      <c r="R159" s="1148"/>
      <c r="S159" s="1162"/>
      <c r="T159" s="1101">
        <v>0</v>
      </c>
      <c r="U159" s="1148"/>
      <c r="V159" s="1162"/>
      <c r="W159" s="1101">
        <v>1400</v>
      </c>
      <c r="X159" s="1148"/>
      <c r="Y159" s="1162"/>
      <c r="Z159" s="1101">
        <v>5625</v>
      </c>
      <c r="AA159" s="1148"/>
      <c r="AB159" s="1162"/>
      <c r="AC159" s="1101">
        <v>0</v>
      </c>
      <c r="AD159" s="1148"/>
      <c r="AE159" s="1162"/>
      <c r="AF159" s="1101">
        <v>0</v>
      </c>
      <c r="AG159" s="1148"/>
      <c r="AH159" s="1162"/>
      <c r="AI159" s="1101">
        <v>0</v>
      </c>
      <c r="AJ159" s="1148"/>
      <c r="AK159" s="1162"/>
      <c r="AL159" s="1101">
        <v>2250</v>
      </c>
      <c r="AM159" s="1148"/>
      <c r="AN159" s="1162"/>
      <c r="AO159" s="1101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">
      <c r="A160" s="533" t="str">
        <f t="shared" si="8"/>
        <v>Véhicules usagésProgramme 360</v>
      </c>
      <c r="B160" s="743" t="s">
        <v>395</v>
      </c>
      <c r="C160" s="1148"/>
      <c r="D160" s="1162"/>
      <c r="E160" s="1080">
        <f t="shared" si="26"/>
        <v>875</v>
      </c>
      <c r="F160" s="1148"/>
      <c r="G160" s="1162"/>
      <c r="H160" s="1101">
        <v>0</v>
      </c>
      <c r="I160" s="1148"/>
      <c r="J160" s="1162"/>
      <c r="K160" s="1101">
        <v>825</v>
      </c>
      <c r="L160" s="1148"/>
      <c r="M160" s="1162"/>
      <c r="N160" s="1101">
        <v>2000</v>
      </c>
      <c r="O160" s="1148"/>
      <c r="P160" s="1162"/>
      <c r="Q160" s="1101">
        <v>-2050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100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">
      <c r="A161" s="533" t="str">
        <f t="shared" si="8"/>
        <v>Véhicules usagésProgramme used 3</v>
      </c>
      <c r="B161" s="743" t="s">
        <v>146</v>
      </c>
      <c r="C161" s="543"/>
      <c r="D161" s="596"/>
      <c r="E161" s="1080">
        <f t="shared" si="26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>
        <v>0</v>
      </c>
      <c r="AG161" s="543"/>
      <c r="AH161" s="596"/>
      <c r="AI161" s="1101">
        <v>0</v>
      </c>
      <c r="AJ161" s="543"/>
      <c r="AK161" s="596"/>
      <c r="AL161" s="1101">
        <v>0</v>
      </c>
      <c r="AM161" s="543"/>
      <c r="AN161" s="596"/>
      <c r="AO161" s="1101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5" hidden="1" customHeight="1">
      <c r="A162" s="533" t="str">
        <f t="shared" si="8"/>
        <v>Véhicules usagés[...]</v>
      </c>
      <c r="B162" s="743" t="s">
        <v>42</v>
      </c>
      <c r="C162" s="543"/>
      <c r="D162" s="596"/>
      <c r="E162" s="1080">
        <f t="shared" si="26"/>
        <v>24990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>
        <v>5950</v>
      </c>
      <c r="AG162" s="543"/>
      <c r="AH162" s="596"/>
      <c r="AI162" s="1101">
        <v>7735</v>
      </c>
      <c r="AJ162" s="543"/>
      <c r="AK162" s="596"/>
      <c r="AL162" s="1101">
        <v>8330</v>
      </c>
      <c r="AM162" s="543"/>
      <c r="AN162" s="596"/>
      <c r="AO162" s="1101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5" hidden="1" customHeight="1">
      <c r="A163" s="533" t="str">
        <f t="shared" ref="A163:A168" si="27">+$C$91&amp;B163</f>
        <v>Véhicules usagés[...]</v>
      </c>
      <c r="B163" s="743" t="s">
        <v>42</v>
      </c>
      <c r="C163" s="543"/>
      <c r="D163" s="596"/>
      <c r="E163" s="1080">
        <f t="shared" si="26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>
        <v>0</v>
      </c>
      <c r="AG163" s="543"/>
      <c r="AH163" s="596"/>
      <c r="AI163" s="1101">
        <v>0</v>
      </c>
      <c r="AJ163" s="543"/>
      <c r="AK163" s="596"/>
      <c r="AL163" s="1101">
        <v>0</v>
      </c>
      <c r="AM163" s="543"/>
      <c r="AN163" s="596"/>
      <c r="AO163" s="1101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5" hidden="1" customHeight="1">
      <c r="A164" s="533" t="str">
        <f t="shared" si="27"/>
        <v>Véhicules usagés[...]</v>
      </c>
      <c r="B164" s="743" t="s">
        <v>42</v>
      </c>
      <c r="C164" s="543"/>
      <c r="D164" s="596"/>
      <c r="E164" s="1080">
        <f t="shared" si="26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>
        <v>0</v>
      </c>
      <c r="AG164" s="543"/>
      <c r="AH164" s="596"/>
      <c r="AI164" s="1101">
        <v>0</v>
      </c>
      <c r="AJ164" s="543"/>
      <c r="AK164" s="596"/>
      <c r="AL164" s="1101">
        <v>0</v>
      </c>
      <c r="AM164" s="543"/>
      <c r="AN164" s="596"/>
      <c r="AO164" s="1101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">
      <c r="A165" s="533" t="str">
        <f t="shared" si="27"/>
        <v>Véhicules usagésFrais administration</v>
      </c>
      <c r="B165" s="743" t="s">
        <v>137</v>
      </c>
      <c r="C165" s="601"/>
      <c r="D165" s="1120"/>
      <c r="E165" s="1103">
        <f t="shared" si="26"/>
        <v>72590</v>
      </c>
      <c r="F165" s="543"/>
      <c r="G165" s="596"/>
      <c r="H165" s="1101">
        <v>4760</v>
      </c>
      <c r="I165" s="543"/>
      <c r="J165" s="596"/>
      <c r="K165" s="1101">
        <v>5950</v>
      </c>
      <c r="L165" s="543"/>
      <c r="M165" s="596"/>
      <c r="N165" s="1101">
        <v>9520</v>
      </c>
      <c r="O165" s="543"/>
      <c r="P165" s="596"/>
      <c r="Q165" s="1101">
        <v>12495</v>
      </c>
      <c r="R165" s="543"/>
      <c r="S165" s="596"/>
      <c r="T165" s="1101">
        <v>8330</v>
      </c>
      <c r="U165" s="543"/>
      <c r="V165" s="596"/>
      <c r="W165" s="1101">
        <v>14280</v>
      </c>
      <c r="X165" s="543"/>
      <c r="Y165" s="596"/>
      <c r="Z165" s="1101">
        <v>7140</v>
      </c>
      <c r="AA165" s="543"/>
      <c r="AB165" s="596"/>
      <c r="AC165" s="1101">
        <v>10115</v>
      </c>
      <c r="AD165" s="543"/>
      <c r="AE165" s="596"/>
      <c r="AF165" s="1101">
        <v>0</v>
      </c>
      <c r="AG165" s="543"/>
      <c r="AH165" s="596"/>
      <c r="AI165" s="1101">
        <v>0</v>
      </c>
      <c r="AJ165" s="543"/>
      <c r="AK165" s="596"/>
      <c r="AL165" s="1101">
        <v>0</v>
      </c>
      <c r="AM165" s="543"/>
      <c r="AN165" s="596"/>
      <c r="AO165" s="1101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">
      <c r="A166" s="533" t="str">
        <f t="shared" si="27"/>
        <v>Véhicules usagésAUTRES REVENUS</v>
      </c>
      <c r="B166" s="1125" t="s">
        <v>138</v>
      </c>
      <c r="C166" s="1163"/>
      <c r="D166" s="1164"/>
      <c r="E166" s="1126">
        <f>+SUM(E159:E165)</f>
        <v>113230</v>
      </c>
      <c r="F166" s="1165"/>
      <c r="G166" s="1166"/>
      <c r="H166" s="1127">
        <v>6260</v>
      </c>
      <c r="I166" s="1165"/>
      <c r="J166" s="1166"/>
      <c r="K166" s="1127">
        <v>7775</v>
      </c>
      <c r="L166" s="1165"/>
      <c r="M166" s="1166"/>
      <c r="N166" s="1127">
        <v>11520</v>
      </c>
      <c r="O166" s="1165"/>
      <c r="P166" s="1166"/>
      <c r="Q166" s="1127">
        <v>13445</v>
      </c>
      <c r="R166" s="1165"/>
      <c r="S166" s="1166"/>
      <c r="T166" s="1127">
        <v>8330</v>
      </c>
      <c r="U166" s="1165"/>
      <c r="V166" s="1166"/>
      <c r="W166" s="1127">
        <v>15680</v>
      </c>
      <c r="X166" s="1165"/>
      <c r="Y166" s="1166"/>
      <c r="Z166" s="1127">
        <v>12765</v>
      </c>
      <c r="AA166" s="1165"/>
      <c r="AB166" s="1166"/>
      <c r="AC166" s="1127">
        <v>10115</v>
      </c>
      <c r="AD166" s="1165"/>
      <c r="AE166" s="1166"/>
      <c r="AF166" s="1127">
        <v>6050</v>
      </c>
      <c r="AG166" s="1165"/>
      <c r="AH166" s="1166"/>
      <c r="AI166" s="1127">
        <v>7735</v>
      </c>
      <c r="AJ166" s="1165"/>
      <c r="AK166" s="1166"/>
      <c r="AL166" s="1127">
        <v>10580</v>
      </c>
      <c r="AM166" s="1165"/>
      <c r="AN166" s="1166"/>
      <c r="AO166" s="1127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">
      <c r="A167" s="533" t="str">
        <f t="shared" si="27"/>
        <v>Véhicules usagés</v>
      </c>
      <c r="B167" s="7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7"/>
        <v>Véhicules usagésPROFIT DÉPARTEMENTAL</v>
      </c>
      <c r="B168" s="1138" t="s">
        <v>139</v>
      </c>
      <c r="C168" s="1167"/>
      <c r="D168" s="1168"/>
      <c r="E168" s="1141">
        <f>E111-E158+E166</f>
        <v>224074.31999999937</v>
      </c>
      <c r="F168" s="1169"/>
      <c r="G168" s="1170"/>
      <c r="H168" s="1144">
        <v>-10735.139999999963</v>
      </c>
      <c r="I168" s="1169"/>
      <c r="J168" s="1170"/>
      <c r="K168" s="1144">
        <v>9662.5399999998481</v>
      </c>
      <c r="L168" s="1169"/>
      <c r="M168" s="1170"/>
      <c r="N168" s="1144">
        <v>15001.800000000003</v>
      </c>
      <c r="O168" s="1169"/>
      <c r="P168" s="1170"/>
      <c r="Q168" s="1144">
        <v>52626.579999999798</v>
      </c>
      <c r="R168" s="1169"/>
      <c r="S168" s="1170"/>
      <c r="T168" s="1144">
        <v>32414.139999999912</v>
      </c>
      <c r="U168" s="1169"/>
      <c r="V168" s="1170"/>
      <c r="W168" s="1144">
        <v>26300.759999999995</v>
      </c>
      <c r="X168" s="1169"/>
      <c r="Y168" s="1170"/>
      <c r="Z168" s="1144">
        <v>10932.4099999998</v>
      </c>
      <c r="AA168" s="1169"/>
      <c r="AB168" s="1170"/>
      <c r="AC168" s="1144">
        <v>14767.030000000181</v>
      </c>
      <c r="AD168" s="1169"/>
      <c r="AE168" s="1170"/>
      <c r="AF168" s="1144">
        <v>10298.489999999969</v>
      </c>
      <c r="AG168" s="1169"/>
      <c r="AH168" s="1170"/>
      <c r="AI168" s="1144">
        <v>20029.260000000017</v>
      </c>
      <c r="AJ168" s="1169"/>
      <c r="AK168" s="1170"/>
      <c r="AL168" s="1144">
        <v>17356.970000000038</v>
      </c>
      <c r="AM168" s="1169"/>
      <c r="AN168" s="1170"/>
      <c r="AO168" s="1144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">
      <c r="A169" s="533"/>
      <c r="B169" s="750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">
      <c r="A170" s="533"/>
      <c r="B170" s="750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">
      <c r="A171" s="533"/>
      <c r="B171" s="1146" t="str">
        <f>$B$4</f>
        <v>Réel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7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48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">
      <c r="A174" s="533" t="str">
        <f>+$C$171&amp;B174</f>
        <v>Service</v>
      </c>
      <c r="B174" s="7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">
      <c r="A175" s="533" t="str">
        <f t="shared" ref="A175:A236" si="28">+$C$171&amp;B175</f>
        <v>ServiceM/O Client</v>
      </c>
      <c r="B175" s="743" t="s">
        <v>151</v>
      </c>
      <c r="C175" s="1172">
        <f>+SUM(F175,I175,L175,O175,R175,U175,X175,AA175,AD175,AG175,AJ175,AM175)</f>
        <v>2433</v>
      </c>
      <c r="D175" s="1099">
        <f>+SUM(G175,J175,M175,P175,S175,V175,Y175,AB175,AE175,AH175,AK175,AN175)</f>
        <v>804321.94</v>
      </c>
      <c r="E175" s="1080">
        <f>+SUM(H175,K175,N175,Q175,T175,W175,Z175,AC175,AF175,AI175,AL175,AO175)</f>
        <v>635273.32999999984</v>
      </c>
      <c r="F175" s="1173">
        <v>107</v>
      </c>
      <c r="G175" s="1174">
        <v>41904.410000000003</v>
      </c>
      <c r="H175" s="1101">
        <v>33698.44</v>
      </c>
      <c r="I175" s="1173">
        <v>91</v>
      </c>
      <c r="J175" s="1174">
        <v>37107.5</v>
      </c>
      <c r="K175" s="1101">
        <v>29517.7399999999</v>
      </c>
      <c r="L175" s="1173">
        <v>141</v>
      </c>
      <c r="M175" s="1174">
        <v>53888.86</v>
      </c>
      <c r="N175" s="1101">
        <v>42029.66</v>
      </c>
      <c r="O175" s="1173">
        <v>399</v>
      </c>
      <c r="P175" s="1174">
        <v>116282.79</v>
      </c>
      <c r="Q175" s="1101">
        <v>92508.09</v>
      </c>
      <c r="R175" s="1173">
        <v>247</v>
      </c>
      <c r="S175" s="1174">
        <v>83486.519999999902</v>
      </c>
      <c r="T175" s="1101">
        <v>66185.599999999904</v>
      </c>
      <c r="U175" s="1173">
        <v>158</v>
      </c>
      <c r="V175" s="1174">
        <v>59393.53</v>
      </c>
      <c r="W175" s="1101">
        <v>48037.3</v>
      </c>
      <c r="X175" s="1173">
        <v>191</v>
      </c>
      <c r="Y175" s="1174">
        <v>71461.8</v>
      </c>
      <c r="Z175" s="1101">
        <v>56493.51</v>
      </c>
      <c r="AA175" s="1173">
        <v>172</v>
      </c>
      <c r="AB175" s="1174">
        <v>56536.49</v>
      </c>
      <c r="AC175" s="1101">
        <v>43980.97</v>
      </c>
      <c r="AD175" s="1173">
        <v>106</v>
      </c>
      <c r="AE175" s="1174">
        <v>39247.96</v>
      </c>
      <c r="AF175" s="1101">
        <v>31146.079999999994</v>
      </c>
      <c r="AG175" s="1173">
        <v>296</v>
      </c>
      <c r="AH175" s="1174">
        <v>91456.92</v>
      </c>
      <c r="AI175" s="1101">
        <v>71739.75</v>
      </c>
      <c r="AJ175" s="1173">
        <v>403</v>
      </c>
      <c r="AK175" s="1174">
        <v>109912.62</v>
      </c>
      <c r="AL175" s="1101">
        <v>86139.42</v>
      </c>
      <c r="AM175" s="1173">
        <v>122</v>
      </c>
      <c r="AN175" s="1174">
        <v>43642.539999999994</v>
      </c>
      <c r="AO175" s="1101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">
      <c r="A176" s="533" t="str">
        <f t="shared" si="28"/>
        <v>Service% profit / ventes</v>
      </c>
      <c r="B176" s="743" t="s">
        <v>152</v>
      </c>
      <c r="C176" s="1172"/>
      <c r="D176" s="596"/>
      <c r="E176" s="1175">
        <f>IF(E175=0,0,E175/D175)</f>
        <v>0.78982469382844378</v>
      </c>
      <c r="F176" s="1172"/>
      <c r="G176" s="596"/>
      <c r="H176" s="1175">
        <v>0.80417407141634978</v>
      </c>
      <c r="I176" s="1172"/>
      <c r="J176" s="596"/>
      <c r="K176" s="1175">
        <v>0.79546560668328237</v>
      </c>
      <c r="L176" s="1172"/>
      <c r="M176" s="596"/>
      <c r="N176" s="1175">
        <v>0.7799322531595585</v>
      </c>
      <c r="O176" s="1172"/>
      <c r="P176" s="596"/>
      <c r="Q176" s="1175">
        <v>0.7955441213613812</v>
      </c>
      <c r="R176" s="1172"/>
      <c r="S176" s="596"/>
      <c r="T176" s="1175">
        <v>0.79276989866148428</v>
      </c>
      <c r="U176" s="1172"/>
      <c r="V176" s="596"/>
      <c r="W176" s="1175">
        <v>0.80879685043135174</v>
      </c>
      <c r="X176" s="1172"/>
      <c r="Y176" s="596"/>
      <c r="Z176" s="1175">
        <v>0.79054138014995423</v>
      </c>
      <c r="AA176" s="1172"/>
      <c r="AB176" s="596"/>
      <c r="AC176" s="1175">
        <v>0.77792183419947014</v>
      </c>
      <c r="AD176" s="1172"/>
      <c r="AE176" s="596"/>
      <c r="AF176" s="1175">
        <v>0.79357194615974935</v>
      </c>
      <c r="AG176" s="1172"/>
      <c r="AH176" s="596"/>
      <c r="AI176" s="1175">
        <v>0.78441029940654028</v>
      </c>
      <c r="AJ176" s="1172"/>
      <c r="AK176" s="596"/>
      <c r="AL176" s="1175">
        <v>0.78370818564783551</v>
      </c>
      <c r="AM176" s="1172"/>
      <c r="AN176" s="596"/>
      <c r="AO176" s="1175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">
      <c r="A177" s="533" t="str">
        <f t="shared" si="28"/>
        <v>Service</v>
      </c>
      <c r="B177" s="747"/>
      <c r="C177" s="1176"/>
      <c r="D177" s="1177">
        <f>IFERROR(D175/C175,0)</f>
        <v>330.58854911631727</v>
      </c>
      <c r="E177" s="1178"/>
      <c r="F177" s="1176"/>
      <c r="G177" s="1177">
        <v>391.63000000000005</v>
      </c>
      <c r="H177" s="1178"/>
      <c r="I177" s="1176"/>
      <c r="J177" s="1177">
        <v>407.77472527472526</v>
      </c>
      <c r="K177" s="1178"/>
      <c r="L177" s="1176"/>
      <c r="M177" s="1177">
        <v>382.19049645390072</v>
      </c>
      <c r="N177" s="1178"/>
      <c r="O177" s="1176"/>
      <c r="P177" s="1177">
        <v>291.43556390977443</v>
      </c>
      <c r="Q177" s="1178"/>
      <c r="R177" s="1176"/>
      <c r="S177" s="1177">
        <v>338.00210526315749</v>
      </c>
      <c r="T177" s="1178"/>
      <c r="U177" s="1176"/>
      <c r="V177" s="1177">
        <v>375.90841772151896</v>
      </c>
      <c r="W177" s="1178"/>
      <c r="X177" s="1176"/>
      <c r="Y177" s="1177">
        <v>374.14554973821993</v>
      </c>
      <c r="Z177" s="1178"/>
      <c r="AA177" s="1176"/>
      <c r="AB177" s="1177">
        <v>328.70052325581395</v>
      </c>
      <c r="AC177" s="1178"/>
      <c r="AD177" s="1176"/>
      <c r="AE177" s="1177">
        <v>370.26377358490566</v>
      </c>
      <c r="AF177" s="1178"/>
      <c r="AG177" s="1176"/>
      <c r="AH177" s="1177">
        <v>308.97608108108108</v>
      </c>
      <c r="AI177" s="1178"/>
      <c r="AJ177" s="1176"/>
      <c r="AK177" s="1177">
        <v>272.73602977667491</v>
      </c>
      <c r="AL177" s="1178"/>
      <c r="AM177" s="1176"/>
      <c r="AN177" s="1177">
        <v>357.725737704918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">
      <c r="A178" s="533" t="str">
        <f t="shared" si="28"/>
        <v>ServiceM/O Garantie</v>
      </c>
      <c r="B178" s="1052" t="s">
        <v>153</v>
      </c>
      <c r="C178" s="1179">
        <f>+SUM(F178,I178,L178,O178,R178,U178,X178,AA178,AD178,AG178,AJ178,AM178)</f>
        <v>2291</v>
      </c>
      <c r="D178" s="1180">
        <f>+SUM(G178,J178,M178,P178,S178,V178,Y178,AB178,AE178,AH178,AK178,AN178)</f>
        <v>432942.08999999985</v>
      </c>
      <c r="E178" s="1117">
        <f>+SUM(H178,K178,N178,Q178,T178,W178,Z178,AC178,AF178,AI178,AL178,AO178)</f>
        <v>287685.04999999964</v>
      </c>
      <c r="F178" s="1181">
        <v>89</v>
      </c>
      <c r="G178" s="1182">
        <v>25047.72</v>
      </c>
      <c r="H178" s="1118">
        <v>15368.03</v>
      </c>
      <c r="I178" s="1181">
        <v>135</v>
      </c>
      <c r="J178" s="1182">
        <v>33479.46</v>
      </c>
      <c r="K178" s="1118">
        <v>22326.12</v>
      </c>
      <c r="L178" s="1181">
        <v>193</v>
      </c>
      <c r="M178" s="1182">
        <v>37166.080000000002</v>
      </c>
      <c r="N178" s="1118">
        <v>23908.999999999902</v>
      </c>
      <c r="O178" s="1181">
        <v>134</v>
      </c>
      <c r="P178" s="1182">
        <v>22562.369999999901</v>
      </c>
      <c r="Q178" s="1118">
        <v>15261.7699999999</v>
      </c>
      <c r="R178" s="1181">
        <v>220</v>
      </c>
      <c r="S178" s="1182">
        <v>39106.79</v>
      </c>
      <c r="T178" s="1118">
        <v>25490.15</v>
      </c>
      <c r="U178" s="1181">
        <v>251</v>
      </c>
      <c r="V178" s="1182">
        <v>50362.03</v>
      </c>
      <c r="W178" s="1118">
        <v>35338.44</v>
      </c>
      <c r="X178" s="1181">
        <v>212</v>
      </c>
      <c r="Y178" s="1182">
        <v>45755.069999999898</v>
      </c>
      <c r="Z178" s="1118">
        <v>31394.639999999901</v>
      </c>
      <c r="AA178" s="1181">
        <v>306</v>
      </c>
      <c r="AB178" s="1182">
        <v>56695.519999999997</v>
      </c>
      <c r="AC178" s="1118">
        <v>38384.749999999898</v>
      </c>
      <c r="AD178" s="1181">
        <v>194</v>
      </c>
      <c r="AE178" s="1182">
        <v>42719.65</v>
      </c>
      <c r="AF178" s="1118">
        <v>27709.489999999998</v>
      </c>
      <c r="AG178" s="1181">
        <v>180</v>
      </c>
      <c r="AH178" s="1182">
        <v>27444.34</v>
      </c>
      <c r="AI178" s="1118">
        <v>18003.13</v>
      </c>
      <c r="AJ178" s="1181">
        <v>198</v>
      </c>
      <c r="AK178" s="1182">
        <v>28635.54</v>
      </c>
      <c r="AL178" s="1118">
        <v>18463.02</v>
      </c>
      <c r="AM178" s="1181">
        <v>179</v>
      </c>
      <c r="AN178" s="1182">
        <v>23967.52</v>
      </c>
      <c r="AO178" s="1118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">
      <c r="A179" s="533" t="str">
        <f t="shared" si="28"/>
        <v>Service% profit / ventes</v>
      </c>
      <c r="B179" s="743" t="s">
        <v>152</v>
      </c>
      <c r="C179" s="543"/>
      <c r="D179" s="596"/>
      <c r="E179" s="1175">
        <f>IF(E178=0,0,E178/D178)</f>
        <v>0.66448852316484119</v>
      </c>
      <c r="F179" s="543"/>
      <c r="G179" s="596"/>
      <c r="H179" s="1175">
        <v>0.61355005565376808</v>
      </c>
      <c r="I179" s="543"/>
      <c r="J179" s="596"/>
      <c r="K179" s="1175">
        <v>0.66686021817556196</v>
      </c>
      <c r="L179" s="543"/>
      <c r="M179" s="596"/>
      <c r="N179" s="1175">
        <v>0.64330163417825881</v>
      </c>
      <c r="O179" s="543"/>
      <c r="P179" s="596"/>
      <c r="Q179" s="1175">
        <v>0.67642583647019205</v>
      </c>
      <c r="R179" s="543"/>
      <c r="S179" s="596"/>
      <c r="T179" s="1175">
        <v>0.65180880353514059</v>
      </c>
      <c r="U179" s="543"/>
      <c r="V179" s="596"/>
      <c r="W179" s="1175">
        <v>0.70168815673236373</v>
      </c>
      <c r="X179" s="543"/>
      <c r="Y179" s="596"/>
      <c r="Z179" s="1175">
        <v>0.68614560091373422</v>
      </c>
      <c r="AA179" s="543"/>
      <c r="AB179" s="596"/>
      <c r="AC179" s="1175">
        <v>0.67703321179521592</v>
      </c>
      <c r="AD179" s="543"/>
      <c r="AE179" s="596"/>
      <c r="AF179" s="1175">
        <v>0.64863569809209576</v>
      </c>
      <c r="AG179" s="543"/>
      <c r="AH179" s="596"/>
      <c r="AI179" s="1175">
        <v>0.65598699039583397</v>
      </c>
      <c r="AJ179" s="543"/>
      <c r="AK179" s="596"/>
      <c r="AL179" s="1175">
        <v>0.64475892544718905</v>
      </c>
      <c r="AM179" s="543"/>
      <c r="AN179" s="596"/>
      <c r="AO179" s="1175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">
      <c r="A180" s="533" t="str">
        <f t="shared" si="28"/>
        <v>Service</v>
      </c>
      <c r="B180" s="747"/>
      <c r="C180" s="601"/>
      <c r="D180" s="1177">
        <f>IFERROR(D178/C178,0)</f>
        <v>188.97515931907458</v>
      </c>
      <c r="E180" s="1178"/>
      <c r="F180" s="601"/>
      <c r="G180" s="1177">
        <v>281.4350561797753</v>
      </c>
      <c r="H180" s="1178"/>
      <c r="I180" s="601"/>
      <c r="J180" s="1177">
        <v>247.99599999999998</v>
      </c>
      <c r="K180" s="1178"/>
      <c r="L180" s="601"/>
      <c r="M180" s="1177">
        <v>192.57036269430051</v>
      </c>
      <c r="N180" s="1178"/>
      <c r="O180" s="601"/>
      <c r="P180" s="1177">
        <v>168.37589552238731</v>
      </c>
      <c r="Q180" s="1178"/>
      <c r="R180" s="601"/>
      <c r="S180" s="1177">
        <v>177.75813636363637</v>
      </c>
      <c r="T180" s="1178"/>
      <c r="U180" s="601"/>
      <c r="V180" s="1177">
        <v>200.64553784860558</v>
      </c>
      <c r="W180" s="1178"/>
      <c r="X180" s="601"/>
      <c r="Y180" s="1177">
        <v>215.82580188679196</v>
      </c>
      <c r="Z180" s="1178"/>
      <c r="AA180" s="601"/>
      <c r="AB180" s="1177">
        <v>185.27947712418299</v>
      </c>
      <c r="AC180" s="1178"/>
      <c r="AD180" s="601"/>
      <c r="AE180" s="1177"/>
      <c r="AF180" s="1178"/>
      <c r="AG180" s="601"/>
      <c r="AH180" s="1177"/>
      <c r="AI180" s="1178"/>
      <c r="AJ180" s="601"/>
      <c r="AK180" s="1177"/>
      <c r="AL180" s="1178"/>
      <c r="AM180" s="601"/>
      <c r="AN180" s="1177"/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">
      <c r="A181" s="533" t="str">
        <f t="shared" si="28"/>
        <v>ServiceM/O Interne</v>
      </c>
      <c r="B181" s="743" t="s">
        <v>154</v>
      </c>
      <c r="C181" s="1172">
        <f>+SUM(F181,I181,L181,O181,R181,U181,X181,AA181,AD181,AG181,AJ181,AM181)</f>
        <v>1576</v>
      </c>
      <c r="D181" s="1099">
        <f>+SUM(G181,J181,M181,P181,S181,V181,Y181,AB181,AE181,AH181,AK181,AN181)</f>
        <v>624331.51999999967</v>
      </c>
      <c r="E181" s="1080">
        <f>+SUM(H181,K181,N181,Q181,T181,W181,Z181,AC181,AF181,AI181,AL181,AO181)</f>
        <v>470396.9099999998</v>
      </c>
      <c r="F181" s="1173">
        <v>79</v>
      </c>
      <c r="G181" s="1174">
        <v>24866.41</v>
      </c>
      <c r="H181" s="1101">
        <v>15467.9199999999</v>
      </c>
      <c r="I181" s="1173">
        <v>92</v>
      </c>
      <c r="J181" s="1174">
        <v>37720.46</v>
      </c>
      <c r="K181" s="1101">
        <v>26315.41</v>
      </c>
      <c r="L181" s="1173">
        <v>133</v>
      </c>
      <c r="M181" s="1174">
        <v>57900.02</v>
      </c>
      <c r="N181" s="1101">
        <v>44436.44</v>
      </c>
      <c r="O181" s="1173">
        <v>115</v>
      </c>
      <c r="P181" s="1174">
        <v>42655.229999999901</v>
      </c>
      <c r="Q181" s="1101">
        <v>32705.46</v>
      </c>
      <c r="R181" s="1173">
        <v>172</v>
      </c>
      <c r="S181" s="1174">
        <v>85427.169999999896</v>
      </c>
      <c r="T181" s="1101">
        <v>66309.999999999898</v>
      </c>
      <c r="U181" s="1173">
        <v>173</v>
      </c>
      <c r="V181" s="1174">
        <v>76166.460000000006</v>
      </c>
      <c r="W181" s="1101">
        <v>61651.01</v>
      </c>
      <c r="X181" s="1173">
        <v>147</v>
      </c>
      <c r="Y181" s="1174">
        <v>61596.59</v>
      </c>
      <c r="Z181" s="1101">
        <v>46782.64</v>
      </c>
      <c r="AA181" s="1173">
        <v>142</v>
      </c>
      <c r="AB181" s="1174">
        <v>42296.289999999899</v>
      </c>
      <c r="AC181" s="1101">
        <v>31688.709999999901</v>
      </c>
      <c r="AD181" s="1173">
        <v>153</v>
      </c>
      <c r="AE181" s="1174">
        <v>57371.26</v>
      </c>
      <c r="AF181" s="1101">
        <v>40919.449999999997</v>
      </c>
      <c r="AG181" s="1173">
        <v>136</v>
      </c>
      <c r="AH181" s="1174">
        <v>51267.160000000011</v>
      </c>
      <c r="AI181" s="1101">
        <v>39875.350000000013</v>
      </c>
      <c r="AJ181" s="1173">
        <v>152</v>
      </c>
      <c r="AK181" s="1174">
        <v>59224.63</v>
      </c>
      <c r="AL181" s="1101">
        <v>44867.889999999992</v>
      </c>
      <c r="AM181" s="1173">
        <v>82</v>
      </c>
      <c r="AN181" s="1174">
        <v>27839.84</v>
      </c>
      <c r="AO181" s="1101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">
      <c r="A182" s="533" t="str">
        <f t="shared" si="28"/>
        <v>Service% profit / ventes</v>
      </c>
      <c r="B182" s="743" t="s">
        <v>152</v>
      </c>
      <c r="C182" s="1172"/>
      <c r="D182" s="1183"/>
      <c r="E182" s="1175">
        <f>IF(E181=0,0,E181/D181)</f>
        <v>0.75344091228967591</v>
      </c>
      <c r="F182" s="1172"/>
      <c r="G182" s="1183"/>
      <c r="H182" s="1175">
        <v>0.62204073688159656</v>
      </c>
      <c r="I182" s="1172"/>
      <c r="J182" s="1183"/>
      <c r="K182" s="1175">
        <v>0.69764287073911613</v>
      </c>
      <c r="L182" s="1172"/>
      <c r="M182" s="1183"/>
      <c r="N182" s="1175">
        <v>0.76746847410415409</v>
      </c>
      <c r="O182" s="1172"/>
      <c r="P182" s="1183"/>
      <c r="Q182" s="1175">
        <v>0.76673974094149944</v>
      </c>
      <c r="R182" s="1172"/>
      <c r="S182" s="1183"/>
      <c r="T182" s="1175">
        <v>0.77621674696703613</v>
      </c>
      <c r="U182" s="1172"/>
      <c r="V182" s="1183"/>
      <c r="W182" s="1175">
        <v>0.8094246470165477</v>
      </c>
      <c r="X182" s="1172"/>
      <c r="Y182" s="1183"/>
      <c r="Z182" s="1175">
        <v>0.75950048533530834</v>
      </c>
      <c r="AA182" s="1172"/>
      <c r="AB182" s="1183"/>
      <c r="AC182" s="1175">
        <v>0.74920779103793678</v>
      </c>
      <c r="AD182" s="1172"/>
      <c r="AE182" s="1183"/>
      <c r="AF182" s="1175">
        <v>0.71323952097269605</v>
      </c>
      <c r="AG182" s="1172"/>
      <c r="AH182" s="1183"/>
      <c r="AI182" s="1175">
        <v>0.77779518116470669</v>
      </c>
      <c r="AJ182" s="1172"/>
      <c r="AK182" s="1183"/>
      <c r="AL182" s="1175">
        <v>0.7575883547098563</v>
      </c>
      <c r="AM182" s="1172"/>
      <c r="AN182" s="1183"/>
      <c r="AO182" s="1175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">
      <c r="A183" s="533" t="str">
        <f t="shared" si="28"/>
        <v>Service</v>
      </c>
      <c r="B183" s="743"/>
      <c r="C183" s="1172"/>
      <c r="D183" s="1184">
        <f>IFERROR(D181/C181,0)</f>
        <v>396.14944162436529</v>
      </c>
      <c r="E183" s="1175"/>
      <c r="F183" s="1172"/>
      <c r="G183" s="1184">
        <v>314.76468354430381</v>
      </c>
      <c r="H183" s="1175"/>
      <c r="I183" s="1172"/>
      <c r="J183" s="1184">
        <v>410.005</v>
      </c>
      <c r="K183" s="1175"/>
      <c r="L183" s="1172"/>
      <c r="M183" s="1184">
        <v>435.3384962406015</v>
      </c>
      <c r="N183" s="1175"/>
      <c r="O183" s="1172"/>
      <c r="P183" s="1184">
        <v>370.91504347826003</v>
      </c>
      <c r="Q183" s="1175"/>
      <c r="R183" s="1172"/>
      <c r="S183" s="1184">
        <v>496.66959302325523</v>
      </c>
      <c r="T183" s="1175"/>
      <c r="U183" s="1172"/>
      <c r="V183" s="1184">
        <v>440.26855491329485</v>
      </c>
      <c r="W183" s="1175"/>
      <c r="X183" s="1172"/>
      <c r="Y183" s="1184">
        <v>419.02442176870744</v>
      </c>
      <c r="Z183" s="1175"/>
      <c r="AA183" s="1172"/>
      <c r="AB183" s="1184">
        <v>297.86119718309789</v>
      </c>
      <c r="AC183" s="1175"/>
      <c r="AD183" s="1172"/>
      <c r="AE183" s="1184"/>
      <c r="AF183" s="1175"/>
      <c r="AG183" s="1172"/>
      <c r="AH183" s="1184"/>
      <c r="AI183" s="1175"/>
      <c r="AJ183" s="1172"/>
      <c r="AK183" s="1184"/>
      <c r="AL183" s="1175"/>
      <c r="AM183" s="1172"/>
      <c r="AN183" s="1184"/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">
      <c r="A184" s="533" t="str">
        <f t="shared" si="28"/>
        <v>ServiceM/O Esthétique</v>
      </c>
      <c r="B184" s="1052" t="s">
        <v>155</v>
      </c>
      <c r="C184" s="1179">
        <f>+SUM(F184,I184,L184,O184,R184,U184,X184,AA184,AD184,AG184,AJ184,AM184)</f>
        <v>528</v>
      </c>
      <c r="D184" s="1180">
        <f>+SUM(G184,J184,M184,P184,S184,V184,Y184,AB184,AE184,AH184,AK184,AN184)</f>
        <v>112227.75999999991</v>
      </c>
      <c r="E184" s="1117">
        <f>+SUM(H184,K184,N184,Q184,T184,W184,Z184,AC184,AF184,AI184,AL184,AO184)</f>
        <v>80379.069999999978</v>
      </c>
      <c r="F184" s="1181">
        <v>13</v>
      </c>
      <c r="G184" s="1182">
        <v>2399.4499999999998</v>
      </c>
      <c r="H184" s="1118">
        <v>956.44999999999902</v>
      </c>
      <c r="I184" s="1181">
        <v>18</v>
      </c>
      <c r="J184" s="1182">
        <v>3815.06</v>
      </c>
      <c r="K184" s="1118">
        <v>2392.87</v>
      </c>
      <c r="L184" s="1181">
        <v>35</v>
      </c>
      <c r="M184" s="1182">
        <v>7939.48</v>
      </c>
      <c r="N184" s="1118">
        <v>4265.4199999999901</v>
      </c>
      <c r="O184" s="1181">
        <v>101</v>
      </c>
      <c r="P184" s="1182">
        <v>20603.629999999899</v>
      </c>
      <c r="Q184" s="1118">
        <v>14990.73</v>
      </c>
      <c r="R184" s="1181">
        <v>60</v>
      </c>
      <c r="S184" s="1182">
        <v>13150.83</v>
      </c>
      <c r="T184" s="1118">
        <v>9055.48</v>
      </c>
      <c r="U184" s="1181">
        <v>37</v>
      </c>
      <c r="V184" s="1182">
        <v>7395.25</v>
      </c>
      <c r="W184" s="1118">
        <v>5104.9699999999903</v>
      </c>
      <c r="X184" s="1181">
        <v>35</v>
      </c>
      <c r="Y184" s="1182">
        <v>6415.65</v>
      </c>
      <c r="Z184" s="1118">
        <v>5118.3599999999997</v>
      </c>
      <c r="AA184" s="1181">
        <v>48</v>
      </c>
      <c r="AB184" s="1182">
        <v>8091.08</v>
      </c>
      <c r="AC184" s="1118">
        <v>6505.32</v>
      </c>
      <c r="AD184" s="1181">
        <v>27</v>
      </c>
      <c r="AE184" s="1182">
        <v>5318.66</v>
      </c>
      <c r="AF184" s="1118">
        <v>3709.99</v>
      </c>
      <c r="AG184" s="1181">
        <v>68</v>
      </c>
      <c r="AH184" s="1182">
        <v>15993.25</v>
      </c>
      <c r="AI184" s="1118">
        <v>12514.12</v>
      </c>
      <c r="AJ184" s="1181">
        <v>77</v>
      </c>
      <c r="AK184" s="1182">
        <v>19154.560000000001</v>
      </c>
      <c r="AL184" s="1118">
        <v>14421.500000000002</v>
      </c>
      <c r="AM184" s="1181">
        <v>9</v>
      </c>
      <c r="AN184" s="1182">
        <v>1950.8600000000001</v>
      </c>
      <c r="AO184" s="1118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">
      <c r="A185" s="533" t="str">
        <f t="shared" si="28"/>
        <v>Service% profit / ventes</v>
      </c>
      <c r="B185" s="743" t="s">
        <v>152</v>
      </c>
      <c r="C185" s="1185"/>
      <c r="D185" s="1186">
        <f>IF(C185&lt;=0,0,E185/C185)</f>
        <v>0</v>
      </c>
      <c r="E185" s="1175">
        <f>IF(E184=0,0,E184/D184)</f>
        <v>0.71621379594496093</v>
      </c>
      <c r="F185" s="1185"/>
      <c r="G185" s="1186">
        <v>0</v>
      </c>
      <c r="H185" s="1175">
        <v>0.39861218195836506</v>
      </c>
      <c r="I185" s="1185"/>
      <c r="J185" s="1186">
        <v>0</v>
      </c>
      <c r="K185" s="1175">
        <v>0.6272168720806488</v>
      </c>
      <c r="L185" s="1185"/>
      <c r="M185" s="1186">
        <v>0</v>
      </c>
      <c r="N185" s="1175">
        <v>0.53724173371555695</v>
      </c>
      <c r="O185" s="1185"/>
      <c r="P185" s="1186">
        <v>0</v>
      </c>
      <c r="Q185" s="1175">
        <v>0.7275771308259793</v>
      </c>
      <c r="R185" s="1185"/>
      <c r="S185" s="1186">
        <v>0</v>
      </c>
      <c r="T185" s="1175">
        <v>0.6885861957001953</v>
      </c>
      <c r="U185" s="1185"/>
      <c r="V185" s="1186">
        <v>0</v>
      </c>
      <c r="W185" s="1175">
        <v>0.6903039112944106</v>
      </c>
      <c r="X185" s="1185"/>
      <c r="Y185" s="1186">
        <v>0</v>
      </c>
      <c r="Z185" s="1175">
        <v>0.79779289705641676</v>
      </c>
      <c r="AA185" s="1185"/>
      <c r="AB185" s="1186">
        <v>0</v>
      </c>
      <c r="AC185" s="1175">
        <v>0.8040113309966036</v>
      </c>
      <c r="AD185" s="1185"/>
      <c r="AE185" s="1186"/>
      <c r="AF185" s="1175">
        <v>0.69754223808252447</v>
      </c>
      <c r="AG185" s="1185"/>
      <c r="AH185" s="1186"/>
      <c r="AI185" s="1175">
        <v>0.78246260140996993</v>
      </c>
      <c r="AJ185" s="1185"/>
      <c r="AK185" s="1186"/>
      <c r="AL185" s="1175">
        <v>0.75290165892612526</v>
      </c>
      <c r="AM185" s="1185"/>
      <c r="AN185" s="1186"/>
      <c r="AO185" s="1175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">
      <c r="A186" s="533" t="str">
        <f t="shared" si="28"/>
        <v>Service</v>
      </c>
      <c r="B186" s="747"/>
      <c r="C186" s="1187"/>
      <c r="D186" s="1188">
        <f>IFERROR(D184/C184,0)</f>
        <v>212.5525757575756</v>
      </c>
      <c r="E186" s="1178"/>
      <c r="F186" s="1187"/>
      <c r="G186" s="1188">
        <v>184.57307692307691</v>
      </c>
      <c r="H186" s="1178"/>
      <c r="I186" s="1187"/>
      <c r="J186" s="1188">
        <v>211.94777777777779</v>
      </c>
      <c r="K186" s="1178"/>
      <c r="L186" s="1187"/>
      <c r="M186" s="1188">
        <v>226.84228571428571</v>
      </c>
      <c r="N186" s="1178"/>
      <c r="O186" s="1187"/>
      <c r="P186" s="1188">
        <v>203.99633663366237</v>
      </c>
      <c r="Q186" s="1178"/>
      <c r="R186" s="1187"/>
      <c r="S186" s="1188">
        <v>219.18049999999999</v>
      </c>
      <c r="T186" s="1178"/>
      <c r="U186" s="1187"/>
      <c r="V186" s="1188">
        <v>199.87162162162161</v>
      </c>
      <c r="W186" s="1178"/>
      <c r="X186" s="1187"/>
      <c r="Y186" s="1188">
        <v>183.3042857142857</v>
      </c>
      <c r="Z186" s="1178"/>
      <c r="AA186" s="1187"/>
      <c r="AB186" s="1188">
        <v>168.56416666666667</v>
      </c>
      <c r="AC186" s="1178"/>
      <c r="AD186" s="1187"/>
      <c r="AE186" s="1188"/>
      <c r="AF186" s="1178"/>
      <c r="AG186" s="1187"/>
      <c r="AH186" s="1188"/>
      <c r="AI186" s="1178"/>
      <c r="AJ186" s="1187"/>
      <c r="AK186" s="1188"/>
      <c r="AL186" s="1178"/>
      <c r="AM186" s="1187"/>
      <c r="AN186" s="1188"/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3" t="s">
        <v>156</v>
      </c>
      <c r="C187" s="1172"/>
      <c r="D187" s="1099"/>
      <c r="E187" s="1080">
        <f>+SUM(H187,K187,N187,Q187,T187,W187,Z187,AC187,AF187,AI187,AL187,AO187)</f>
        <v>-30143.919999999998</v>
      </c>
      <c r="F187" s="1173"/>
      <c r="G187" s="1174"/>
      <c r="H187" s="1101">
        <v>-945.67</v>
      </c>
      <c r="I187" s="1173"/>
      <c r="J187" s="1174"/>
      <c r="K187" s="1101">
        <v>-1752.17</v>
      </c>
      <c r="L187" s="1173"/>
      <c r="M187" s="1174"/>
      <c r="N187" s="1101">
        <v>-1491.59</v>
      </c>
      <c r="O187" s="1173"/>
      <c r="P187" s="1174"/>
      <c r="Q187" s="1101">
        <v>-2018.56</v>
      </c>
      <c r="R187" s="1173"/>
      <c r="S187" s="1174"/>
      <c r="T187" s="1101">
        <v>-3612.24</v>
      </c>
      <c r="U187" s="1173"/>
      <c r="V187" s="1174"/>
      <c r="W187" s="1101">
        <v>-1666.92</v>
      </c>
      <c r="X187" s="1173"/>
      <c r="Y187" s="1174"/>
      <c r="Z187" s="1101">
        <v>-2250.91</v>
      </c>
      <c r="AA187" s="1173"/>
      <c r="AB187" s="1174"/>
      <c r="AC187" s="1101">
        <v>-3582.27</v>
      </c>
      <c r="AD187" s="1173"/>
      <c r="AE187" s="1174"/>
      <c r="AF187" s="1101">
        <v>-2042.71</v>
      </c>
      <c r="AG187" s="1173"/>
      <c r="AH187" s="1174"/>
      <c r="AI187" s="1101">
        <v>-3782.41</v>
      </c>
      <c r="AJ187" s="1173"/>
      <c r="AK187" s="1174"/>
      <c r="AL187" s="1101">
        <v>-3306.25</v>
      </c>
      <c r="AM187" s="1173"/>
      <c r="AN187" s="1174"/>
      <c r="AO187" s="1101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8"/>
        <v>ServiceSous-total M/O</v>
      </c>
      <c r="B188" s="1189" t="s">
        <v>157</v>
      </c>
      <c r="C188" s="1190">
        <f t="shared" ref="C188:E188" si="29">C175+C178+C181+C184+C187</f>
        <v>6828</v>
      </c>
      <c r="D188" s="1191">
        <f t="shared" si="29"/>
        <v>1973823.3099999994</v>
      </c>
      <c r="E188" s="1192">
        <f t="shared" si="29"/>
        <v>1443590.4399999992</v>
      </c>
      <c r="F188" s="1085">
        <v>288</v>
      </c>
      <c r="G188" s="1193">
        <v>94217.99</v>
      </c>
      <c r="H188" s="1087">
        <v>64545.169999999896</v>
      </c>
      <c r="I188" s="1085">
        <v>336</v>
      </c>
      <c r="J188" s="1193">
        <v>112122.47999999998</v>
      </c>
      <c r="K188" s="1087">
        <v>78799.969999999899</v>
      </c>
      <c r="L188" s="1085">
        <v>502</v>
      </c>
      <c r="M188" s="1193">
        <v>156894.44</v>
      </c>
      <c r="N188" s="1087">
        <v>113148.92999999989</v>
      </c>
      <c r="O188" s="1085">
        <v>749</v>
      </c>
      <c r="P188" s="1193">
        <v>202104.01999999967</v>
      </c>
      <c r="Q188" s="1087">
        <v>153447.4899999999</v>
      </c>
      <c r="R188" s="1085">
        <v>699</v>
      </c>
      <c r="S188" s="1193">
        <v>221171.30999999979</v>
      </c>
      <c r="T188" s="1087">
        <v>163428.98999999985</v>
      </c>
      <c r="U188" s="1085">
        <v>619</v>
      </c>
      <c r="V188" s="1193">
        <v>193317.27000000002</v>
      </c>
      <c r="W188" s="1087">
        <v>148464.79999999999</v>
      </c>
      <c r="X188" s="1085">
        <v>585</v>
      </c>
      <c r="Y188" s="1193">
        <v>185229.1099999999</v>
      </c>
      <c r="Z188" s="1087">
        <v>137538.2399999999</v>
      </c>
      <c r="AA188" s="1085">
        <v>668</v>
      </c>
      <c r="AB188" s="1193">
        <v>163619.37999999989</v>
      </c>
      <c r="AC188" s="1087">
        <v>116977.47999999979</v>
      </c>
      <c r="AD188" s="1085">
        <v>480</v>
      </c>
      <c r="AE188" s="1193">
        <v>144657.53</v>
      </c>
      <c r="AF188" s="1087">
        <v>101442.29999999999</v>
      </c>
      <c r="AG188" s="1085">
        <v>680</v>
      </c>
      <c r="AH188" s="1193">
        <v>186161.67</v>
      </c>
      <c r="AI188" s="1087">
        <v>138349.94</v>
      </c>
      <c r="AJ188" s="1085">
        <v>830</v>
      </c>
      <c r="AK188" s="1193">
        <v>216927.35</v>
      </c>
      <c r="AL188" s="1087">
        <v>160585.57999999999</v>
      </c>
      <c r="AM188" s="1085">
        <v>392</v>
      </c>
      <c r="AN188" s="1193">
        <v>97400.76</v>
      </c>
      <c r="AO188" s="1087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">
      <c r="A189" s="533" t="str">
        <f t="shared" si="28"/>
        <v>Service% protit / ventes</v>
      </c>
      <c r="B189" s="1194" t="s">
        <v>158</v>
      </c>
      <c r="C189" s="1195"/>
      <c r="D189" s="1196">
        <f>IFERROR(D188/C188,0)</f>
        <v>289.07781341534849</v>
      </c>
      <c r="E189" s="1197">
        <f>IF(E188=0,0,E188/D188)</f>
        <v>0.73136761162274433</v>
      </c>
      <c r="F189" s="1187"/>
      <c r="G189" s="1198">
        <v>327.1457986111111</v>
      </c>
      <c r="H189" s="1197">
        <v>0.68506205661997133</v>
      </c>
      <c r="I189" s="1187"/>
      <c r="J189" s="1198">
        <v>333.69785714285706</v>
      </c>
      <c r="K189" s="1197">
        <v>0.70280259587550964</v>
      </c>
      <c r="L189" s="1187"/>
      <c r="M189" s="1198">
        <v>312.53872509960161</v>
      </c>
      <c r="N189" s="1197">
        <v>0.72117871098555109</v>
      </c>
      <c r="O189" s="1187"/>
      <c r="P189" s="1198">
        <v>269.83180240320382</v>
      </c>
      <c r="Q189" s="1197">
        <v>0.75925006340794288</v>
      </c>
      <c r="R189" s="1187"/>
      <c r="S189" s="1198">
        <v>316.41103004291818</v>
      </c>
      <c r="T189" s="1197">
        <v>0.73892490847931402</v>
      </c>
      <c r="U189" s="1187"/>
      <c r="V189" s="1198">
        <v>312.30576736672054</v>
      </c>
      <c r="W189" s="1197">
        <v>0.76798518828659212</v>
      </c>
      <c r="X189" s="1187"/>
      <c r="Y189" s="1198">
        <v>316.63095726495709</v>
      </c>
      <c r="Z189" s="1197">
        <v>0.74253037225088425</v>
      </c>
      <c r="AA189" s="1187"/>
      <c r="AB189" s="1198">
        <v>244.93919161676629</v>
      </c>
      <c r="AC189" s="1197">
        <v>0.71493658025106732</v>
      </c>
      <c r="AD189" s="1187"/>
      <c r="AE189" s="1198">
        <v>301.36985416666664</v>
      </c>
      <c r="AF189" s="1197">
        <v>0.70125834444981872</v>
      </c>
      <c r="AG189" s="1187"/>
      <c r="AH189" s="1198">
        <v>273.76716176470592</v>
      </c>
      <c r="AI189" s="1197">
        <v>0.7431709223493751</v>
      </c>
      <c r="AJ189" s="1187"/>
      <c r="AK189" s="1198">
        <v>261.35825301204818</v>
      </c>
      <c r="AL189" s="1197">
        <v>0.74027355241282389</v>
      </c>
      <c r="AM189" s="1187"/>
      <c r="AN189" s="1198">
        <v>248.47132653061223</v>
      </c>
      <c r="AO189" s="1197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">
      <c r="A190" s="533" t="str">
        <f t="shared" si="28"/>
        <v>Service</v>
      </c>
      <c r="B190" s="1199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">
      <c r="A191" s="533" t="str">
        <f t="shared" si="28"/>
        <v>ServiceSous-traitement</v>
      </c>
      <c r="B191" s="120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78803.109999999986</v>
      </c>
      <c r="E191" s="1080">
        <f>+SUM(H191,K191,N191,Q191,T191,W191,Z191,AC191,AF191,AI191,AL191,AO191)</f>
        <v>11643.53999999999</v>
      </c>
      <c r="F191" s="1173">
        <v>0</v>
      </c>
      <c r="G191" s="1202">
        <v>3109.0499999999902</v>
      </c>
      <c r="H191" s="1101">
        <v>1222.04999999999</v>
      </c>
      <c r="I191" s="1173">
        <v>0</v>
      </c>
      <c r="J191" s="1202">
        <v>5922.63</v>
      </c>
      <c r="K191" s="1101">
        <v>1489.23</v>
      </c>
      <c r="L191" s="1173">
        <v>0</v>
      </c>
      <c r="M191" s="1202">
        <v>6456.75</v>
      </c>
      <c r="N191" s="1101">
        <v>1461.75</v>
      </c>
      <c r="O191" s="1173">
        <v>0</v>
      </c>
      <c r="P191" s="1202">
        <v>7292.78</v>
      </c>
      <c r="Q191" s="1101">
        <v>1083.05</v>
      </c>
      <c r="R191" s="1173">
        <v>0</v>
      </c>
      <c r="S191" s="1202">
        <v>8149.76</v>
      </c>
      <c r="T191" s="1101">
        <v>1530.75</v>
      </c>
      <c r="U191" s="1173">
        <v>0</v>
      </c>
      <c r="V191" s="1202">
        <v>7824.33</v>
      </c>
      <c r="W191" s="1101">
        <v>238.01999999999899</v>
      </c>
      <c r="X191" s="1173">
        <v>0</v>
      </c>
      <c r="Y191" s="1202">
        <v>4300</v>
      </c>
      <c r="Z191" s="1101">
        <v>360.4</v>
      </c>
      <c r="AA191" s="1173">
        <v>0</v>
      </c>
      <c r="AB191" s="1202">
        <v>6115.35</v>
      </c>
      <c r="AC191" s="1101">
        <v>1445.39</v>
      </c>
      <c r="AD191" s="1173"/>
      <c r="AE191" s="1202">
        <v>18681.54</v>
      </c>
      <c r="AF191" s="1101">
        <v>2090.4600000000009</v>
      </c>
      <c r="AG191" s="1173"/>
      <c r="AH191" s="1202">
        <v>6152.42</v>
      </c>
      <c r="AI191" s="1101">
        <v>157.75</v>
      </c>
      <c r="AJ191" s="1173"/>
      <c r="AK191" s="1202">
        <v>4466.7</v>
      </c>
      <c r="AL191" s="1101">
        <v>564.6899999999996</v>
      </c>
      <c r="AM191" s="1173"/>
      <c r="AN191" s="1202">
        <v>331.8</v>
      </c>
      <c r="AO191" s="1101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">
      <c r="A192" s="533" t="str">
        <f t="shared" si="28"/>
        <v>Service% profit / ventes</v>
      </c>
      <c r="B192" s="1201" t="s">
        <v>152</v>
      </c>
      <c r="C192" s="1172"/>
      <c r="D192" s="1183"/>
      <c r="E192" s="1175">
        <f>IF(E191=0,0,E191/D191)</f>
        <v>0.1477548284579123</v>
      </c>
      <c r="F192" s="1172"/>
      <c r="G192" s="1183"/>
      <c r="H192" s="1175">
        <v>0.393062189414771</v>
      </c>
      <c r="I192" s="1172"/>
      <c r="J192" s="1183"/>
      <c r="K192" s="1175">
        <v>0.25144741440880147</v>
      </c>
      <c r="L192" s="1172"/>
      <c r="M192" s="1183"/>
      <c r="N192" s="1175">
        <v>0.22639098617725636</v>
      </c>
      <c r="O192" s="1172"/>
      <c r="P192" s="1183"/>
      <c r="Q192" s="1175">
        <v>0.14850989608900858</v>
      </c>
      <c r="R192" s="1172"/>
      <c r="S192" s="1183"/>
      <c r="T192" s="1175">
        <v>0.18782761700958064</v>
      </c>
      <c r="U192" s="1172"/>
      <c r="V192" s="1183"/>
      <c r="W192" s="1175">
        <v>3.0420496068033809E-2</v>
      </c>
      <c r="X192" s="1172"/>
      <c r="Y192" s="1183"/>
      <c r="Z192" s="1175">
        <v>8.3813953488372089E-2</v>
      </c>
      <c r="AA192" s="1172"/>
      <c r="AB192" s="1183"/>
      <c r="AC192" s="1175">
        <v>0.23635441961621168</v>
      </c>
      <c r="AD192" s="1172"/>
      <c r="AE192" s="1183"/>
      <c r="AF192" s="1175">
        <v>0.11189976843450812</v>
      </c>
      <c r="AG192" s="1172"/>
      <c r="AH192" s="1183"/>
      <c r="AI192" s="1175">
        <v>2.5640317143498004E-2</v>
      </c>
      <c r="AJ192" s="1172"/>
      <c r="AK192" s="1183"/>
      <c r="AL192" s="1175">
        <v>0.12642219087917245</v>
      </c>
      <c r="AM192" s="1172"/>
      <c r="AN192" s="1183"/>
      <c r="AO192" s="1175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">
      <c r="A193" s="533" t="str">
        <f t="shared" si="28"/>
        <v>Service</v>
      </c>
      <c r="B193" s="120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">
      <c r="A194" s="533" t="str">
        <f t="shared" si="28"/>
        <v>ServiceM.O. Recond. MCPA</v>
      </c>
      <c r="B194" s="1203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181">
        <v>0</v>
      </c>
      <c r="G194" s="1205">
        <v>0</v>
      </c>
      <c r="H194" s="1118">
        <v>0</v>
      </c>
      <c r="I194" s="1181">
        <v>0</v>
      </c>
      <c r="J194" s="1205">
        <v>0</v>
      </c>
      <c r="K194" s="1118">
        <v>0</v>
      </c>
      <c r="L194" s="1181">
        <v>0</v>
      </c>
      <c r="M194" s="1205">
        <v>0</v>
      </c>
      <c r="N194" s="1118">
        <v>0</v>
      </c>
      <c r="O194" s="1181">
        <v>0</v>
      </c>
      <c r="P194" s="1205">
        <v>0</v>
      </c>
      <c r="Q194" s="1118">
        <v>0</v>
      </c>
      <c r="R194" s="1181">
        <v>0</v>
      </c>
      <c r="S194" s="1205">
        <v>0</v>
      </c>
      <c r="T194" s="1118">
        <v>0</v>
      </c>
      <c r="U194" s="1181">
        <v>0</v>
      </c>
      <c r="V194" s="1205">
        <v>0</v>
      </c>
      <c r="W194" s="1118">
        <v>0</v>
      </c>
      <c r="X194" s="1181">
        <v>0</v>
      </c>
      <c r="Y194" s="1205">
        <v>0</v>
      </c>
      <c r="Z194" s="1118">
        <v>0</v>
      </c>
      <c r="AA194" s="1181">
        <v>0</v>
      </c>
      <c r="AB194" s="1205">
        <v>0</v>
      </c>
      <c r="AC194" s="1118">
        <v>0</v>
      </c>
      <c r="AD194" s="1181"/>
      <c r="AE194" s="1205">
        <v>0</v>
      </c>
      <c r="AF194" s="1118"/>
      <c r="AG194" s="1181"/>
      <c r="AH194" s="1205">
        <v>0</v>
      </c>
      <c r="AI194" s="1118"/>
      <c r="AJ194" s="1181"/>
      <c r="AK194" s="1205">
        <v>0</v>
      </c>
      <c r="AL194" s="1118"/>
      <c r="AM194" s="1181"/>
      <c r="AN194" s="1205">
        <v>0</v>
      </c>
      <c r="AO194" s="1118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">
      <c r="A195" s="533" t="str">
        <f t="shared" si="28"/>
        <v>Service% profit / ventes</v>
      </c>
      <c r="B195" s="748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v>0</v>
      </c>
      <c r="I195" s="1176"/>
      <c r="J195" s="1206"/>
      <c r="K195" s="1178">
        <v>0</v>
      </c>
      <c r="L195" s="1176"/>
      <c r="M195" s="1206"/>
      <c r="N195" s="1178">
        <v>0</v>
      </c>
      <c r="O195" s="1176"/>
      <c r="P195" s="1206"/>
      <c r="Q195" s="1178">
        <v>0</v>
      </c>
      <c r="R195" s="1176"/>
      <c r="S195" s="1206"/>
      <c r="T195" s="1178">
        <v>0</v>
      </c>
      <c r="U195" s="1176"/>
      <c r="V195" s="1206"/>
      <c r="W195" s="1178">
        <v>0</v>
      </c>
      <c r="X195" s="1176"/>
      <c r="Y195" s="1206"/>
      <c r="Z195" s="1178">
        <v>0</v>
      </c>
      <c r="AA195" s="1176"/>
      <c r="AB195" s="1206"/>
      <c r="AC195" s="1178">
        <v>0</v>
      </c>
      <c r="AD195" s="1176"/>
      <c r="AE195" s="1206"/>
      <c r="AF195" s="1178">
        <v>0</v>
      </c>
      <c r="AG195" s="1176"/>
      <c r="AH195" s="1206"/>
      <c r="AI195" s="1178">
        <v>0</v>
      </c>
      <c r="AJ195" s="1176"/>
      <c r="AK195" s="1206"/>
      <c r="AL195" s="1178">
        <v>0</v>
      </c>
      <c r="AM195" s="1176"/>
      <c r="AN195" s="1206"/>
      <c r="AO195" s="1178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8"/>
        <v>Service</v>
      </c>
      <c r="B196" s="1199"/>
      <c r="C196" s="1207"/>
      <c r="D196" s="1208"/>
      <c r="E196" s="1209"/>
      <c r="F196" s="1210"/>
      <c r="G196" s="1211"/>
      <c r="H196" s="1212"/>
      <c r="I196" s="1210"/>
      <c r="J196" s="1211"/>
      <c r="K196" s="1212"/>
      <c r="L196" s="1210"/>
      <c r="M196" s="1211"/>
      <c r="N196" s="1212"/>
      <c r="O196" s="1210"/>
      <c r="P196" s="1211"/>
      <c r="Q196" s="1212"/>
      <c r="R196" s="1210"/>
      <c r="S196" s="1211"/>
      <c r="T196" s="1212"/>
      <c r="U196" s="1210"/>
      <c r="V196" s="1211"/>
      <c r="W196" s="1212"/>
      <c r="X196" s="1210"/>
      <c r="Y196" s="1211"/>
      <c r="Z196" s="1212"/>
      <c r="AA196" s="1210"/>
      <c r="AB196" s="1211"/>
      <c r="AC196" s="1212"/>
      <c r="AD196" s="1210"/>
      <c r="AE196" s="1211"/>
      <c r="AF196" s="1212"/>
      <c r="AG196" s="1210"/>
      <c r="AH196" s="1211"/>
      <c r="AI196" s="1212"/>
      <c r="AJ196" s="1210"/>
      <c r="AK196" s="1211"/>
      <c r="AL196" s="1212"/>
      <c r="AM196" s="1210"/>
      <c r="AN196" s="1211"/>
      <c r="AO196" s="1212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8"/>
        <v>ServiceTotal Mécanique</v>
      </c>
      <c r="B197" s="1081" t="s">
        <v>161</v>
      </c>
      <c r="C197" s="1082"/>
      <c r="D197" s="1213">
        <f>D188+D191+D194</f>
        <v>2052626.4199999995</v>
      </c>
      <c r="E197" s="1084">
        <f>E188+E191+E194</f>
        <v>1455233.9799999993</v>
      </c>
      <c r="F197" s="1085"/>
      <c r="G197" s="1193">
        <v>97327.039999999994</v>
      </c>
      <c r="H197" s="1087">
        <v>65767.219999999885</v>
      </c>
      <c r="I197" s="1085"/>
      <c r="J197" s="1193">
        <v>118045.10999999999</v>
      </c>
      <c r="K197" s="1087">
        <v>80289.199999999895</v>
      </c>
      <c r="L197" s="1085"/>
      <c r="M197" s="1193">
        <v>163351.19</v>
      </c>
      <c r="N197" s="1087">
        <v>114610.67999999989</v>
      </c>
      <c r="O197" s="1085"/>
      <c r="P197" s="1193">
        <v>209396.79999999967</v>
      </c>
      <c r="Q197" s="1087">
        <v>154530.53999999989</v>
      </c>
      <c r="R197" s="1085"/>
      <c r="S197" s="1193">
        <v>229321.0699999998</v>
      </c>
      <c r="T197" s="1087">
        <v>164959.73999999985</v>
      </c>
      <c r="U197" s="1085"/>
      <c r="V197" s="1193">
        <v>201141.6</v>
      </c>
      <c r="W197" s="1087">
        <v>148702.81999999998</v>
      </c>
      <c r="X197" s="1085"/>
      <c r="Y197" s="1193">
        <v>189529.1099999999</v>
      </c>
      <c r="Z197" s="1087">
        <v>137898.6399999999</v>
      </c>
      <c r="AA197" s="1085"/>
      <c r="AB197" s="1193">
        <v>169734.72999999989</v>
      </c>
      <c r="AC197" s="1087">
        <v>118422.86999999979</v>
      </c>
      <c r="AD197" s="1085"/>
      <c r="AE197" s="1193">
        <v>163339.07</v>
      </c>
      <c r="AF197" s="1087">
        <v>103532.76</v>
      </c>
      <c r="AG197" s="1085"/>
      <c r="AH197" s="1193">
        <v>192314.09000000003</v>
      </c>
      <c r="AI197" s="1087">
        <v>138507.69</v>
      </c>
      <c r="AJ197" s="1085"/>
      <c r="AK197" s="1193">
        <v>221394.05000000002</v>
      </c>
      <c r="AL197" s="1087">
        <v>161150.26999999999</v>
      </c>
      <c r="AM197" s="1085"/>
      <c r="AN197" s="1193">
        <v>97732.56</v>
      </c>
      <c r="AO197" s="1087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8"/>
        <v>Service</v>
      </c>
      <c r="B198" s="745"/>
      <c r="C198" s="598"/>
      <c r="D198" s="1088"/>
      <c r="E198" s="1214">
        <f>IFERROR(E197/D197,0)</f>
        <v>0.70896192596020446</v>
      </c>
      <c r="F198" s="1090"/>
      <c r="G198" s="1091"/>
      <c r="H198" s="1215">
        <v>0.6757343077525001</v>
      </c>
      <c r="I198" s="1090"/>
      <c r="J198" s="1091"/>
      <c r="K198" s="1215">
        <v>0.68015693322662751</v>
      </c>
      <c r="L198" s="1090"/>
      <c r="M198" s="1091"/>
      <c r="N198" s="1215">
        <v>0.70162133498996782</v>
      </c>
      <c r="O198" s="1090"/>
      <c r="P198" s="1091"/>
      <c r="Q198" s="1215">
        <v>0.73797947246567352</v>
      </c>
      <c r="R198" s="1090"/>
      <c r="S198" s="1091"/>
      <c r="T198" s="1215">
        <v>0.71933965771221975</v>
      </c>
      <c r="U198" s="1090"/>
      <c r="V198" s="1091"/>
      <c r="W198" s="1215">
        <v>0.73929420865698581</v>
      </c>
      <c r="X198" s="1090"/>
      <c r="Y198" s="1091"/>
      <c r="Z198" s="1215">
        <v>0.72758554081744997</v>
      </c>
      <c r="AA198" s="1090"/>
      <c r="AB198" s="1091"/>
      <c r="AC198" s="1215">
        <v>0.69769380727208785</v>
      </c>
      <c r="AD198" s="1090"/>
      <c r="AE198" s="1091"/>
      <c r="AF198" s="1215">
        <v>0.6338517783895794</v>
      </c>
      <c r="AG198" s="1090"/>
      <c r="AH198" s="1091"/>
      <c r="AI198" s="1215">
        <v>0.72021602785318528</v>
      </c>
      <c r="AJ198" s="1090"/>
      <c r="AK198" s="1091"/>
      <c r="AL198" s="1215">
        <v>0.72788889312969329</v>
      </c>
      <c r="AM198" s="1090"/>
      <c r="AN198" s="1091"/>
      <c r="AO198" s="1215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8"/>
        <v>Service</v>
      </c>
      <c r="B199" s="746"/>
      <c r="C199" s="599"/>
      <c r="D199" s="1093"/>
      <c r="E199" s="1216"/>
      <c r="F199" s="607"/>
      <c r="G199" s="608"/>
      <c r="H199" s="1197"/>
      <c r="I199" s="607"/>
      <c r="J199" s="608"/>
      <c r="K199" s="1197"/>
      <c r="L199" s="607"/>
      <c r="M199" s="608"/>
      <c r="N199" s="1197"/>
      <c r="O199" s="607"/>
      <c r="P199" s="608"/>
      <c r="Q199" s="1197"/>
      <c r="R199" s="607"/>
      <c r="S199" s="608"/>
      <c r="T199" s="1197"/>
      <c r="U199" s="607"/>
      <c r="V199" s="608"/>
      <c r="W199" s="1197"/>
      <c r="X199" s="607"/>
      <c r="Y199" s="608"/>
      <c r="Z199" s="1197"/>
      <c r="AA199" s="607"/>
      <c r="AB199" s="608"/>
      <c r="AC199" s="1197"/>
      <c r="AD199" s="607"/>
      <c r="AE199" s="608"/>
      <c r="AF199" s="1197"/>
      <c r="AG199" s="607"/>
      <c r="AH199" s="608"/>
      <c r="AI199" s="1197"/>
      <c r="AJ199" s="607"/>
      <c r="AK199" s="608"/>
      <c r="AL199" s="1197"/>
      <c r="AM199" s="607"/>
      <c r="AN199" s="608"/>
      <c r="AO199" s="1197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">
      <c r="A200" s="533" t="str">
        <f t="shared" si="28"/>
        <v>ServiceDEPENSES</v>
      </c>
      <c r="B200" s="1096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">
      <c r="A201" s="533" t="str">
        <f t="shared" si="28"/>
        <v>ServiceSalaires cadres</v>
      </c>
      <c r="B201" s="1113" t="s">
        <v>109</v>
      </c>
      <c r="C201" s="543"/>
      <c r="D201" s="596"/>
      <c r="E201" s="1080">
        <f t="shared" ref="E201:E231" si="30">+SUM(H201,K201,N201,Q201,T201,W201,Z201,AC201,AF201,AI201,AL201,AO201)</f>
        <v>148696.42000000001</v>
      </c>
      <c r="F201" s="543"/>
      <c r="G201" s="596"/>
      <c r="H201" s="1101">
        <v>12757.77</v>
      </c>
      <c r="I201" s="543"/>
      <c r="J201" s="596"/>
      <c r="K201" s="1101">
        <v>12847.5</v>
      </c>
      <c r="L201" s="543"/>
      <c r="M201" s="596"/>
      <c r="N201" s="1101">
        <v>12850</v>
      </c>
      <c r="O201" s="543"/>
      <c r="P201" s="596"/>
      <c r="Q201" s="1101">
        <v>13099.41</v>
      </c>
      <c r="R201" s="543"/>
      <c r="S201" s="596"/>
      <c r="T201" s="1101">
        <v>11889.91</v>
      </c>
      <c r="U201" s="543"/>
      <c r="V201" s="596"/>
      <c r="W201" s="1101">
        <v>11518.62</v>
      </c>
      <c r="X201" s="543"/>
      <c r="Y201" s="596"/>
      <c r="Z201" s="1101">
        <v>12343.02</v>
      </c>
      <c r="AA201" s="543"/>
      <c r="AB201" s="596"/>
      <c r="AC201" s="1101">
        <v>11881.85</v>
      </c>
      <c r="AD201" s="543"/>
      <c r="AE201" s="596"/>
      <c r="AF201" s="1101">
        <v>12817.44</v>
      </c>
      <c r="AG201" s="543"/>
      <c r="AH201" s="596"/>
      <c r="AI201" s="1101">
        <v>11552.71</v>
      </c>
      <c r="AJ201" s="543"/>
      <c r="AK201" s="596"/>
      <c r="AL201" s="1101">
        <v>13111.66</v>
      </c>
      <c r="AM201" s="543"/>
      <c r="AN201" s="596"/>
      <c r="AO201" s="1101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">
      <c r="A202" s="533" t="str">
        <f t="shared" si="28"/>
        <v>ServiceSalaires commis</v>
      </c>
      <c r="B202" s="1114" t="s">
        <v>110</v>
      </c>
      <c r="C202" s="543"/>
      <c r="D202" s="596"/>
      <c r="E202" s="1080">
        <f t="shared" si="30"/>
        <v>57302</v>
      </c>
      <c r="F202" s="543"/>
      <c r="G202" s="596"/>
      <c r="H202" s="1101">
        <v>5752.69</v>
      </c>
      <c r="I202" s="543"/>
      <c r="J202" s="596"/>
      <c r="K202" s="1101">
        <v>4773.1499999999996</v>
      </c>
      <c r="L202" s="543"/>
      <c r="M202" s="596"/>
      <c r="N202" s="1101">
        <v>4648.21</v>
      </c>
      <c r="O202" s="543"/>
      <c r="P202" s="596"/>
      <c r="Q202" s="1101">
        <v>4760.12</v>
      </c>
      <c r="R202" s="543"/>
      <c r="S202" s="596"/>
      <c r="T202" s="1101">
        <v>5777.88</v>
      </c>
      <c r="U202" s="543"/>
      <c r="V202" s="596"/>
      <c r="W202" s="1101">
        <v>5194.9399999999996</v>
      </c>
      <c r="X202" s="543"/>
      <c r="Y202" s="596"/>
      <c r="Z202" s="1101">
        <v>4215.83</v>
      </c>
      <c r="AA202" s="543"/>
      <c r="AB202" s="596"/>
      <c r="AC202" s="1101">
        <v>5254.63</v>
      </c>
      <c r="AD202" s="543"/>
      <c r="AE202" s="596"/>
      <c r="AF202" s="1101">
        <v>5066.99</v>
      </c>
      <c r="AG202" s="543"/>
      <c r="AH202" s="596"/>
      <c r="AI202" s="1101">
        <v>6010.93</v>
      </c>
      <c r="AJ202" s="543"/>
      <c r="AK202" s="596"/>
      <c r="AL202" s="1101">
        <v>3465.26</v>
      </c>
      <c r="AM202" s="543"/>
      <c r="AN202" s="596"/>
      <c r="AO202" s="1101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">
      <c r="A203" s="533" t="str">
        <f t="shared" si="28"/>
        <v>ServiceSalaires autres</v>
      </c>
      <c r="B203" s="1113" t="s">
        <v>111</v>
      </c>
      <c r="C203" s="1115"/>
      <c r="D203" s="1116"/>
      <c r="E203" s="1117">
        <f t="shared" si="30"/>
        <v>91472.339999999982</v>
      </c>
      <c r="F203" s="1115"/>
      <c r="G203" s="1116"/>
      <c r="H203" s="1118">
        <v>4460.9799999999996</v>
      </c>
      <c r="I203" s="1115"/>
      <c r="J203" s="1116"/>
      <c r="K203" s="1118">
        <v>7721</v>
      </c>
      <c r="L203" s="1115"/>
      <c r="M203" s="1116"/>
      <c r="N203" s="1118">
        <v>9323.0300000000007</v>
      </c>
      <c r="O203" s="1115"/>
      <c r="P203" s="1116"/>
      <c r="Q203" s="1118">
        <v>11398.89</v>
      </c>
      <c r="R203" s="1115"/>
      <c r="S203" s="1116"/>
      <c r="T203" s="1118">
        <v>10735.72</v>
      </c>
      <c r="U203" s="1115"/>
      <c r="V203" s="1116"/>
      <c r="W203" s="1118">
        <v>9055.86</v>
      </c>
      <c r="X203" s="1115"/>
      <c r="Y203" s="1116"/>
      <c r="Z203" s="1118">
        <v>6749.91</v>
      </c>
      <c r="AA203" s="1115"/>
      <c r="AB203" s="1116"/>
      <c r="AC203" s="1118">
        <v>5418.53</v>
      </c>
      <c r="AD203" s="1115"/>
      <c r="AE203" s="1116"/>
      <c r="AF203" s="1118">
        <v>2985.91</v>
      </c>
      <c r="AG203" s="1115"/>
      <c r="AH203" s="1116"/>
      <c r="AI203" s="1118">
        <v>6369.01</v>
      </c>
      <c r="AJ203" s="1115"/>
      <c r="AK203" s="1116"/>
      <c r="AL203" s="1118">
        <v>11459.71</v>
      </c>
      <c r="AM203" s="1115"/>
      <c r="AN203" s="1116"/>
      <c r="AO203" s="1118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">
      <c r="A204" s="533" t="str">
        <f t="shared" si="28"/>
        <v>ServiceSalaires spécialistes</v>
      </c>
      <c r="B204" s="1113" t="s">
        <v>112</v>
      </c>
      <c r="C204" s="543"/>
      <c r="D204" s="596"/>
      <c r="E204" s="1080">
        <f t="shared" si="30"/>
        <v>174720.71000000002</v>
      </c>
      <c r="F204" s="543"/>
      <c r="G204" s="596"/>
      <c r="H204" s="1101">
        <v>10355.39</v>
      </c>
      <c r="I204" s="543"/>
      <c r="J204" s="596"/>
      <c r="K204" s="1101">
        <v>13794.78</v>
      </c>
      <c r="L204" s="543"/>
      <c r="M204" s="596"/>
      <c r="N204" s="1101">
        <v>13379.33</v>
      </c>
      <c r="O204" s="543"/>
      <c r="P204" s="596"/>
      <c r="Q204" s="1101">
        <v>16301.36</v>
      </c>
      <c r="R204" s="543"/>
      <c r="S204" s="596"/>
      <c r="T204" s="1101">
        <v>16151.34</v>
      </c>
      <c r="U204" s="543"/>
      <c r="V204" s="596"/>
      <c r="W204" s="1101">
        <v>12665.43</v>
      </c>
      <c r="X204" s="543"/>
      <c r="Y204" s="596"/>
      <c r="Z204" s="1101">
        <v>14553.25</v>
      </c>
      <c r="AA204" s="543"/>
      <c r="AB204" s="596"/>
      <c r="AC204" s="1101">
        <v>13870.82</v>
      </c>
      <c r="AD204" s="543"/>
      <c r="AE204" s="596"/>
      <c r="AF204" s="1101">
        <v>14362.52</v>
      </c>
      <c r="AG204" s="543"/>
      <c r="AH204" s="596"/>
      <c r="AI204" s="1101">
        <v>18459.82</v>
      </c>
      <c r="AJ204" s="543"/>
      <c r="AK204" s="596"/>
      <c r="AL204" s="1101">
        <v>18518</v>
      </c>
      <c r="AM204" s="543"/>
      <c r="AN204" s="596"/>
      <c r="AO204" s="1101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3" t="s">
        <v>42</v>
      </c>
      <c r="C205" s="543"/>
      <c r="D205" s="596"/>
      <c r="E205" s="1080">
        <f t="shared" si="30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>
        <v>0</v>
      </c>
      <c r="AG205" s="543"/>
      <c r="AH205" s="596"/>
      <c r="AI205" s="1101">
        <v>0</v>
      </c>
      <c r="AJ205" s="543"/>
      <c r="AK205" s="596"/>
      <c r="AL205" s="1101">
        <v>0</v>
      </c>
      <c r="AM205" s="543"/>
      <c r="AN205" s="596"/>
      <c r="AO205" s="1101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3" t="s">
        <v>42</v>
      </c>
      <c r="C206" s="543"/>
      <c r="D206" s="596"/>
      <c r="E206" s="1080">
        <f t="shared" si="30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>
        <v>0</v>
      </c>
      <c r="AG206" s="543"/>
      <c r="AH206" s="596"/>
      <c r="AI206" s="1101">
        <v>0</v>
      </c>
      <c r="AJ206" s="543"/>
      <c r="AK206" s="596"/>
      <c r="AL206" s="1101">
        <v>0</v>
      </c>
      <c r="AM206" s="543"/>
      <c r="AN206" s="596"/>
      <c r="AO206" s="1101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3" t="s">
        <v>42</v>
      </c>
      <c r="C207" s="543"/>
      <c r="D207" s="596"/>
      <c r="E207" s="1080">
        <f t="shared" si="30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>
        <v>0</v>
      </c>
      <c r="AG207" s="543"/>
      <c r="AH207" s="596"/>
      <c r="AI207" s="1101">
        <v>0</v>
      </c>
      <c r="AJ207" s="543"/>
      <c r="AK207" s="596"/>
      <c r="AL207" s="1101">
        <v>0</v>
      </c>
      <c r="AM207" s="543"/>
      <c r="AN207" s="596"/>
      <c r="AO207" s="1101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">
      <c r="A208" s="533" t="str">
        <f t="shared" si="28"/>
        <v>ServiceSalaires en absences</v>
      </c>
      <c r="B208" s="1114" t="s">
        <v>113</v>
      </c>
      <c r="C208" s="543"/>
      <c r="D208" s="596"/>
      <c r="E208" s="1080">
        <f t="shared" si="30"/>
        <v>116044.52000000002</v>
      </c>
      <c r="F208" s="543"/>
      <c r="G208" s="596"/>
      <c r="H208" s="1101">
        <v>11499.54</v>
      </c>
      <c r="I208" s="543"/>
      <c r="J208" s="596"/>
      <c r="K208" s="1101">
        <v>5023.3599999999997</v>
      </c>
      <c r="L208" s="543"/>
      <c r="M208" s="596"/>
      <c r="N208" s="1101">
        <v>6322.68</v>
      </c>
      <c r="O208" s="543"/>
      <c r="P208" s="596"/>
      <c r="Q208" s="1101">
        <v>10475.219999999999</v>
      </c>
      <c r="R208" s="543"/>
      <c r="S208" s="596"/>
      <c r="T208" s="1101">
        <v>9765.11</v>
      </c>
      <c r="U208" s="543"/>
      <c r="V208" s="596"/>
      <c r="W208" s="1101">
        <v>13496.62</v>
      </c>
      <c r="X208" s="543"/>
      <c r="Y208" s="596"/>
      <c r="Z208" s="1101">
        <v>13922.95</v>
      </c>
      <c r="AA208" s="543"/>
      <c r="AB208" s="596"/>
      <c r="AC208" s="1101">
        <v>7342.35</v>
      </c>
      <c r="AD208" s="543"/>
      <c r="AE208" s="596"/>
      <c r="AF208" s="1101">
        <v>11665.44</v>
      </c>
      <c r="AG208" s="543"/>
      <c r="AH208" s="596"/>
      <c r="AI208" s="1101">
        <v>9358.86</v>
      </c>
      <c r="AJ208" s="543"/>
      <c r="AK208" s="596"/>
      <c r="AL208" s="1101">
        <v>5519.87</v>
      </c>
      <c r="AM208" s="543"/>
      <c r="AN208" s="596"/>
      <c r="AO208" s="1101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">
      <c r="A209" s="533" t="str">
        <f t="shared" si="28"/>
        <v>ServiceDéduction à la source</v>
      </c>
      <c r="B209" s="1113" t="s">
        <v>114</v>
      </c>
      <c r="C209" s="1115"/>
      <c r="D209" s="1116"/>
      <c r="E209" s="1117">
        <f t="shared" si="30"/>
        <v>155115.19999999998</v>
      </c>
      <c r="F209" s="1115"/>
      <c r="G209" s="1116"/>
      <c r="H209" s="1118">
        <v>12631.23</v>
      </c>
      <c r="I209" s="1115"/>
      <c r="J209" s="1116"/>
      <c r="K209" s="1118">
        <v>10435.459999999999</v>
      </c>
      <c r="L209" s="1115"/>
      <c r="M209" s="1116"/>
      <c r="N209" s="1118">
        <v>11584.37</v>
      </c>
      <c r="O209" s="1115"/>
      <c r="P209" s="1116"/>
      <c r="Q209" s="1118">
        <v>15236.5</v>
      </c>
      <c r="R209" s="1115"/>
      <c r="S209" s="1116"/>
      <c r="T209" s="1118">
        <v>15455.73</v>
      </c>
      <c r="U209" s="1115"/>
      <c r="V209" s="1116"/>
      <c r="W209" s="1118">
        <v>13675</v>
      </c>
      <c r="X209" s="1115"/>
      <c r="Y209" s="1116"/>
      <c r="Z209" s="1118">
        <v>15432.49</v>
      </c>
      <c r="AA209" s="1115"/>
      <c r="AB209" s="1116"/>
      <c r="AC209" s="1118">
        <v>13527.81</v>
      </c>
      <c r="AD209" s="1115"/>
      <c r="AE209" s="1116"/>
      <c r="AF209" s="1118">
        <v>12106.42</v>
      </c>
      <c r="AG209" s="1115"/>
      <c r="AH209" s="1116"/>
      <c r="AI209" s="1118">
        <v>13294.95</v>
      </c>
      <c r="AJ209" s="1115"/>
      <c r="AK209" s="1116"/>
      <c r="AL209" s="1118">
        <v>10325.31</v>
      </c>
      <c r="AM209" s="1115"/>
      <c r="AN209" s="1116"/>
      <c r="AO209" s="1118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">
      <c r="A210" s="533" t="str">
        <f t="shared" si="28"/>
        <v>ServiceBénéfices marginaux</v>
      </c>
      <c r="B210" s="1119" t="s">
        <v>115</v>
      </c>
      <c r="C210" s="543"/>
      <c r="D210" s="596"/>
      <c r="E210" s="1080">
        <f t="shared" si="30"/>
        <v>70437.22</v>
      </c>
      <c r="F210" s="543"/>
      <c r="G210" s="596"/>
      <c r="H210" s="1101">
        <v>5414.88</v>
      </c>
      <c r="I210" s="543"/>
      <c r="J210" s="596"/>
      <c r="K210" s="1101">
        <v>4335.25</v>
      </c>
      <c r="L210" s="543"/>
      <c r="M210" s="596"/>
      <c r="N210" s="1101">
        <v>4498.51</v>
      </c>
      <c r="O210" s="543"/>
      <c r="P210" s="596"/>
      <c r="Q210" s="1101">
        <v>6154.09</v>
      </c>
      <c r="R210" s="543"/>
      <c r="S210" s="596"/>
      <c r="T210" s="1101">
        <v>6653.89</v>
      </c>
      <c r="U210" s="543"/>
      <c r="V210" s="596"/>
      <c r="W210" s="1101">
        <v>5750.48</v>
      </c>
      <c r="X210" s="543"/>
      <c r="Y210" s="596"/>
      <c r="Z210" s="1101">
        <v>6808.22</v>
      </c>
      <c r="AA210" s="543"/>
      <c r="AB210" s="596"/>
      <c r="AC210" s="1101">
        <v>6283.32</v>
      </c>
      <c r="AD210" s="543"/>
      <c r="AE210" s="596"/>
      <c r="AF210" s="1101">
        <v>6554</v>
      </c>
      <c r="AG210" s="543"/>
      <c r="AH210" s="596"/>
      <c r="AI210" s="1101">
        <v>6986.79</v>
      </c>
      <c r="AJ210" s="543"/>
      <c r="AK210" s="596"/>
      <c r="AL210" s="1101">
        <v>5948.95</v>
      </c>
      <c r="AM210" s="543"/>
      <c r="AN210" s="596"/>
      <c r="AO210" s="1101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">
      <c r="A211" s="533" t="str">
        <f t="shared" si="28"/>
        <v>ServiceCsst</v>
      </c>
      <c r="B211" s="1113" t="s">
        <v>116</v>
      </c>
      <c r="C211" s="543"/>
      <c r="D211" s="596"/>
      <c r="E211" s="1080">
        <f t="shared" si="30"/>
        <v>26206.68</v>
      </c>
      <c r="F211" s="543"/>
      <c r="G211" s="596"/>
      <c r="H211" s="1101">
        <v>1923</v>
      </c>
      <c r="I211" s="543"/>
      <c r="J211" s="596"/>
      <c r="K211" s="1101">
        <v>1508.89</v>
      </c>
      <c r="L211" s="543"/>
      <c r="M211" s="596"/>
      <c r="N211" s="1101">
        <v>1826.64</v>
      </c>
      <c r="O211" s="543"/>
      <c r="P211" s="596"/>
      <c r="Q211" s="1101">
        <v>2555.58</v>
      </c>
      <c r="R211" s="543"/>
      <c r="S211" s="596"/>
      <c r="T211" s="1101">
        <v>2353.08</v>
      </c>
      <c r="U211" s="543"/>
      <c r="V211" s="596"/>
      <c r="W211" s="1101">
        <v>2741.43</v>
      </c>
      <c r="X211" s="543"/>
      <c r="Y211" s="596"/>
      <c r="Z211" s="1101">
        <v>2737.99</v>
      </c>
      <c r="AA211" s="543"/>
      <c r="AB211" s="596"/>
      <c r="AC211" s="1101">
        <v>2148.3000000000002</v>
      </c>
      <c r="AD211" s="543"/>
      <c r="AE211" s="596"/>
      <c r="AF211" s="1101">
        <v>2007.56</v>
      </c>
      <c r="AG211" s="543"/>
      <c r="AH211" s="596"/>
      <c r="AI211" s="1101">
        <v>2048.4499999999998</v>
      </c>
      <c r="AJ211" s="543"/>
      <c r="AK211" s="596"/>
      <c r="AL211" s="1101">
        <v>1941.18</v>
      </c>
      <c r="AM211" s="543"/>
      <c r="AN211" s="596"/>
      <c r="AO211" s="1101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3" t="s">
        <v>42</v>
      </c>
      <c r="C212" s="601"/>
      <c r="D212" s="1120"/>
      <c r="E212" s="1103">
        <f t="shared" si="30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>
        <v>0</v>
      </c>
      <c r="AG212" s="601"/>
      <c r="AH212" s="1120"/>
      <c r="AI212" s="1103">
        <v>0</v>
      </c>
      <c r="AJ212" s="601"/>
      <c r="AK212" s="1120"/>
      <c r="AL212" s="1103">
        <v>0</v>
      </c>
      <c r="AM212" s="601"/>
      <c r="AN212" s="1120"/>
      <c r="AO212" s="1103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">
      <c r="A213" s="533" t="str">
        <f t="shared" si="28"/>
        <v>ServiceTOTAL PERSONNEL</v>
      </c>
      <c r="B213" s="1106" t="s">
        <v>117</v>
      </c>
      <c r="C213" s="1107" t="s">
        <v>162</v>
      </c>
      <c r="D213" s="1108">
        <f>IFERROR(E213/E$197,0)</f>
        <v>0.57722338918996408</v>
      </c>
      <c r="E213" s="1109">
        <f>+SUM(E201:E212)</f>
        <v>839995.09</v>
      </c>
      <c r="F213" s="1110" t="s">
        <v>162</v>
      </c>
      <c r="G213" s="1111">
        <v>0</v>
      </c>
      <c r="H213" s="1112">
        <v>64795.48</v>
      </c>
      <c r="I213" s="1110" t="s">
        <v>162</v>
      </c>
      <c r="J213" s="1111">
        <v>0</v>
      </c>
      <c r="K213" s="1112">
        <v>60439.39</v>
      </c>
      <c r="L213" s="1110" t="s">
        <v>162</v>
      </c>
      <c r="M213" s="1111">
        <v>0</v>
      </c>
      <c r="N213" s="1112">
        <v>64432.770000000004</v>
      </c>
      <c r="O213" s="1110" t="s">
        <v>162</v>
      </c>
      <c r="P213" s="1111">
        <v>0</v>
      </c>
      <c r="Q213" s="1112">
        <v>79981.17</v>
      </c>
      <c r="R213" s="1110" t="s">
        <v>162</v>
      </c>
      <c r="S213" s="1111">
        <v>0</v>
      </c>
      <c r="T213" s="1112">
        <v>78782.66</v>
      </c>
      <c r="U213" s="1110" t="s">
        <v>162</v>
      </c>
      <c r="V213" s="1111">
        <v>0</v>
      </c>
      <c r="W213" s="1112">
        <v>74098.37999999999</v>
      </c>
      <c r="X213" s="1110" t="s">
        <v>162</v>
      </c>
      <c r="Y213" s="1111">
        <v>0</v>
      </c>
      <c r="Z213" s="1112">
        <v>76763.66</v>
      </c>
      <c r="AA213" s="1110" t="s">
        <v>162</v>
      </c>
      <c r="AB213" s="1111">
        <v>0</v>
      </c>
      <c r="AC213" s="1112">
        <v>65727.61</v>
      </c>
      <c r="AD213" s="1110" t="s">
        <v>162</v>
      </c>
      <c r="AE213" s="1111">
        <v>0.65260773498166191</v>
      </c>
      <c r="AF213" s="1112">
        <v>67566.28</v>
      </c>
      <c r="AG213" s="1110" t="s">
        <v>162</v>
      </c>
      <c r="AH213" s="1111">
        <v>0.5348549239396021</v>
      </c>
      <c r="AI213" s="1112">
        <v>74081.51999999999</v>
      </c>
      <c r="AJ213" s="1110" t="s">
        <v>162</v>
      </c>
      <c r="AK213" s="1111">
        <v>0.43617637128377129</v>
      </c>
      <c r="AL213" s="1112">
        <v>70289.939999999988</v>
      </c>
      <c r="AM213" s="1110" t="s">
        <v>162</v>
      </c>
      <c r="AN213" s="1111">
        <v>0.94278744659673619</v>
      </c>
      <c r="AO213" s="1112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">
      <c r="A214" s="533" t="str">
        <f t="shared" si="28"/>
        <v>ServicePublicité 2</v>
      </c>
      <c r="B214" s="743" t="s">
        <v>118</v>
      </c>
      <c r="C214" s="543"/>
      <c r="D214" s="596"/>
      <c r="E214" s="1080">
        <f t="shared" si="30"/>
        <v>81781.36</v>
      </c>
      <c r="F214" s="543"/>
      <c r="G214" s="596"/>
      <c r="H214" s="1101">
        <v>4804.29</v>
      </c>
      <c r="I214" s="543"/>
      <c r="J214" s="596"/>
      <c r="K214" s="1101">
        <v>6458.72</v>
      </c>
      <c r="L214" s="543"/>
      <c r="M214" s="596"/>
      <c r="N214" s="1101">
        <v>6685.66</v>
      </c>
      <c r="O214" s="543"/>
      <c r="P214" s="596"/>
      <c r="Q214" s="1101">
        <v>9394.91</v>
      </c>
      <c r="R214" s="543"/>
      <c r="S214" s="596"/>
      <c r="T214" s="1101">
        <v>5952.71</v>
      </c>
      <c r="U214" s="543"/>
      <c r="V214" s="596"/>
      <c r="W214" s="1101">
        <v>4428.6099999999997</v>
      </c>
      <c r="X214" s="543"/>
      <c r="Y214" s="596"/>
      <c r="Z214" s="1101">
        <v>4692.8500000000004</v>
      </c>
      <c r="AA214" s="543"/>
      <c r="AB214" s="596"/>
      <c r="AC214" s="1101">
        <v>5186.6499999999996</v>
      </c>
      <c r="AD214" s="543"/>
      <c r="AE214" s="596"/>
      <c r="AF214" s="1101">
        <v>3646.98</v>
      </c>
      <c r="AG214" s="543"/>
      <c r="AH214" s="596"/>
      <c r="AI214" s="1101">
        <v>14052.77</v>
      </c>
      <c r="AJ214" s="543"/>
      <c r="AK214" s="596"/>
      <c r="AL214" s="1101">
        <v>15095.15</v>
      </c>
      <c r="AM214" s="543"/>
      <c r="AN214" s="596"/>
      <c r="AO214" s="1101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">
      <c r="A215" s="533" t="str">
        <f t="shared" si="28"/>
        <v>ServiceService gratuit 2</v>
      </c>
      <c r="B215" s="743" t="s">
        <v>119</v>
      </c>
      <c r="C215" s="543"/>
      <c r="D215" s="596"/>
      <c r="E215" s="1080">
        <f t="shared" si="30"/>
        <v>38037.480000000003</v>
      </c>
      <c r="F215" s="543"/>
      <c r="G215" s="596"/>
      <c r="H215" s="1101">
        <v>1007.42</v>
      </c>
      <c r="I215" s="543"/>
      <c r="J215" s="596"/>
      <c r="K215" s="1101">
        <v>2697.76</v>
      </c>
      <c r="L215" s="543"/>
      <c r="M215" s="596"/>
      <c r="N215" s="1101">
        <v>2768.39</v>
      </c>
      <c r="O215" s="543"/>
      <c r="P215" s="596"/>
      <c r="Q215" s="1101">
        <v>3250.11</v>
      </c>
      <c r="R215" s="543"/>
      <c r="S215" s="596"/>
      <c r="T215" s="1101">
        <v>3195.41</v>
      </c>
      <c r="U215" s="543"/>
      <c r="V215" s="596"/>
      <c r="W215" s="1101">
        <v>6361.04</v>
      </c>
      <c r="X215" s="543"/>
      <c r="Y215" s="596"/>
      <c r="Z215" s="1101">
        <v>4203.25</v>
      </c>
      <c r="AA215" s="543"/>
      <c r="AB215" s="596"/>
      <c r="AC215" s="1101">
        <v>2993.26</v>
      </c>
      <c r="AD215" s="543"/>
      <c r="AE215" s="596"/>
      <c r="AF215" s="1101">
        <v>2839.97</v>
      </c>
      <c r="AG215" s="543"/>
      <c r="AH215" s="596"/>
      <c r="AI215" s="1101">
        <v>2172.25</v>
      </c>
      <c r="AJ215" s="543"/>
      <c r="AK215" s="596"/>
      <c r="AL215" s="1101">
        <v>5473.3899999999994</v>
      </c>
      <c r="AM215" s="543"/>
      <c r="AN215" s="596"/>
      <c r="AO215" s="1101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">
      <c r="A216" s="533" t="str">
        <f t="shared" si="28"/>
        <v>ServiceFrais véhicules de cie</v>
      </c>
      <c r="B216" s="747" t="s">
        <v>120</v>
      </c>
      <c r="C216" s="601"/>
      <c r="D216" s="1120"/>
      <c r="E216" s="1103">
        <f t="shared" si="30"/>
        <v>68936.5</v>
      </c>
      <c r="F216" s="601"/>
      <c r="G216" s="1120"/>
      <c r="H216" s="1105">
        <v>3855.67</v>
      </c>
      <c r="I216" s="601"/>
      <c r="J216" s="1120"/>
      <c r="K216" s="1105">
        <v>5947.23</v>
      </c>
      <c r="L216" s="601"/>
      <c r="M216" s="1120"/>
      <c r="N216" s="1105">
        <v>6301.74</v>
      </c>
      <c r="O216" s="601"/>
      <c r="P216" s="1120"/>
      <c r="Q216" s="1105">
        <v>6132.15</v>
      </c>
      <c r="R216" s="601"/>
      <c r="S216" s="1120"/>
      <c r="T216" s="1105">
        <v>8136.62</v>
      </c>
      <c r="U216" s="601"/>
      <c r="V216" s="1120"/>
      <c r="W216" s="1105">
        <v>4629.1000000000004</v>
      </c>
      <c r="X216" s="601"/>
      <c r="Y216" s="1120"/>
      <c r="Z216" s="1105">
        <v>6466.99</v>
      </c>
      <c r="AA216" s="601"/>
      <c r="AB216" s="1120"/>
      <c r="AC216" s="1105">
        <v>6303.08</v>
      </c>
      <c r="AD216" s="601"/>
      <c r="AE216" s="1120"/>
      <c r="AF216" s="1105">
        <v>5632.89</v>
      </c>
      <c r="AG216" s="601"/>
      <c r="AH216" s="1120"/>
      <c r="AI216" s="1105">
        <v>5402.15</v>
      </c>
      <c r="AJ216" s="601"/>
      <c r="AK216" s="1120"/>
      <c r="AL216" s="1105">
        <v>7720</v>
      </c>
      <c r="AM216" s="601"/>
      <c r="AN216" s="1120"/>
      <c r="AO216" s="1105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">
      <c r="A217" s="533" t="str">
        <f t="shared" si="28"/>
        <v>ServiceInformatique</v>
      </c>
      <c r="B217" s="743" t="s">
        <v>121</v>
      </c>
      <c r="C217" s="543"/>
      <c r="D217" s="596"/>
      <c r="E217" s="1080">
        <f t="shared" si="30"/>
        <v>75313.95</v>
      </c>
      <c r="F217" s="543"/>
      <c r="G217" s="596"/>
      <c r="H217" s="1101">
        <v>5969.39</v>
      </c>
      <c r="I217" s="543"/>
      <c r="J217" s="596"/>
      <c r="K217" s="1101">
        <v>7590.95</v>
      </c>
      <c r="L217" s="543"/>
      <c r="M217" s="596"/>
      <c r="N217" s="1101">
        <v>6106.27</v>
      </c>
      <c r="O217" s="543"/>
      <c r="P217" s="596"/>
      <c r="Q217" s="1101">
        <v>5978.7</v>
      </c>
      <c r="R217" s="543"/>
      <c r="S217" s="596"/>
      <c r="T217" s="1101">
        <v>6275.57</v>
      </c>
      <c r="U217" s="543"/>
      <c r="V217" s="596"/>
      <c r="W217" s="1101">
        <v>5994.52</v>
      </c>
      <c r="X217" s="543"/>
      <c r="Y217" s="596"/>
      <c r="Z217" s="1101">
        <v>6092.24</v>
      </c>
      <c r="AA217" s="543"/>
      <c r="AB217" s="596"/>
      <c r="AC217" s="1101">
        <v>7044.76</v>
      </c>
      <c r="AD217" s="543"/>
      <c r="AE217" s="596"/>
      <c r="AF217" s="1101">
        <v>6173.99</v>
      </c>
      <c r="AG217" s="543"/>
      <c r="AH217" s="596"/>
      <c r="AI217" s="1101">
        <v>6052.64</v>
      </c>
      <c r="AJ217" s="543"/>
      <c r="AK217" s="596"/>
      <c r="AL217" s="1101">
        <v>5987.14</v>
      </c>
      <c r="AM217" s="543"/>
      <c r="AN217" s="596"/>
      <c r="AO217" s="1101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">
      <c r="A218" s="533" t="str">
        <f t="shared" si="28"/>
        <v>ServiceFrais de déplacement</v>
      </c>
      <c r="B218" s="743" t="s">
        <v>122</v>
      </c>
      <c r="C218" s="543"/>
      <c r="D218" s="596"/>
      <c r="E218" s="1080">
        <f t="shared" si="30"/>
        <v>10968.210000000001</v>
      </c>
      <c r="F218" s="543"/>
      <c r="G218" s="596"/>
      <c r="H218" s="1101">
        <v>386.06</v>
      </c>
      <c r="I218" s="543"/>
      <c r="J218" s="596"/>
      <c r="K218" s="1101">
        <v>1223.28</v>
      </c>
      <c r="L218" s="543"/>
      <c r="M218" s="596"/>
      <c r="N218" s="1101">
        <v>5675.77</v>
      </c>
      <c r="O218" s="543"/>
      <c r="P218" s="596"/>
      <c r="Q218" s="1101">
        <v>846.92</v>
      </c>
      <c r="R218" s="543"/>
      <c r="S218" s="596"/>
      <c r="T218" s="1101">
        <v>275.81</v>
      </c>
      <c r="U218" s="543"/>
      <c r="V218" s="596"/>
      <c r="W218" s="1101">
        <v>324.36</v>
      </c>
      <c r="X218" s="543"/>
      <c r="Y218" s="596"/>
      <c r="Z218" s="1101">
        <v>1258.22</v>
      </c>
      <c r="AA218" s="543"/>
      <c r="AB218" s="596"/>
      <c r="AC218" s="1101">
        <v>293.37</v>
      </c>
      <c r="AD218" s="543"/>
      <c r="AE218" s="596"/>
      <c r="AF218" s="1101">
        <v>-10.84</v>
      </c>
      <c r="AG218" s="543"/>
      <c r="AH218" s="596"/>
      <c r="AI218" s="1101">
        <v>-55.57</v>
      </c>
      <c r="AJ218" s="543"/>
      <c r="AK218" s="596"/>
      <c r="AL218" s="1101">
        <v>500.99</v>
      </c>
      <c r="AM218" s="543"/>
      <c r="AN218" s="596"/>
      <c r="AO218" s="1101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">
      <c r="A219" s="533" t="str">
        <f t="shared" si="28"/>
        <v>ServiceServices extérieurs</v>
      </c>
      <c r="B219" s="747" t="s">
        <v>123</v>
      </c>
      <c r="C219" s="601"/>
      <c r="D219" s="1120"/>
      <c r="E219" s="1103">
        <f t="shared" si="30"/>
        <v>33254.880000000005</v>
      </c>
      <c r="F219" s="601"/>
      <c r="G219" s="1120"/>
      <c r="H219" s="1105">
        <v>4544.5600000000004</v>
      </c>
      <c r="I219" s="601"/>
      <c r="J219" s="1120"/>
      <c r="K219" s="1105">
        <v>1847.31</v>
      </c>
      <c r="L219" s="601"/>
      <c r="M219" s="1120"/>
      <c r="N219" s="1105">
        <v>2992.04</v>
      </c>
      <c r="O219" s="601"/>
      <c r="P219" s="1120"/>
      <c r="Q219" s="1105">
        <v>2555.9899999999998</v>
      </c>
      <c r="R219" s="601"/>
      <c r="S219" s="1120"/>
      <c r="T219" s="1105">
        <v>2428.63</v>
      </c>
      <c r="U219" s="601"/>
      <c r="V219" s="1120"/>
      <c r="W219" s="1105">
        <v>1417.29</v>
      </c>
      <c r="X219" s="601"/>
      <c r="Y219" s="1120"/>
      <c r="Z219" s="1105">
        <v>2685.77</v>
      </c>
      <c r="AA219" s="601"/>
      <c r="AB219" s="1120"/>
      <c r="AC219" s="1105">
        <v>2038.99</v>
      </c>
      <c r="AD219" s="601"/>
      <c r="AE219" s="1120"/>
      <c r="AF219" s="1105">
        <v>3169.86</v>
      </c>
      <c r="AG219" s="601"/>
      <c r="AH219" s="1120"/>
      <c r="AI219" s="1105">
        <v>987.86</v>
      </c>
      <c r="AJ219" s="601"/>
      <c r="AK219" s="1120"/>
      <c r="AL219" s="1105">
        <v>2475.0100000000002</v>
      </c>
      <c r="AM219" s="601"/>
      <c r="AN219" s="1120"/>
      <c r="AO219" s="1105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">
      <c r="A220" s="533" t="str">
        <f t="shared" si="28"/>
        <v>ServiceFournitures d'atelier</v>
      </c>
      <c r="B220" s="743" t="s">
        <v>350</v>
      </c>
      <c r="C220" s="543"/>
      <c r="D220" s="596"/>
      <c r="E220" s="1080">
        <f t="shared" si="30"/>
        <v>0</v>
      </c>
      <c r="F220" s="543"/>
      <c r="G220" s="596"/>
      <c r="H220" s="1101">
        <v>0</v>
      </c>
      <c r="I220" s="543"/>
      <c r="J220" s="596"/>
      <c r="K220" s="1101">
        <v>0</v>
      </c>
      <c r="L220" s="543"/>
      <c r="M220" s="596"/>
      <c r="N220" s="1101">
        <v>0</v>
      </c>
      <c r="O220" s="543"/>
      <c r="P220" s="596"/>
      <c r="Q220" s="1101">
        <v>0</v>
      </c>
      <c r="R220" s="543"/>
      <c r="S220" s="596"/>
      <c r="T220" s="1101">
        <v>0</v>
      </c>
      <c r="U220" s="543"/>
      <c r="V220" s="596"/>
      <c r="W220" s="1101">
        <v>0</v>
      </c>
      <c r="X220" s="543"/>
      <c r="Y220" s="596"/>
      <c r="Z220" s="1101">
        <v>0</v>
      </c>
      <c r="AA220" s="543"/>
      <c r="AB220" s="596"/>
      <c r="AC220" s="1101">
        <v>0</v>
      </c>
      <c r="AD220" s="543"/>
      <c r="AE220" s="596"/>
      <c r="AF220" s="1101">
        <v>0</v>
      </c>
      <c r="AG220" s="543"/>
      <c r="AH220" s="596"/>
      <c r="AI220" s="1101">
        <v>0</v>
      </c>
      <c r="AJ220" s="543"/>
      <c r="AK220" s="596"/>
      <c r="AL220" s="1101">
        <v>0</v>
      </c>
      <c r="AM220" s="543"/>
      <c r="AN220" s="596"/>
      <c r="AO220" s="1101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">
      <c r="A221" s="533" t="str">
        <f t="shared" si="28"/>
        <v>ServiceFournitures autres</v>
      </c>
      <c r="B221" s="743" t="s">
        <v>124</v>
      </c>
      <c r="C221" s="543"/>
      <c r="D221" s="596"/>
      <c r="E221" s="1080">
        <f t="shared" si="30"/>
        <v>35076.86</v>
      </c>
      <c r="F221" s="543"/>
      <c r="G221" s="596"/>
      <c r="H221" s="1101">
        <v>834.73</v>
      </c>
      <c r="I221" s="543"/>
      <c r="J221" s="596"/>
      <c r="K221" s="1101">
        <v>3041.06</v>
      </c>
      <c r="L221" s="543"/>
      <c r="M221" s="596"/>
      <c r="N221" s="1101">
        <v>5169.72</v>
      </c>
      <c r="O221" s="543"/>
      <c r="P221" s="596"/>
      <c r="Q221" s="1101">
        <v>2310.04</v>
      </c>
      <c r="R221" s="543"/>
      <c r="S221" s="596"/>
      <c r="T221" s="1101">
        <v>2693.81</v>
      </c>
      <c r="U221" s="543"/>
      <c r="V221" s="596"/>
      <c r="W221" s="1101">
        <v>3555.28</v>
      </c>
      <c r="X221" s="543"/>
      <c r="Y221" s="596"/>
      <c r="Z221" s="1101">
        <v>1862.54</v>
      </c>
      <c r="AA221" s="543"/>
      <c r="AB221" s="596"/>
      <c r="AC221" s="1101">
        <v>3473.35</v>
      </c>
      <c r="AD221" s="543"/>
      <c r="AE221" s="596"/>
      <c r="AF221" s="1101">
        <v>2667.5</v>
      </c>
      <c r="AG221" s="543"/>
      <c r="AH221" s="596"/>
      <c r="AI221" s="1101">
        <v>4269.1499999999996</v>
      </c>
      <c r="AJ221" s="543"/>
      <c r="AK221" s="596"/>
      <c r="AL221" s="1101">
        <v>3462.69</v>
      </c>
      <c r="AM221" s="543"/>
      <c r="AN221" s="596"/>
      <c r="AO221" s="1101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">
      <c r="A222" s="533" t="str">
        <f t="shared" si="28"/>
        <v>ServiceUniformes</v>
      </c>
      <c r="B222" s="743" t="s">
        <v>125</v>
      </c>
      <c r="C222" s="543"/>
      <c r="D222" s="596"/>
      <c r="E222" s="1080">
        <f t="shared" si="30"/>
        <v>14997.280000000002</v>
      </c>
      <c r="F222" s="543"/>
      <c r="G222" s="596"/>
      <c r="H222" s="1101">
        <v>1898.07</v>
      </c>
      <c r="I222" s="543"/>
      <c r="J222" s="596"/>
      <c r="K222" s="1101">
        <v>1193.76</v>
      </c>
      <c r="L222" s="543"/>
      <c r="M222" s="596"/>
      <c r="N222" s="1101">
        <v>1708.35</v>
      </c>
      <c r="O222" s="543"/>
      <c r="P222" s="596"/>
      <c r="Q222" s="1101">
        <v>1706.96</v>
      </c>
      <c r="R222" s="543"/>
      <c r="S222" s="596"/>
      <c r="T222" s="1101">
        <v>801.81</v>
      </c>
      <c r="U222" s="543"/>
      <c r="V222" s="596"/>
      <c r="W222" s="1101">
        <v>478.84</v>
      </c>
      <c r="X222" s="543"/>
      <c r="Y222" s="596"/>
      <c r="Z222" s="1101">
        <v>903.4</v>
      </c>
      <c r="AA222" s="543"/>
      <c r="AB222" s="596"/>
      <c r="AC222" s="1101">
        <v>459.52</v>
      </c>
      <c r="AD222" s="543"/>
      <c r="AE222" s="596"/>
      <c r="AF222" s="1101">
        <v>1680.6</v>
      </c>
      <c r="AG222" s="543"/>
      <c r="AH222" s="596"/>
      <c r="AI222" s="1101">
        <v>897.7</v>
      </c>
      <c r="AJ222" s="543"/>
      <c r="AK222" s="596"/>
      <c r="AL222" s="1101">
        <v>2583.73</v>
      </c>
      <c r="AM222" s="543"/>
      <c r="AN222" s="596"/>
      <c r="AO222" s="1101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">
      <c r="A223" s="533" t="str">
        <f t="shared" si="28"/>
        <v>ServicePapeterie</v>
      </c>
      <c r="B223" s="743" t="s">
        <v>126</v>
      </c>
      <c r="C223" s="543"/>
      <c r="D223" s="596"/>
      <c r="E223" s="1080">
        <f t="shared" si="30"/>
        <v>6019.2000000000007</v>
      </c>
      <c r="F223" s="543"/>
      <c r="G223" s="596"/>
      <c r="H223" s="1101">
        <v>148.78</v>
      </c>
      <c r="I223" s="543"/>
      <c r="J223" s="596"/>
      <c r="K223" s="1101">
        <v>663.76</v>
      </c>
      <c r="L223" s="543"/>
      <c r="M223" s="596"/>
      <c r="N223" s="1101">
        <v>265.63</v>
      </c>
      <c r="O223" s="543"/>
      <c r="P223" s="596"/>
      <c r="Q223" s="1101">
        <v>548.49</v>
      </c>
      <c r="R223" s="543"/>
      <c r="S223" s="596"/>
      <c r="T223" s="1101">
        <v>555</v>
      </c>
      <c r="U223" s="543"/>
      <c r="V223" s="596"/>
      <c r="W223" s="1101">
        <v>1097.3900000000001</v>
      </c>
      <c r="X223" s="543"/>
      <c r="Y223" s="596"/>
      <c r="Z223" s="1101">
        <v>686.18</v>
      </c>
      <c r="AA223" s="543"/>
      <c r="AB223" s="596"/>
      <c r="AC223" s="1101">
        <v>706.86</v>
      </c>
      <c r="AD223" s="543"/>
      <c r="AE223" s="596"/>
      <c r="AF223" s="1101">
        <v>559.76</v>
      </c>
      <c r="AG223" s="543"/>
      <c r="AH223" s="596"/>
      <c r="AI223" s="1101">
        <v>288.31</v>
      </c>
      <c r="AJ223" s="543"/>
      <c r="AK223" s="596"/>
      <c r="AL223" s="1101">
        <v>339.49</v>
      </c>
      <c r="AM223" s="543"/>
      <c r="AN223" s="596"/>
      <c r="AO223" s="1101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">
      <c r="A224" s="533" t="str">
        <f t="shared" si="28"/>
        <v>ServiceTéléphone</v>
      </c>
      <c r="B224" s="743" t="s">
        <v>127</v>
      </c>
      <c r="C224" s="543"/>
      <c r="D224" s="596"/>
      <c r="E224" s="1080">
        <f t="shared" si="30"/>
        <v>1930.5200000000002</v>
      </c>
      <c r="F224" s="543"/>
      <c r="G224" s="596"/>
      <c r="H224" s="1101">
        <v>308.58</v>
      </c>
      <c r="I224" s="543"/>
      <c r="J224" s="596"/>
      <c r="K224" s="1101">
        <v>194.29</v>
      </c>
      <c r="L224" s="543"/>
      <c r="M224" s="596"/>
      <c r="N224" s="1101">
        <v>325.26</v>
      </c>
      <c r="O224" s="543"/>
      <c r="P224" s="596"/>
      <c r="Q224" s="1101">
        <v>114.1</v>
      </c>
      <c r="R224" s="543"/>
      <c r="S224" s="596"/>
      <c r="T224" s="1101">
        <v>122.83</v>
      </c>
      <c r="U224" s="543"/>
      <c r="V224" s="596"/>
      <c r="W224" s="1101">
        <v>106.68</v>
      </c>
      <c r="X224" s="543"/>
      <c r="Y224" s="596"/>
      <c r="Z224" s="1101">
        <v>107.64</v>
      </c>
      <c r="AA224" s="543"/>
      <c r="AB224" s="596"/>
      <c r="AC224" s="1101">
        <v>114.26</v>
      </c>
      <c r="AD224" s="543"/>
      <c r="AE224" s="596"/>
      <c r="AF224" s="1101">
        <v>105.66</v>
      </c>
      <c r="AG224" s="543"/>
      <c r="AH224" s="596"/>
      <c r="AI224" s="1101">
        <v>113.04</v>
      </c>
      <c r="AJ224" s="543"/>
      <c r="AK224" s="596"/>
      <c r="AL224" s="1101">
        <v>118.53</v>
      </c>
      <c r="AM224" s="543"/>
      <c r="AN224" s="596"/>
      <c r="AO224" s="1101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">
      <c r="A225" s="533" t="str">
        <f t="shared" si="28"/>
        <v>ServiceFrais postaux</v>
      </c>
      <c r="B225" s="743" t="s">
        <v>128</v>
      </c>
      <c r="C225" s="543"/>
      <c r="D225" s="596"/>
      <c r="E225" s="1080">
        <f t="shared" si="30"/>
        <v>1689.7100000000003</v>
      </c>
      <c r="F225" s="543"/>
      <c r="G225" s="596"/>
      <c r="H225" s="1101">
        <v>456.5</v>
      </c>
      <c r="I225" s="543"/>
      <c r="J225" s="596"/>
      <c r="K225" s="1101">
        <v>84.59</v>
      </c>
      <c r="L225" s="543"/>
      <c r="M225" s="596"/>
      <c r="N225" s="1101">
        <v>47.16</v>
      </c>
      <c r="O225" s="543"/>
      <c r="P225" s="596"/>
      <c r="Q225" s="1101">
        <v>170.36</v>
      </c>
      <c r="R225" s="543"/>
      <c r="S225" s="596"/>
      <c r="T225" s="1101">
        <v>107.17</v>
      </c>
      <c r="U225" s="543"/>
      <c r="V225" s="596"/>
      <c r="W225" s="1101">
        <v>18.25</v>
      </c>
      <c r="X225" s="543"/>
      <c r="Y225" s="596"/>
      <c r="Z225" s="1101">
        <v>27.37</v>
      </c>
      <c r="AA225" s="543"/>
      <c r="AB225" s="596"/>
      <c r="AC225" s="1101">
        <v>359.98</v>
      </c>
      <c r="AD225" s="543"/>
      <c r="AE225" s="596"/>
      <c r="AF225" s="1101">
        <v>205.11</v>
      </c>
      <c r="AG225" s="543"/>
      <c r="AH225" s="596"/>
      <c r="AI225" s="1101">
        <v>56.23</v>
      </c>
      <c r="AJ225" s="543"/>
      <c r="AK225" s="596"/>
      <c r="AL225" s="1101">
        <v>43.25</v>
      </c>
      <c r="AM225" s="543"/>
      <c r="AN225" s="596"/>
      <c r="AO225" s="1101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">
      <c r="A226" s="533" t="str">
        <f t="shared" si="28"/>
        <v>ServiceDivers</v>
      </c>
      <c r="B226" s="743" t="s">
        <v>129</v>
      </c>
      <c r="C226" s="543"/>
      <c r="D226" s="596"/>
      <c r="E226" s="1080">
        <f t="shared" si="30"/>
        <v>9239.4800000000014</v>
      </c>
      <c r="F226" s="543"/>
      <c r="G226" s="596"/>
      <c r="H226" s="1101">
        <v>379</v>
      </c>
      <c r="I226" s="543"/>
      <c r="J226" s="596"/>
      <c r="K226" s="1101">
        <v>379</v>
      </c>
      <c r="L226" s="543"/>
      <c r="M226" s="596"/>
      <c r="N226" s="1101">
        <v>386.36</v>
      </c>
      <c r="O226" s="543"/>
      <c r="P226" s="596"/>
      <c r="Q226" s="1101">
        <v>379</v>
      </c>
      <c r="R226" s="543"/>
      <c r="S226" s="596"/>
      <c r="T226" s="1101">
        <v>1481.5</v>
      </c>
      <c r="U226" s="543"/>
      <c r="V226" s="596"/>
      <c r="W226" s="1101">
        <v>2015.27</v>
      </c>
      <c r="X226" s="543"/>
      <c r="Y226" s="596"/>
      <c r="Z226" s="1101">
        <v>1481.5</v>
      </c>
      <c r="AA226" s="543"/>
      <c r="AB226" s="596"/>
      <c r="AC226" s="1101">
        <v>1844.65</v>
      </c>
      <c r="AD226" s="543"/>
      <c r="AE226" s="596"/>
      <c r="AF226" s="1101">
        <v>423.07</v>
      </c>
      <c r="AG226" s="543"/>
      <c r="AH226" s="596"/>
      <c r="AI226" s="1101">
        <v>138.26</v>
      </c>
      <c r="AJ226" s="543"/>
      <c r="AK226" s="596"/>
      <c r="AL226" s="1101">
        <v>331.87</v>
      </c>
      <c r="AM226" s="543"/>
      <c r="AN226" s="596"/>
      <c r="AO226" s="1101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">
      <c r="A227" s="533" t="str">
        <f t="shared" si="28"/>
        <v>ServiceFormation</v>
      </c>
      <c r="B227" s="743" t="s">
        <v>130</v>
      </c>
      <c r="C227" s="543"/>
      <c r="D227" s="596"/>
      <c r="E227" s="1080">
        <f t="shared" si="30"/>
        <v>17447.870000000003</v>
      </c>
      <c r="F227" s="543"/>
      <c r="G227" s="596"/>
      <c r="H227" s="1101">
        <v>3186.4</v>
      </c>
      <c r="I227" s="543"/>
      <c r="J227" s="596"/>
      <c r="K227" s="1101">
        <v>2267.85</v>
      </c>
      <c r="L227" s="543"/>
      <c r="M227" s="596"/>
      <c r="N227" s="1101">
        <v>1629.41</v>
      </c>
      <c r="O227" s="543"/>
      <c r="P227" s="596"/>
      <c r="Q227" s="1101">
        <v>1632.11</v>
      </c>
      <c r="R227" s="543"/>
      <c r="S227" s="596"/>
      <c r="T227" s="1101">
        <v>1729.49</v>
      </c>
      <c r="U227" s="543"/>
      <c r="V227" s="596"/>
      <c r="W227" s="1101">
        <v>1374.52</v>
      </c>
      <c r="X227" s="543"/>
      <c r="Y227" s="596"/>
      <c r="Z227" s="1101">
        <v>1295.19</v>
      </c>
      <c r="AA227" s="543"/>
      <c r="AB227" s="596"/>
      <c r="AC227" s="1101">
        <v>2007.36</v>
      </c>
      <c r="AD227" s="543"/>
      <c r="AE227" s="596"/>
      <c r="AF227" s="1101">
        <v>1191.3399999999999</v>
      </c>
      <c r="AG227" s="543"/>
      <c r="AH227" s="596"/>
      <c r="AI227" s="1101">
        <v>-788.11</v>
      </c>
      <c r="AJ227" s="543"/>
      <c r="AK227" s="596"/>
      <c r="AL227" s="1101">
        <v>1048.1300000000001</v>
      </c>
      <c r="AM227" s="543"/>
      <c r="AN227" s="596"/>
      <c r="AO227" s="1101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">
      <c r="A228" s="533" t="str">
        <f t="shared" si="28"/>
        <v>ServiceFrais bancaires</v>
      </c>
      <c r="B228" s="743" t="s">
        <v>131</v>
      </c>
      <c r="C228" s="543"/>
      <c r="D228" s="596"/>
      <c r="E228" s="1080">
        <f t="shared" si="30"/>
        <v>19404.02</v>
      </c>
      <c r="F228" s="543"/>
      <c r="G228" s="596"/>
      <c r="H228" s="1101">
        <v>1089.42</v>
      </c>
      <c r="I228" s="543"/>
      <c r="J228" s="596"/>
      <c r="K228" s="1101">
        <v>855.55</v>
      </c>
      <c r="L228" s="543"/>
      <c r="M228" s="596"/>
      <c r="N228" s="1101">
        <v>1672.96</v>
      </c>
      <c r="O228" s="543"/>
      <c r="P228" s="596"/>
      <c r="Q228" s="1101">
        <v>2486.62</v>
      </c>
      <c r="R228" s="543"/>
      <c r="S228" s="596"/>
      <c r="T228" s="1101">
        <v>2438.04</v>
      </c>
      <c r="U228" s="543"/>
      <c r="V228" s="596"/>
      <c r="W228" s="1101">
        <v>1463.43</v>
      </c>
      <c r="X228" s="543"/>
      <c r="Y228" s="596"/>
      <c r="Z228" s="1101">
        <v>1672.3</v>
      </c>
      <c r="AA228" s="543"/>
      <c r="AB228" s="596"/>
      <c r="AC228" s="1101">
        <v>1575.51</v>
      </c>
      <c r="AD228" s="543"/>
      <c r="AE228" s="596"/>
      <c r="AF228" s="1101">
        <v>845.77</v>
      </c>
      <c r="AG228" s="543"/>
      <c r="AH228" s="596"/>
      <c r="AI228" s="1101">
        <v>1521.55</v>
      </c>
      <c r="AJ228" s="543"/>
      <c r="AK228" s="596"/>
      <c r="AL228" s="1101">
        <v>2504.06</v>
      </c>
      <c r="AM228" s="543"/>
      <c r="AN228" s="596"/>
      <c r="AO228" s="1101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3" t="s">
        <v>42</v>
      </c>
      <c r="C229" s="543"/>
      <c r="D229" s="596"/>
      <c r="E229" s="1080">
        <f t="shared" si="30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>
        <v>0</v>
      </c>
      <c r="AG229" s="543"/>
      <c r="AH229" s="596"/>
      <c r="AI229" s="1080">
        <v>0</v>
      </c>
      <c r="AJ229" s="543"/>
      <c r="AK229" s="596"/>
      <c r="AL229" s="1080">
        <v>0</v>
      </c>
      <c r="AM229" s="543"/>
      <c r="AN229" s="596"/>
      <c r="AO229" s="1080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3" t="s">
        <v>42</v>
      </c>
      <c r="C230" s="543"/>
      <c r="D230" s="596"/>
      <c r="E230" s="1080">
        <f t="shared" si="30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>
        <v>0</v>
      </c>
      <c r="AG230" s="543"/>
      <c r="AH230" s="596"/>
      <c r="AI230" s="1080">
        <v>0</v>
      </c>
      <c r="AJ230" s="543"/>
      <c r="AK230" s="596"/>
      <c r="AL230" s="1080">
        <v>0</v>
      </c>
      <c r="AM230" s="543"/>
      <c r="AN230" s="596"/>
      <c r="AO230" s="1080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3" t="s">
        <v>42</v>
      </c>
      <c r="C231" s="543"/>
      <c r="D231" s="596"/>
      <c r="E231" s="1080">
        <f t="shared" si="30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>
        <v>0</v>
      </c>
      <c r="AG231" s="543"/>
      <c r="AH231" s="596"/>
      <c r="AI231" s="1080">
        <v>0</v>
      </c>
      <c r="AJ231" s="543"/>
      <c r="AK231" s="596"/>
      <c r="AL231" s="1080">
        <v>0</v>
      </c>
      <c r="AM231" s="543"/>
      <c r="AN231" s="596"/>
      <c r="AO231" s="1080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">
      <c r="A232" s="533" t="str">
        <f t="shared" si="28"/>
        <v>ServiceTOTAL SEMI-FIXES</v>
      </c>
      <c r="B232" s="1106" t="s">
        <v>132</v>
      </c>
      <c r="C232" s="1107" t="s">
        <v>162</v>
      </c>
      <c r="D232" s="1108">
        <f>IFERROR(E232/E$197,0)</f>
        <v>0.28455720914378335</v>
      </c>
      <c r="E232" s="1109">
        <f>+SUM(E214:E231)</f>
        <v>414097.32000000007</v>
      </c>
      <c r="F232" s="1110" t="s">
        <v>162</v>
      </c>
      <c r="G232" s="1111">
        <v>0</v>
      </c>
      <c r="H232" s="1112">
        <v>28868.870000000003</v>
      </c>
      <c r="I232" s="1110" t="s">
        <v>162</v>
      </c>
      <c r="J232" s="1111">
        <v>0</v>
      </c>
      <c r="K232" s="1112">
        <v>34445.11</v>
      </c>
      <c r="L232" s="1110" t="s">
        <v>162</v>
      </c>
      <c r="M232" s="1111">
        <v>0</v>
      </c>
      <c r="N232" s="1112">
        <v>41734.720000000001</v>
      </c>
      <c r="O232" s="1110" t="s">
        <v>162</v>
      </c>
      <c r="P232" s="1111">
        <v>0</v>
      </c>
      <c r="Q232" s="1112">
        <v>37506.460000000006</v>
      </c>
      <c r="R232" s="1110" t="s">
        <v>162</v>
      </c>
      <c r="S232" s="1111">
        <v>0</v>
      </c>
      <c r="T232" s="1112">
        <v>36194.400000000001</v>
      </c>
      <c r="U232" s="1110" t="s">
        <v>162</v>
      </c>
      <c r="V232" s="1111">
        <v>0</v>
      </c>
      <c r="W232" s="1112">
        <v>33264.58</v>
      </c>
      <c r="X232" s="1110" t="s">
        <v>162</v>
      </c>
      <c r="Y232" s="1111">
        <v>0</v>
      </c>
      <c r="Z232" s="1112">
        <v>33435.440000000002</v>
      </c>
      <c r="AA232" s="1110" t="s">
        <v>162</v>
      </c>
      <c r="AB232" s="1111">
        <v>0</v>
      </c>
      <c r="AC232" s="1112">
        <v>34401.599999999999</v>
      </c>
      <c r="AD232" s="1110" t="s">
        <v>162</v>
      </c>
      <c r="AE232" s="1111">
        <v>0.28137625230893104</v>
      </c>
      <c r="AF232" s="1112">
        <v>29131.66</v>
      </c>
      <c r="AG232" s="1110" t="s">
        <v>162</v>
      </c>
      <c r="AH232" s="1111">
        <v>0.25347495146298377</v>
      </c>
      <c r="AI232" s="1112">
        <v>35108.230000000003</v>
      </c>
      <c r="AJ232" s="1110" t="s">
        <v>162</v>
      </c>
      <c r="AK232" s="1111">
        <v>0.29589419862591609</v>
      </c>
      <c r="AL232" s="1112">
        <v>47683.43</v>
      </c>
      <c r="AM232" s="1110" t="s">
        <v>162</v>
      </c>
      <c r="AN232" s="1111">
        <v>0.33386632526467014</v>
      </c>
      <c r="AO232" s="1112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">
      <c r="A233" s="533" t="str">
        <f t="shared" si="28"/>
        <v>Service</v>
      </c>
      <c r="B233" s="747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">
      <c r="A234" s="533" t="str">
        <f t="shared" si="28"/>
        <v>ServiceTOTAL DES DÉPENSES</v>
      </c>
      <c r="B234" s="1125" t="s">
        <v>133</v>
      </c>
      <c r="C234" s="1107" t="s">
        <v>108</v>
      </c>
      <c r="D234" s="1164">
        <f>IFERROR(E234/E$197,0)</f>
        <v>0.86178059833374754</v>
      </c>
      <c r="E234" s="1126">
        <f>E213+E232</f>
        <v>1254092.4100000001</v>
      </c>
      <c r="F234" s="1110" t="s">
        <v>108</v>
      </c>
      <c r="G234" s="1166">
        <v>0</v>
      </c>
      <c r="H234" s="1127">
        <v>93664.35</v>
      </c>
      <c r="I234" s="1110" t="s">
        <v>108</v>
      </c>
      <c r="J234" s="1166">
        <v>0</v>
      </c>
      <c r="K234" s="1127">
        <v>94884.5</v>
      </c>
      <c r="L234" s="1110" t="s">
        <v>108</v>
      </c>
      <c r="M234" s="1166">
        <v>0</v>
      </c>
      <c r="N234" s="1127">
        <v>106167.49</v>
      </c>
      <c r="O234" s="1110" t="s">
        <v>108</v>
      </c>
      <c r="P234" s="1166">
        <v>0</v>
      </c>
      <c r="Q234" s="1127">
        <v>117487.63</v>
      </c>
      <c r="R234" s="1110" t="s">
        <v>108</v>
      </c>
      <c r="S234" s="1166">
        <v>0</v>
      </c>
      <c r="T234" s="1127">
        <v>114977.06</v>
      </c>
      <c r="U234" s="1110" t="s">
        <v>108</v>
      </c>
      <c r="V234" s="1166">
        <v>0</v>
      </c>
      <c r="W234" s="1127">
        <v>107362.95999999999</v>
      </c>
      <c r="X234" s="1110" t="s">
        <v>108</v>
      </c>
      <c r="Y234" s="1111">
        <v>0</v>
      </c>
      <c r="Z234" s="1127">
        <v>110199.1</v>
      </c>
      <c r="AA234" s="1110" t="s">
        <v>108</v>
      </c>
      <c r="AB234" s="1111">
        <v>0</v>
      </c>
      <c r="AC234" s="1127">
        <v>100129.20999999999</v>
      </c>
      <c r="AD234" s="1110" t="s">
        <v>108</v>
      </c>
      <c r="AE234" s="1111">
        <v>0.93398398729059295</v>
      </c>
      <c r="AF234" s="1127">
        <v>96697.94</v>
      </c>
      <c r="AG234" s="1110" t="s">
        <v>108</v>
      </c>
      <c r="AH234" s="1111">
        <v>0.78832987540258592</v>
      </c>
      <c r="AI234" s="1127">
        <v>109189.75</v>
      </c>
      <c r="AJ234" s="1110" t="s">
        <v>108</v>
      </c>
      <c r="AK234" s="1111">
        <v>0.73207056990968744</v>
      </c>
      <c r="AL234" s="1127">
        <v>117973.37</v>
      </c>
      <c r="AM234" s="1110" t="s">
        <v>108</v>
      </c>
      <c r="AN234" s="1111">
        <v>1.2766537718614064</v>
      </c>
      <c r="AO234" s="1127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">
      <c r="A235" s="533" t="str">
        <f t="shared" si="28"/>
        <v>Service</v>
      </c>
      <c r="B235" s="7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8"/>
        <v>ServicePROFIT DÉPARTEMENTAL</v>
      </c>
      <c r="B236" s="1138" t="s">
        <v>139</v>
      </c>
      <c r="C236" s="1167"/>
      <c r="D236" s="1168"/>
      <c r="E236" s="1141">
        <f>E197-E234</f>
        <v>201141.56999999913</v>
      </c>
      <c r="F236" s="1169"/>
      <c r="G236" s="1170"/>
      <c r="H236" s="1144">
        <v>-27897.130000000121</v>
      </c>
      <c r="I236" s="1169"/>
      <c r="J236" s="1170"/>
      <c r="K236" s="1144">
        <v>-14595.300000000105</v>
      </c>
      <c r="L236" s="1169"/>
      <c r="M236" s="1170"/>
      <c r="N236" s="1144">
        <v>8443.1899999998859</v>
      </c>
      <c r="O236" s="1169"/>
      <c r="P236" s="1170"/>
      <c r="Q236" s="1144">
        <v>37042.909999999887</v>
      </c>
      <c r="R236" s="1169"/>
      <c r="S236" s="1170"/>
      <c r="T236" s="1144">
        <v>49982.679999999847</v>
      </c>
      <c r="U236" s="1169"/>
      <c r="V236" s="1170"/>
      <c r="W236" s="1144">
        <v>41339.859999999986</v>
      </c>
      <c r="X236" s="1169"/>
      <c r="Y236" s="1170"/>
      <c r="Z236" s="1144">
        <v>27699.539999999892</v>
      </c>
      <c r="AA236" s="1169"/>
      <c r="AB236" s="1170"/>
      <c r="AC236" s="1144">
        <v>18293.6599999998</v>
      </c>
      <c r="AD236" s="1169"/>
      <c r="AE236" s="1170"/>
      <c r="AF236" s="1144">
        <v>6834.8199999999924</v>
      </c>
      <c r="AG236" s="1169"/>
      <c r="AH236" s="1170"/>
      <c r="AI236" s="1144">
        <v>29317.940000000002</v>
      </c>
      <c r="AJ236" s="1169"/>
      <c r="AK236" s="1170"/>
      <c r="AL236" s="1144">
        <v>43176.899999999994</v>
      </c>
      <c r="AM236" s="1169"/>
      <c r="AN236" s="1170"/>
      <c r="AO236" s="1144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">
      <c r="A237" s="533"/>
      <c r="B237" s="744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">
      <c r="A238" s="533"/>
      <c r="B238" s="750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">
      <c r="A239" s="533"/>
      <c r="B239" s="1146" t="str">
        <f>$B$4</f>
        <v>Réel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7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48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">
      <c r="A242" s="533" t="str">
        <f>+$C$239&amp;B242</f>
        <v>Carrosserie</v>
      </c>
      <c r="B242" s="7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">
      <c r="A243" s="533" t="str">
        <f t="shared" ref="A243:A291" si="31">+$C$239&amp;B243</f>
        <v>Carrosserie</v>
      </c>
      <c r="B243" s="7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">
      <c r="A244" s="533" t="str">
        <f t="shared" si="31"/>
        <v>CarrosserieM/O Sous-traitement</v>
      </c>
      <c r="B244" s="743" t="s">
        <v>164</v>
      </c>
      <c r="C244" s="1217">
        <f>+SUM(F244,I244,L244,O244,R244,U244,X244,AA244,AD244,AG244,AJ244,AM244)</f>
        <v>10</v>
      </c>
      <c r="D244" s="1218">
        <f>+SUM(G244,J244,M244,P244,S244,V244,Y244,AB244,AE244,AH244,AK244,AN244)</f>
        <v>4637.87</v>
      </c>
      <c r="E244" s="1219">
        <f>+SUM(H244,K244,N244,Q244,T244,W244,Z244,AC244,AF244,AI244,AL244,AO244)</f>
        <v>0</v>
      </c>
      <c r="F244" s="1173">
        <v>0</v>
      </c>
      <c r="G244" s="1174">
        <v>0</v>
      </c>
      <c r="H244" s="1101">
        <v>0</v>
      </c>
      <c r="I244" s="1173">
        <v>8</v>
      </c>
      <c r="J244" s="1174">
        <v>0</v>
      </c>
      <c r="K244" s="1101">
        <v>0</v>
      </c>
      <c r="L244" s="1173">
        <v>0</v>
      </c>
      <c r="M244" s="1174">
        <v>0</v>
      </c>
      <c r="N244" s="1101">
        <v>0</v>
      </c>
      <c r="O244" s="1173">
        <v>0</v>
      </c>
      <c r="P244" s="1174">
        <v>0</v>
      </c>
      <c r="Q244" s="1101">
        <v>0</v>
      </c>
      <c r="R244" s="1173">
        <v>1</v>
      </c>
      <c r="S244" s="1174">
        <v>4637.87</v>
      </c>
      <c r="T244" s="1101">
        <v>0</v>
      </c>
      <c r="U244" s="1173">
        <v>0</v>
      </c>
      <c r="V244" s="1174">
        <v>0</v>
      </c>
      <c r="W244" s="1101">
        <v>0</v>
      </c>
      <c r="X244" s="1173">
        <v>1</v>
      </c>
      <c r="Y244" s="1174">
        <v>0</v>
      </c>
      <c r="Z244" s="1101">
        <v>0</v>
      </c>
      <c r="AA244" s="1173">
        <v>0</v>
      </c>
      <c r="AB244" s="1174">
        <v>0</v>
      </c>
      <c r="AC244" s="1101">
        <v>0</v>
      </c>
      <c r="AD244" s="1173">
        <v>0</v>
      </c>
      <c r="AE244" s="1174">
        <v>0</v>
      </c>
      <c r="AF244" s="1101">
        <v>0</v>
      </c>
      <c r="AG244" s="1173">
        <v>0</v>
      </c>
      <c r="AH244" s="1174">
        <v>0</v>
      </c>
      <c r="AI244" s="1101">
        <v>0</v>
      </c>
      <c r="AJ244" s="1173">
        <v>0</v>
      </c>
      <c r="AK244" s="1174">
        <v>0</v>
      </c>
      <c r="AL244" s="1101">
        <v>0</v>
      </c>
      <c r="AM244" s="1173">
        <v>0</v>
      </c>
      <c r="AN244" s="1174">
        <v>0</v>
      </c>
      <c r="AO244" s="1101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">
      <c r="A245" s="533" t="str">
        <f t="shared" si="31"/>
        <v>Carrosserie% profit / ventes</v>
      </c>
      <c r="B245" s="7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v>0</v>
      </c>
      <c r="I245" s="1172"/>
      <c r="J245" s="596"/>
      <c r="K245" s="1175">
        <v>0</v>
      </c>
      <c r="L245" s="1172"/>
      <c r="M245" s="596"/>
      <c r="N245" s="1175">
        <v>0</v>
      </c>
      <c r="O245" s="1172"/>
      <c r="P245" s="596"/>
      <c r="Q245" s="1175">
        <v>0</v>
      </c>
      <c r="R245" s="1172"/>
      <c r="S245" s="596"/>
      <c r="T245" s="1175">
        <v>0</v>
      </c>
      <c r="U245" s="1172"/>
      <c r="V245" s="596"/>
      <c r="W245" s="1175">
        <v>0</v>
      </c>
      <c r="X245" s="1172"/>
      <c r="Y245" s="596"/>
      <c r="Z245" s="1175">
        <v>0</v>
      </c>
      <c r="AA245" s="1172"/>
      <c r="AB245" s="596"/>
      <c r="AC245" s="1175">
        <v>0</v>
      </c>
      <c r="AD245" s="1172"/>
      <c r="AE245" s="596"/>
      <c r="AF245" s="1175">
        <v>0</v>
      </c>
      <c r="AG245" s="1172"/>
      <c r="AH245" s="596"/>
      <c r="AI245" s="1175">
        <v>0</v>
      </c>
      <c r="AJ245" s="1172"/>
      <c r="AK245" s="596"/>
      <c r="AL245" s="1175">
        <v>0</v>
      </c>
      <c r="AM245" s="1172"/>
      <c r="AN245" s="596"/>
      <c r="AO245" s="1175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">
      <c r="A246" s="533" t="str">
        <f t="shared" si="31"/>
        <v>Carrosserie</v>
      </c>
      <c r="B246" s="7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">
      <c r="A247" s="533" t="str">
        <f t="shared" si="31"/>
        <v>CarrosserieM/O Carrosserie</v>
      </c>
      <c r="B247" s="1052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>
        <v>0</v>
      </c>
      <c r="G247" s="1182">
        <v>0</v>
      </c>
      <c r="H247" s="1118">
        <v>0</v>
      </c>
      <c r="I247" s="1181">
        <v>0</v>
      </c>
      <c r="J247" s="1182">
        <v>0</v>
      </c>
      <c r="K247" s="1118">
        <v>0</v>
      </c>
      <c r="L247" s="1181">
        <v>0</v>
      </c>
      <c r="M247" s="1182">
        <v>0</v>
      </c>
      <c r="N247" s="1118">
        <v>0</v>
      </c>
      <c r="O247" s="1181">
        <v>0</v>
      </c>
      <c r="P247" s="1182">
        <v>0</v>
      </c>
      <c r="Q247" s="1118">
        <v>0</v>
      </c>
      <c r="R247" s="1181">
        <v>0</v>
      </c>
      <c r="S247" s="1182">
        <v>0</v>
      </c>
      <c r="T247" s="1118">
        <v>0</v>
      </c>
      <c r="U247" s="1181">
        <v>0</v>
      </c>
      <c r="V247" s="1182">
        <v>0</v>
      </c>
      <c r="W247" s="1118">
        <v>0</v>
      </c>
      <c r="X247" s="1181">
        <v>0</v>
      </c>
      <c r="Y247" s="1182">
        <v>0</v>
      </c>
      <c r="Z247" s="1118">
        <v>0</v>
      </c>
      <c r="AA247" s="1181">
        <v>0</v>
      </c>
      <c r="AB247" s="1182">
        <v>0</v>
      </c>
      <c r="AC247" s="1118">
        <v>0</v>
      </c>
      <c r="AD247" s="1181">
        <v>0</v>
      </c>
      <c r="AE247" s="1182">
        <v>0</v>
      </c>
      <c r="AF247" s="1118">
        <v>0</v>
      </c>
      <c r="AG247" s="1181">
        <v>0</v>
      </c>
      <c r="AH247" s="1182">
        <v>0</v>
      </c>
      <c r="AI247" s="1118">
        <v>0</v>
      </c>
      <c r="AJ247" s="1181">
        <v>0</v>
      </c>
      <c r="AK247" s="1182">
        <v>0</v>
      </c>
      <c r="AL247" s="1118">
        <v>0</v>
      </c>
      <c r="AM247" s="1181">
        <v>0</v>
      </c>
      <c r="AN247" s="1182">
        <v>0</v>
      </c>
      <c r="AO247" s="1118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">
      <c r="A248" s="533" t="str">
        <f t="shared" si="31"/>
        <v>Carrosserie% profit / ventes</v>
      </c>
      <c r="B248" s="7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v>0</v>
      </c>
      <c r="I248" s="1172"/>
      <c r="J248" s="596"/>
      <c r="K248" s="1175">
        <v>0</v>
      </c>
      <c r="L248" s="1172"/>
      <c r="M248" s="596"/>
      <c r="N248" s="1175">
        <v>0</v>
      </c>
      <c r="O248" s="1172"/>
      <c r="P248" s="596"/>
      <c r="Q248" s="1175">
        <v>0</v>
      </c>
      <c r="R248" s="1172"/>
      <c r="S248" s="596"/>
      <c r="T248" s="1175">
        <v>0</v>
      </c>
      <c r="U248" s="1172"/>
      <c r="V248" s="596"/>
      <c r="W248" s="1175">
        <v>0</v>
      </c>
      <c r="X248" s="1172"/>
      <c r="Y248" s="596"/>
      <c r="Z248" s="1175">
        <v>0</v>
      </c>
      <c r="AA248" s="1172"/>
      <c r="AB248" s="596"/>
      <c r="AC248" s="1175">
        <v>0</v>
      </c>
      <c r="AD248" s="1172"/>
      <c r="AE248" s="596"/>
      <c r="AF248" s="1175">
        <v>0</v>
      </c>
      <c r="AG248" s="1172"/>
      <c r="AH248" s="596"/>
      <c r="AI248" s="1175">
        <v>0</v>
      </c>
      <c r="AJ248" s="1172"/>
      <c r="AK248" s="596"/>
      <c r="AL248" s="1175">
        <v>0</v>
      </c>
      <c r="AM248" s="1172"/>
      <c r="AN248" s="596"/>
      <c r="AO248" s="1175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">
      <c r="A249" s="533" t="str">
        <f t="shared" si="31"/>
        <v>Carrosserie</v>
      </c>
      <c r="B249" s="747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">
      <c r="A250" s="533" t="str">
        <f t="shared" si="31"/>
        <v>CarrosserieM/O Esthétique Carr.</v>
      </c>
      <c r="B250" s="1052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>
        <v>0</v>
      </c>
      <c r="G250" s="1182">
        <v>0</v>
      </c>
      <c r="H250" s="1118">
        <v>0</v>
      </c>
      <c r="I250" s="1181">
        <v>0</v>
      </c>
      <c r="J250" s="1182">
        <v>0</v>
      </c>
      <c r="K250" s="1118">
        <v>0</v>
      </c>
      <c r="L250" s="1181">
        <v>0</v>
      </c>
      <c r="M250" s="1182">
        <v>0</v>
      </c>
      <c r="N250" s="1118">
        <v>0</v>
      </c>
      <c r="O250" s="1181">
        <v>0</v>
      </c>
      <c r="P250" s="1182">
        <v>0</v>
      </c>
      <c r="Q250" s="1118">
        <v>0</v>
      </c>
      <c r="R250" s="1181">
        <v>0</v>
      </c>
      <c r="S250" s="1182">
        <v>0</v>
      </c>
      <c r="T250" s="1118">
        <v>0</v>
      </c>
      <c r="U250" s="1181">
        <v>0</v>
      </c>
      <c r="V250" s="1182">
        <v>0</v>
      </c>
      <c r="W250" s="1118">
        <v>0</v>
      </c>
      <c r="X250" s="1181">
        <v>0</v>
      </c>
      <c r="Y250" s="1182">
        <v>0</v>
      </c>
      <c r="Z250" s="1118">
        <v>0</v>
      </c>
      <c r="AA250" s="1181">
        <v>0</v>
      </c>
      <c r="AB250" s="1182">
        <v>0</v>
      </c>
      <c r="AC250" s="1118">
        <v>0</v>
      </c>
      <c r="AD250" s="1181">
        <v>0</v>
      </c>
      <c r="AE250" s="1182">
        <v>0</v>
      </c>
      <c r="AF250" s="1118">
        <v>0</v>
      </c>
      <c r="AG250" s="1181">
        <v>0</v>
      </c>
      <c r="AH250" s="1182">
        <v>0</v>
      </c>
      <c r="AI250" s="1118">
        <v>0</v>
      </c>
      <c r="AJ250" s="1181">
        <v>0</v>
      </c>
      <c r="AK250" s="1182">
        <v>0</v>
      </c>
      <c r="AL250" s="1118">
        <v>0</v>
      </c>
      <c r="AM250" s="1181">
        <v>0</v>
      </c>
      <c r="AN250" s="1182">
        <v>0</v>
      </c>
      <c r="AO250" s="1118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">
      <c r="A251" s="533" t="str">
        <f t="shared" si="31"/>
        <v>Carrosserie% profit / ventes</v>
      </c>
      <c r="B251" s="7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v>0</v>
      </c>
      <c r="I251" s="543"/>
      <c r="J251" s="596"/>
      <c r="K251" s="1175">
        <v>0</v>
      </c>
      <c r="L251" s="543"/>
      <c r="M251" s="596"/>
      <c r="N251" s="1175">
        <v>0</v>
      </c>
      <c r="O251" s="543"/>
      <c r="P251" s="596"/>
      <c r="Q251" s="1175">
        <v>0</v>
      </c>
      <c r="R251" s="543"/>
      <c r="S251" s="596"/>
      <c r="T251" s="1175">
        <v>0</v>
      </c>
      <c r="U251" s="543"/>
      <c r="V251" s="596"/>
      <c r="W251" s="1175">
        <v>0</v>
      </c>
      <c r="X251" s="543"/>
      <c r="Y251" s="596"/>
      <c r="Z251" s="1175">
        <v>0</v>
      </c>
      <c r="AA251" s="543"/>
      <c r="AB251" s="596"/>
      <c r="AC251" s="1175">
        <v>0</v>
      </c>
      <c r="AD251" s="543"/>
      <c r="AE251" s="596"/>
      <c r="AF251" s="1175">
        <v>0</v>
      </c>
      <c r="AG251" s="543"/>
      <c r="AH251" s="596"/>
      <c r="AI251" s="1175">
        <v>0</v>
      </c>
      <c r="AJ251" s="543"/>
      <c r="AK251" s="596"/>
      <c r="AL251" s="1175">
        <v>0</v>
      </c>
      <c r="AM251" s="543"/>
      <c r="AN251" s="596"/>
      <c r="AO251" s="1175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31"/>
        <v>CarrosserieTotal Mécanique</v>
      </c>
      <c r="B253" s="1081" t="s">
        <v>161</v>
      </c>
      <c r="C253" s="1082"/>
      <c r="D253" s="1213">
        <f>D247+D250+D244</f>
        <v>4637.87</v>
      </c>
      <c r="E253" s="1084">
        <f>E247+E250+E244</f>
        <v>0</v>
      </c>
      <c r="F253" s="1085"/>
      <c r="G253" s="1193">
        <v>0</v>
      </c>
      <c r="H253" s="1087">
        <v>0</v>
      </c>
      <c r="I253" s="1085"/>
      <c r="J253" s="1193">
        <v>0</v>
      </c>
      <c r="K253" s="1087">
        <v>0</v>
      </c>
      <c r="L253" s="1085"/>
      <c r="M253" s="1193">
        <v>0</v>
      </c>
      <c r="N253" s="1087">
        <v>0</v>
      </c>
      <c r="O253" s="1085"/>
      <c r="P253" s="1193">
        <v>0</v>
      </c>
      <c r="Q253" s="1087">
        <v>0</v>
      </c>
      <c r="R253" s="1085"/>
      <c r="S253" s="1193">
        <v>4637.87</v>
      </c>
      <c r="T253" s="1087">
        <v>0</v>
      </c>
      <c r="U253" s="1085"/>
      <c r="V253" s="1193">
        <v>0</v>
      </c>
      <c r="W253" s="1087">
        <v>0</v>
      </c>
      <c r="X253" s="1085"/>
      <c r="Y253" s="1193">
        <v>0</v>
      </c>
      <c r="Z253" s="1087">
        <v>0</v>
      </c>
      <c r="AA253" s="1085"/>
      <c r="AB253" s="1193">
        <v>0</v>
      </c>
      <c r="AC253" s="1087">
        <v>0</v>
      </c>
      <c r="AD253" s="1085"/>
      <c r="AE253" s="1193">
        <v>0</v>
      </c>
      <c r="AF253" s="1087">
        <v>0</v>
      </c>
      <c r="AG253" s="1085"/>
      <c r="AH253" s="1193">
        <v>0</v>
      </c>
      <c r="AI253" s="1087">
        <v>0</v>
      </c>
      <c r="AJ253" s="1085"/>
      <c r="AK253" s="1193">
        <v>0</v>
      </c>
      <c r="AL253" s="1087">
        <v>0</v>
      </c>
      <c r="AM253" s="1085"/>
      <c r="AN253" s="1193">
        <v>0</v>
      </c>
      <c r="AO253" s="1087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31"/>
        <v>Carrosserie</v>
      </c>
      <c r="B254" s="745"/>
      <c r="C254" s="598"/>
      <c r="D254" s="1088"/>
      <c r="E254" s="1214">
        <f>IFERROR(E253/D253,0)</f>
        <v>0</v>
      </c>
      <c r="F254" s="1090"/>
      <c r="G254" s="1091"/>
      <c r="H254" s="1215">
        <v>0</v>
      </c>
      <c r="I254" s="1090"/>
      <c r="J254" s="1091"/>
      <c r="K254" s="1215">
        <v>0</v>
      </c>
      <c r="L254" s="1090"/>
      <c r="M254" s="1091"/>
      <c r="N254" s="1215">
        <v>0</v>
      </c>
      <c r="O254" s="1090"/>
      <c r="P254" s="1091"/>
      <c r="Q254" s="1215">
        <v>0</v>
      </c>
      <c r="R254" s="1090"/>
      <c r="S254" s="1091"/>
      <c r="T254" s="1215">
        <v>0</v>
      </c>
      <c r="U254" s="1090"/>
      <c r="V254" s="1091"/>
      <c r="W254" s="1215">
        <v>0</v>
      </c>
      <c r="X254" s="1090"/>
      <c r="Y254" s="1091"/>
      <c r="Z254" s="1215">
        <v>0</v>
      </c>
      <c r="AA254" s="1090"/>
      <c r="AB254" s="1091"/>
      <c r="AC254" s="1215">
        <v>0</v>
      </c>
      <c r="AD254" s="1090"/>
      <c r="AE254" s="1091"/>
      <c r="AF254" s="1215">
        <v>0</v>
      </c>
      <c r="AG254" s="1090"/>
      <c r="AH254" s="1091"/>
      <c r="AI254" s="1215">
        <v>0</v>
      </c>
      <c r="AJ254" s="1090"/>
      <c r="AK254" s="1091"/>
      <c r="AL254" s="1215">
        <v>0</v>
      </c>
      <c r="AM254" s="1090"/>
      <c r="AN254" s="1091"/>
      <c r="AO254" s="1215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">
      <c r="A256" s="533" t="str">
        <f t="shared" si="31"/>
        <v>CarrosserieDEPENSES</v>
      </c>
      <c r="B256" s="1096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">
      <c r="A257" s="533" t="str">
        <f t="shared" si="31"/>
        <v>CarrosserieSalaires cadres</v>
      </c>
      <c r="B257" s="1113" t="s">
        <v>109</v>
      </c>
      <c r="C257" s="543"/>
      <c r="D257" s="596"/>
      <c r="E257" s="1080">
        <f t="shared" ref="E257:E287" si="32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">
      <c r="A258" s="533" t="str">
        <f t="shared" si="31"/>
        <v>CarrosserieSalaires commis</v>
      </c>
      <c r="B258" s="1114" t="s">
        <v>110</v>
      </c>
      <c r="C258" s="543"/>
      <c r="D258" s="596"/>
      <c r="E258" s="1080">
        <f t="shared" si="32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">
      <c r="A259" s="533" t="str">
        <f t="shared" si="31"/>
        <v>CarrosserieSalaires autres</v>
      </c>
      <c r="B259" s="1113" t="s">
        <v>111</v>
      </c>
      <c r="C259" s="1115"/>
      <c r="D259" s="1116"/>
      <c r="E259" s="1117">
        <f t="shared" si="32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">
      <c r="A260" s="533" t="str">
        <f t="shared" si="31"/>
        <v>CarrosserieSalaires spécialistes</v>
      </c>
      <c r="B260" s="1113" t="s">
        <v>112</v>
      </c>
      <c r="C260" s="543"/>
      <c r="D260" s="596"/>
      <c r="E260" s="1080">
        <f t="shared" si="32"/>
        <v>0</v>
      </c>
      <c r="F260" s="543"/>
      <c r="G260" s="596"/>
      <c r="H260" s="1101">
        <v>0</v>
      </c>
      <c r="I260" s="543"/>
      <c r="J260" s="596"/>
      <c r="K260" s="1101">
        <v>0</v>
      </c>
      <c r="L260" s="543"/>
      <c r="M260" s="596"/>
      <c r="N260" s="1101">
        <v>0</v>
      </c>
      <c r="O260" s="543"/>
      <c r="P260" s="596"/>
      <c r="Q260" s="1101">
        <v>0</v>
      </c>
      <c r="R260" s="543"/>
      <c r="S260" s="596"/>
      <c r="T260" s="1101">
        <v>0</v>
      </c>
      <c r="U260" s="543"/>
      <c r="V260" s="596"/>
      <c r="W260" s="1101">
        <v>0</v>
      </c>
      <c r="X260" s="543"/>
      <c r="Y260" s="596"/>
      <c r="Z260" s="1101">
        <v>0</v>
      </c>
      <c r="AA260" s="543"/>
      <c r="AB260" s="596"/>
      <c r="AC260" s="1101">
        <v>0</v>
      </c>
      <c r="AD260" s="543"/>
      <c r="AE260" s="596"/>
      <c r="AF260" s="1101">
        <v>0</v>
      </c>
      <c r="AG260" s="543"/>
      <c r="AH260" s="596"/>
      <c r="AI260" s="1101">
        <v>0</v>
      </c>
      <c r="AJ260" s="543"/>
      <c r="AK260" s="596"/>
      <c r="AL260" s="1101">
        <v>0</v>
      </c>
      <c r="AM260" s="543"/>
      <c r="AN260" s="596"/>
      <c r="AO260" s="1101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3" t="s">
        <v>42</v>
      </c>
      <c r="C261" s="543"/>
      <c r="D261" s="596"/>
      <c r="E261" s="1080">
        <f t="shared" si="32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>
        <v>0</v>
      </c>
      <c r="AG261" s="543"/>
      <c r="AH261" s="596"/>
      <c r="AI261" s="1101">
        <v>0</v>
      </c>
      <c r="AJ261" s="543"/>
      <c r="AK261" s="596"/>
      <c r="AL261" s="1101">
        <v>0</v>
      </c>
      <c r="AM261" s="543"/>
      <c r="AN261" s="596"/>
      <c r="AO261" s="1101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3" t="s">
        <v>42</v>
      </c>
      <c r="C262" s="543"/>
      <c r="D262" s="596"/>
      <c r="E262" s="1080">
        <f t="shared" si="32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>
        <v>0</v>
      </c>
      <c r="AG262" s="543"/>
      <c r="AH262" s="596"/>
      <c r="AI262" s="1101">
        <v>0</v>
      </c>
      <c r="AJ262" s="543"/>
      <c r="AK262" s="596"/>
      <c r="AL262" s="1101">
        <v>0</v>
      </c>
      <c r="AM262" s="543"/>
      <c r="AN262" s="596"/>
      <c r="AO262" s="1101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3" t="s">
        <v>42</v>
      </c>
      <c r="C263" s="543"/>
      <c r="D263" s="596"/>
      <c r="E263" s="1080">
        <f t="shared" si="32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>
        <v>0</v>
      </c>
      <c r="AG263" s="543"/>
      <c r="AH263" s="596"/>
      <c r="AI263" s="1101">
        <v>0</v>
      </c>
      <c r="AJ263" s="543"/>
      <c r="AK263" s="596"/>
      <c r="AL263" s="1101">
        <v>0</v>
      </c>
      <c r="AM263" s="543"/>
      <c r="AN263" s="596"/>
      <c r="AO263" s="1101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">
      <c r="A264" s="533" t="str">
        <f t="shared" si="31"/>
        <v>CarrosserieSalaires en absences</v>
      </c>
      <c r="B264" s="1114" t="s">
        <v>113</v>
      </c>
      <c r="C264" s="543"/>
      <c r="D264" s="596"/>
      <c r="E264" s="1080">
        <f t="shared" si="32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">
      <c r="A265" s="533" t="str">
        <f t="shared" si="31"/>
        <v>CarrosserieDéduction à la source</v>
      </c>
      <c r="B265" s="1113" t="s">
        <v>114</v>
      </c>
      <c r="C265" s="1115"/>
      <c r="D265" s="1116"/>
      <c r="E265" s="1117">
        <f t="shared" si="32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">
      <c r="A266" s="533" t="str">
        <f t="shared" si="31"/>
        <v>CarrosserieBénéfices marginaux</v>
      </c>
      <c r="B266" s="1119" t="s">
        <v>115</v>
      </c>
      <c r="C266" s="543"/>
      <c r="D266" s="596"/>
      <c r="E266" s="1080">
        <f t="shared" si="32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">
      <c r="A267" s="533" t="str">
        <f t="shared" si="31"/>
        <v>CarrosserieCsst</v>
      </c>
      <c r="B267" s="1113" t="s">
        <v>116</v>
      </c>
      <c r="C267" s="543"/>
      <c r="D267" s="596"/>
      <c r="E267" s="1080">
        <f t="shared" si="32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3" t="s">
        <v>42</v>
      </c>
      <c r="C268" s="601"/>
      <c r="D268" s="1120"/>
      <c r="E268" s="1103">
        <f t="shared" si="32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>
        <v>0</v>
      </c>
      <c r="AG268" s="601"/>
      <c r="AH268" s="1120"/>
      <c r="AI268" s="1103">
        <v>0</v>
      </c>
      <c r="AJ268" s="601"/>
      <c r="AK268" s="1120"/>
      <c r="AL268" s="1103">
        <v>0</v>
      </c>
      <c r="AM268" s="601"/>
      <c r="AN268" s="1120"/>
      <c r="AO268" s="1103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">
      <c r="A269" s="533" t="str">
        <f t="shared" si="31"/>
        <v>CarrosserieTOTAL PERSONNEL</v>
      </c>
      <c r="B269" s="110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10" t="s">
        <v>108</v>
      </c>
      <c r="G269" s="1111">
        <v>0</v>
      </c>
      <c r="H269" s="1112">
        <v>0</v>
      </c>
      <c r="I269" s="1110" t="s">
        <v>108</v>
      </c>
      <c r="J269" s="1111">
        <v>0</v>
      </c>
      <c r="K269" s="1112">
        <v>0</v>
      </c>
      <c r="L269" s="1110" t="s">
        <v>108</v>
      </c>
      <c r="M269" s="1111">
        <v>0</v>
      </c>
      <c r="N269" s="1112">
        <v>0</v>
      </c>
      <c r="O269" s="1110" t="s">
        <v>108</v>
      </c>
      <c r="P269" s="1111">
        <v>0</v>
      </c>
      <c r="Q269" s="1112">
        <v>0</v>
      </c>
      <c r="R269" s="1110" t="s">
        <v>108</v>
      </c>
      <c r="S269" s="1111">
        <v>0</v>
      </c>
      <c r="T269" s="1112">
        <v>0</v>
      </c>
      <c r="U269" s="1110" t="s">
        <v>108</v>
      </c>
      <c r="V269" s="1111">
        <v>0</v>
      </c>
      <c r="W269" s="1112">
        <v>0</v>
      </c>
      <c r="X269" s="1110" t="s">
        <v>108</v>
      </c>
      <c r="Y269" s="1111">
        <v>0</v>
      </c>
      <c r="Z269" s="1112">
        <v>0</v>
      </c>
      <c r="AA269" s="1110" t="s">
        <v>108</v>
      </c>
      <c r="AB269" s="1111">
        <v>0</v>
      </c>
      <c r="AC269" s="1112">
        <v>0</v>
      </c>
      <c r="AD269" s="1110" t="s">
        <v>108</v>
      </c>
      <c r="AE269" s="1111">
        <v>0</v>
      </c>
      <c r="AF269" s="1112">
        <v>0</v>
      </c>
      <c r="AG269" s="1110" t="s">
        <v>108</v>
      </c>
      <c r="AH269" s="1111">
        <v>0</v>
      </c>
      <c r="AI269" s="1112">
        <v>0</v>
      </c>
      <c r="AJ269" s="1110" t="s">
        <v>108</v>
      </c>
      <c r="AK269" s="1111">
        <v>0</v>
      </c>
      <c r="AL269" s="1112">
        <v>0</v>
      </c>
      <c r="AM269" s="1110" t="s">
        <v>108</v>
      </c>
      <c r="AN269" s="1111">
        <v>0</v>
      </c>
      <c r="AO269" s="1112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">
      <c r="A270" s="533" t="str">
        <f t="shared" si="31"/>
        <v>CarrosseriePublicité 2</v>
      </c>
      <c r="B270" s="1220" t="s">
        <v>118</v>
      </c>
      <c r="C270" s="543"/>
      <c r="D270" s="596"/>
      <c r="E270" s="1080">
        <f t="shared" si="32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">
      <c r="A271" s="533" t="str">
        <f t="shared" si="31"/>
        <v>CarrosserieService gratuit 2</v>
      </c>
      <c r="B271" s="1113" t="s">
        <v>119</v>
      </c>
      <c r="C271" s="543"/>
      <c r="D271" s="596"/>
      <c r="E271" s="1080">
        <f t="shared" si="32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">
      <c r="A272" s="533" t="str">
        <f t="shared" si="31"/>
        <v>CarrosserieFrais véhicules de cie</v>
      </c>
      <c r="B272" s="1114" t="s">
        <v>120</v>
      </c>
      <c r="C272" s="601"/>
      <c r="D272" s="1120"/>
      <c r="E272" s="1103">
        <f t="shared" si="32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">
      <c r="A273" s="533" t="str">
        <f t="shared" si="31"/>
        <v>CarrosserieInformatique</v>
      </c>
      <c r="B273" s="1113" t="s">
        <v>121</v>
      </c>
      <c r="C273" s="543"/>
      <c r="D273" s="596"/>
      <c r="E273" s="1080">
        <f t="shared" si="32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">
      <c r="A274" s="533" t="str">
        <f t="shared" si="31"/>
        <v>CarrosserieFrais de déplacement</v>
      </c>
      <c r="B274" s="1113" t="s">
        <v>122</v>
      </c>
      <c r="C274" s="543"/>
      <c r="D274" s="596"/>
      <c r="E274" s="1080">
        <f t="shared" si="32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">
      <c r="A275" s="533" t="str">
        <f t="shared" si="31"/>
        <v>CarrosserieServices extérieurs</v>
      </c>
      <c r="B275" s="1113" t="s">
        <v>123</v>
      </c>
      <c r="C275" s="601"/>
      <c r="D275" s="1120"/>
      <c r="E275" s="1103">
        <f t="shared" si="32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">
      <c r="A276" s="533" t="str">
        <f t="shared" si="31"/>
        <v>CarrosserieFournitures d'atelier</v>
      </c>
      <c r="B276" s="1221" t="s">
        <v>350</v>
      </c>
      <c r="C276" s="543"/>
      <c r="D276" s="596"/>
      <c r="E276" s="1080">
        <f t="shared" si="32"/>
        <v>0</v>
      </c>
      <c r="F276" s="543"/>
      <c r="G276" s="596"/>
      <c r="H276" s="1101">
        <v>0</v>
      </c>
      <c r="I276" s="543"/>
      <c r="J276" s="596"/>
      <c r="K276" s="1101">
        <v>0</v>
      </c>
      <c r="L276" s="543"/>
      <c r="M276" s="596"/>
      <c r="N276" s="1101">
        <v>0</v>
      </c>
      <c r="O276" s="543"/>
      <c r="P276" s="596"/>
      <c r="Q276" s="1101">
        <v>0</v>
      </c>
      <c r="R276" s="543"/>
      <c r="S276" s="596"/>
      <c r="T276" s="1101">
        <v>0</v>
      </c>
      <c r="U276" s="543"/>
      <c r="V276" s="596"/>
      <c r="W276" s="1101">
        <v>0</v>
      </c>
      <c r="X276" s="543"/>
      <c r="Y276" s="596"/>
      <c r="Z276" s="1101">
        <v>0</v>
      </c>
      <c r="AA276" s="543"/>
      <c r="AB276" s="596"/>
      <c r="AC276" s="1101">
        <v>0</v>
      </c>
      <c r="AD276" s="543"/>
      <c r="AE276" s="596"/>
      <c r="AF276" s="1101">
        <v>0</v>
      </c>
      <c r="AG276" s="543"/>
      <c r="AH276" s="596"/>
      <c r="AI276" s="1101">
        <v>0</v>
      </c>
      <c r="AJ276" s="543"/>
      <c r="AK276" s="596"/>
      <c r="AL276" s="1101">
        <v>0</v>
      </c>
      <c r="AM276" s="543"/>
      <c r="AN276" s="596"/>
      <c r="AO276" s="1101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">
      <c r="A277" s="533" t="str">
        <f t="shared" si="31"/>
        <v>CarrosserieFournitures autres</v>
      </c>
      <c r="B277" s="1113" t="s">
        <v>124</v>
      </c>
      <c r="C277" s="543"/>
      <c r="D277" s="596"/>
      <c r="E277" s="1080">
        <f t="shared" si="32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">
      <c r="A278" s="533" t="str">
        <f t="shared" si="31"/>
        <v>CarrosserieUniformes</v>
      </c>
      <c r="B278" s="1113" t="s">
        <v>125</v>
      </c>
      <c r="C278" s="543"/>
      <c r="D278" s="596"/>
      <c r="E278" s="1080">
        <f t="shared" si="32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">
      <c r="A279" s="533" t="str">
        <f t="shared" si="31"/>
        <v>CarrosseriePapeterie</v>
      </c>
      <c r="B279" s="1113" t="s">
        <v>126</v>
      </c>
      <c r="C279" s="543"/>
      <c r="D279" s="596"/>
      <c r="E279" s="1080">
        <f t="shared" si="32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">
      <c r="A280" s="533" t="str">
        <f t="shared" si="31"/>
        <v>CarrosserieTéléphone</v>
      </c>
      <c r="B280" s="1113" t="s">
        <v>127</v>
      </c>
      <c r="C280" s="543"/>
      <c r="D280" s="596"/>
      <c r="E280" s="1080">
        <f t="shared" si="32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">
      <c r="A281" s="533" t="str">
        <f t="shared" si="31"/>
        <v>CarrosserieFrais postaux</v>
      </c>
      <c r="B281" s="1113" t="s">
        <v>128</v>
      </c>
      <c r="C281" s="543"/>
      <c r="D281" s="596"/>
      <c r="E281" s="1080">
        <f t="shared" si="32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">
      <c r="A282" s="533" t="str">
        <f t="shared" si="31"/>
        <v>CarrosserieDivers</v>
      </c>
      <c r="B282" s="1113" t="s">
        <v>129</v>
      </c>
      <c r="C282" s="543"/>
      <c r="D282" s="596"/>
      <c r="E282" s="1080">
        <f t="shared" si="32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">
      <c r="A283" s="533" t="str">
        <f t="shared" si="31"/>
        <v>CarrosserieFormation</v>
      </c>
      <c r="B283" s="1113" t="s">
        <v>130</v>
      </c>
      <c r="C283" s="543"/>
      <c r="D283" s="596"/>
      <c r="E283" s="1080">
        <f t="shared" si="32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">
      <c r="A284" s="533" t="str">
        <f t="shared" si="31"/>
        <v>CarrosserieFrais bancaires</v>
      </c>
      <c r="B284" s="1113" t="s">
        <v>131</v>
      </c>
      <c r="C284" s="543"/>
      <c r="D284" s="596"/>
      <c r="E284" s="1080">
        <f t="shared" si="32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3" t="s">
        <v>42</v>
      </c>
      <c r="C285" s="543"/>
      <c r="D285" s="596"/>
      <c r="E285" s="1080">
        <f t="shared" si="32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>
        <v>0</v>
      </c>
      <c r="AG285" s="543"/>
      <c r="AH285" s="596"/>
      <c r="AI285" s="1080">
        <v>0</v>
      </c>
      <c r="AJ285" s="543"/>
      <c r="AK285" s="596"/>
      <c r="AL285" s="1080">
        <v>0</v>
      </c>
      <c r="AM285" s="543"/>
      <c r="AN285" s="596"/>
      <c r="AO285" s="1080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3" t="s">
        <v>42</v>
      </c>
      <c r="C286" s="543"/>
      <c r="D286" s="596"/>
      <c r="E286" s="1080">
        <f t="shared" si="32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>
        <v>0</v>
      </c>
      <c r="AG286" s="543"/>
      <c r="AH286" s="596"/>
      <c r="AI286" s="1080">
        <v>0</v>
      </c>
      <c r="AJ286" s="543"/>
      <c r="AK286" s="596"/>
      <c r="AL286" s="1080">
        <v>0</v>
      </c>
      <c r="AM286" s="543"/>
      <c r="AN286" s="596"/>
      <c r="AO286" s="1080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3" t="s">
        <v>42</v>
      </c>
      <c r="C287" s="543"/>
      <c r="D287" s="596"/>
      <c r="E287" s="1080">
        <f t="shared" si="32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>
        <v>0</v>
      </c>
      <c r="AG287" s="543"/>
      <c r="AH287" s="596"/>
      <c r="AI287" s="1080">
        <v>0</v>
      </c>
      <c r="AJ287" s="543"/>
      <c r="AK287" s="596"/>
      <c r="AL287" s="1080">
        <v>0</v>
      </c>
      <c r="AM287" s="543"/>
      <c r="AN287" s="596"/>
      <c r="AO287" s="1080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">
      <c r="A288" s="533" t="str">
        <f t="shared" si="31"/>
        <v>CarrosserieTOTAL SEMI-FIXES</v>
      </c>
      <c r="B288" s="1222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32" t="s">
        <v>108</v>
      </c>
      <c r="G288" s="1133">
        <v>0</v>
      </c>
      <c r="H288" s="1134">
        <v>0</v>
      </c>
      <c r="I288" s="1132" t="s">
        <v>108</v>
      </c>
      <c r="J288" s="1133">
        <v>0</v>
      </c>
      <c r="K288" s="1134">
        <v>0</v>
      </c>
      <c r="L288" s="1132" t="s">
        <v>108</v>
      </c>
      <c r="M288" s="1133">
        <v>0</v>
      </c>
      <c r="N288" s="1134">
        <v>0</v>
      </c>
      <c r="O288" s="1132" t="s">
        <v>108</v>
      </c>
      <c r="P288" s="1133">
        <v>0</v>
      </c>
      <c r="Q288" s="1134">
        <v>0</v>
      </c>
      <c r="R288" s="1132" t="s">
        <v>108</v>
      </c>
      <c r="S288" s="1133">
        <v>0</v>
      </c>
      <c r="T288" s="1134">
        <v>0</v>
      </c>
      <c r="U288" s="1132" t="s">
        <v>108</v>
      </c>
      <c r="V288" s="1133">
        <v>0</v>
      </c>
      <c r="W288" s="1134">
        <v>0</v>
      </c>
      <c r="X288" s="1132" t="s">
        <v>108</v>
      </c>
      <c r="Y288" s="1111">
        <v>0</v>
      </c>
      <c r="Z288" s="1134">
        <v>0</v>
      </c>
      <c r="AA288" s="1132" t="s">
        <v>108</v>
      </c>
      <c r="AB288" s="1111">
        <v>0</v>
      </c>
      <c r="AC288" s="1134">
        <v>0</v>
      </c>
      <c r="AD288" s="1132" t="s">
        <v>108</v>
      </c>
      <c r="AE288" s="1111">
        <v>0</v>
      </c>
      <c r="AF288" s="1134">
        <v>0</v>
      </c>
      <c r="AG288" s="1132" t="s">
        <v>108</v>
      </c>
      <c r="AH288" s="1111">
        <v>0</v>
      </c>
      <c r="AI288" s="1134">
        <v>0</v>
      </c>
      <c r="AJ288" s="1132" t="s">
        <v>108</v>
      </c>
      <c r="AK288" s="1111">
        <v>0</v>
      </c>
      <c r="AL288" s="1134">
        <v>0</v>
      </c>
      <c r="AM288" s="1132" t="s">
        <v>108</v>
      </c>
      <c r="AN288" s="1111">
        <v>0</v>
      </c>
      <c r="AO288" s="1134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">
      <c r="A289" s="533" t="str">
        <f t="shared" si="31"/>
        <v>Carrosserie</v>
      </c>
      <c r="B289" s="747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">
      <c r="A290" s="533" t="str">
        <f t="shared" si="31"/>
        <v>CarrosserieTOTAL DES DÉPENSES</v>
      </c>
      <c r="B290" s="1125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10" t="s">
        <v>108</v>
      </c>
      <c r="G290" s="1166">
        <v>0</v>
      </c>
      <c r="H290" s="1127">
        <v>0</v>
      </c>
      <c r="I290" s="1110" t="s">
        <v>108</v>
      </c>
      <c r="J290" s="1166">
        <v>0</v>
      </c>
      <c r="K290" s="1127">
        <v>0</v>
      </c>
      <c r="L290" s="1110" t="s">
        <v>108</v>
      </c>
      <c r="M290" s="1166">
        <v>0</v>
      </c>
      <c r="N290" s="1127">
        <v>0</v>
      </c>
      <c r="O290" s="1110" t="s">
        <v>108</v>
      </c>
      <c r="P290" s="1166">
        <v>0</v>
      </c>
      <c r="Q290" s="1127">
        <v>0</v>
      </c>
      <c r="R290" s="1110" t="s">
        <v>108</v>
      </c>
      <c r="S290" s="1166">
        <v>0</v>
      </c>
      <c r="T290" s="1127">
        <v>0</v>
      </c>
      <c r="U290" s="1110" t="s">
        <v>108</v>
      </c>
      <c r="V290" s="1166">
        <v>0</v>
      </c>
      <c r="W290" s="1127">
        <v>0</v>
      </c>
      <c r="X290" s="1110" t="s">
        <v>108</v>
      </c>
      <c r="Y290" s="1111">
        <v>0</v>
      </c>
      <c r="Z290" s="1127">
        <v>0</v>
      </c>
      <c r="AA290" s="1110" t="s">
        <v>108</v>
      </c>
      <c r="AB290" s="1111">
        <v>0</v>
      </c>
      <c r="AC290" s="1127">
        <v>0</v>
      </c>
      <c r="AD290" s="1110" t="s">
        <v>108</v>
      </c>
      <c r="AE290" s="1111">
        <v>0</v>
      </c>
      <c r="AF290" s="1127">
        <v>0</v>
      </c>
      <c r="AG290" s="1110" t="s">
        <v>108</v>
      </c>
      <c r="AH290" s="1111">
        <v>0</v>
      </c>
      <c r="AI290" s="1127">
        <v>0</v>
      </c>
      <c r="AJ290" s="1110" t="s">
        <v>108</v>
      </c>
      <c r="AK290" s="1111">
        <v>0</v>
      </c>
      <c r="AL290" s="1127">
        <v>0</v>
      </c>
      <c r="AM290" s="1110" t="s">
        <v>108</v>
      </c>
      <c r="AN290" s="1111">
        <v>0</v>
      </c>
      <c r="AO290" s="1127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">
      <c r="A291" s="533" t="str">
        <f t="shared" si="31"/>
        <v>Carrosserie</v>
      </c>
      <c r="B291" s="7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38" t="s">
        <v>139</v>
      </c>
      <c r="C292" s="1167"/>
      <c r="D292" s="1168"/>
      <c r="E292" s="1141">
        <f>E253-E290</f>
        <v>0</v>
      </c>
      <c r="F292" s="1169"/>
      <c r="G292" s="1170"/>
      <c r="H292" s="1144">
        <v>0</v>
      </c>
      <c r="I292" s="1169"/>
      <c r="J292" s="1170"/>
      <c r="K292" s="1144">
        <v>0</v>
      </c>
      <c r="L292" s="1169"/>
      <c r="M292" s="1170"/>
      <c r="N292" s="1144">
        <v>0</v>
      </c>
      <c r="O292" s="1169"/>
      <c r="P292" s="1170"/>
      <c r="Q292" s="1144">
        <v>0</v>
      </c>
      <c r="R292" s="1169"/>
      <c r="S292" s="1170"/>
      <c r="T292" s="1144">
        <v>0</v>
      </c>
      <c r="U292" s="1169"/>
      <c r="V292" s="1170"/>
      <c r="W292" s="1144">
        <v>0</v>
      </c>
      <c r="X292" s="1169"/>
      <c r="Y292" s="1170"/>
      <c r="Z292" s="1144">
        <v>0</v>
      </c>
      <c r="AA292" s="1169"/>
      <c r="AB292" s="1170"/>
      <c r="AC292" s="1144">
        <v>0</v>
      </c>
      <c r="AD292" s="1169"/>
      <c r="AE292" s="1170"/>
      <c r="AF292" s="1144">
        <v>0</v>
      </c>
      <c r="AG292" s="1169"/>
      <c r="AH292" s="1170"/>
      <c r="AI292" s="1144">
        <v>0</v>
      </c>
      <c r="AJ292" s="1169"/>
      <c r="AK292" s="1170"/>
      <c r="AL292" s="1144">
        <v>0</v>
      </c>
      <c r="AM292" s="1169"/>
      <c r="AN292" s="1170"/>
      <c r="AO292" s="1144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">
      <c r="A293" s="533"/>
      <c r="B293" s="744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">
      <c r="A294" s="533"/>
      <c r="B294" s="1146" t="str">
        <f>$B$4</f>
        <v>Réel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7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48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">
      <c r="A297" s="533" t="str">
        <f>+$C$294&amp;B297</f>
        <v>Pièces</v>
      </c>
      <c r="B297" s="7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">
      <c r="A298" s="533" t="str">
        <f t="shared" ref="A298:A356" si="33">+$C$294&amp;B298</f>
        <v>PiècesPièces Ro Clients</v>
      </c>
      <c r="B298" s="743" t="s">
        <v>169</v>
      </c>
      <c r="C298" s="1172">
        <f t="shared" ref="C298:C305" si="34">+SUM(F298,I298,L298,O298,R298,U298,X298,AA298,AD298,AG298,AJ298,AM298)</f>
        <v>685102.1799999997</v>
      </c>
      <c r="D298" s="1162">
        <f t="shared" ref="D298:D303" si="35">IF(C298&lt;=0,0,E298/C298)</f>
        <v>0.40209127636989822</v>
      </c>
      <c r="E298" s="1080">
        <f t="shared" ref="E298:E306" si="36">+SUM(H298,K298,N298,Q298,T298,W298,Z298,AC298,AF298,AI298,AL298,AO298)</f>
        <v>275473.60999999964</v>
      </c>
      <c r="F298" s="1173">
        <v>42365.77</v>
      </c>
      <c r="G298" s="1162">
        <v>0.42598989703243917</v>
      </c>
      <c r="H298" s="1101">
        <v>18047.39</v>
      </c>
      <c r="I298" s="1173">
        <v>39938.219999999899</v>
      </c>
      <c r="J298" s="1162">
        <v>0.4288037874497147</v>
      </c>
      <c r="K298" s="1101">
        <v>17125.659999999902</v>
      </c>
      <c r="L298" s="1173">
        <v>64634.28</v>
      </c>
      <c r="M298" s="1162">
        <v>0.35379151744244697</v>
      </c>
      <c r="N298" s="1101">
        <v>22867.06</v>
      </c>
      <c r="O298" s="1173">
        <v>64717.729999999901</v>
      </c>
      <c r="P298" s="1162">
        <v>0.37632114105361758</v>
      </c>
      <c r="Q298" s="1101">
        <v>24354.6499999999</v>
      </c>
      <c r="R298" s="1173">
        <v>65511.2599999999</v>
      </c>
      <c r="S298" s="1162">
        <v>0.41723987601520629</v>
      </c>
      <c r="T298" s="1101">
        <v>27333.909999999902</v>
      </c>
      <c r="U298" s="1173">
        <v>60262.31</v>
      </c>
      <c r="V298" s="1162">
        <v>0.40968940619766986</v>
      </c>
      <c r="W298" s="1101">
        <v>24688.8299999999</v>
      </c>
      <c r="X298" s="1173">
        <v>69391.56</v>
      </c>
      <c r="Y298" s="1162">
        <v>0.42826317782738993</v>
      </c>
      <c r="Z298" s="1101">
        <v>29717.85</v>
      </c>
      <c r="AA298" s="1173">
        <v>59394.13</v>
      </c>
      <c r="AB298" s="1162">
        <v>0.43643488001255343</v>
      </c>
      <c r="AC298" s="1101">
        <v>25921.67</v>
      </c>
      <c r="AD298" s="1173">
        <v>39550.31</v>
      </c>
      <c r="AE298" s="1162">
        <v>0.36886714667976045</v>
      </c>
      <c r="AF298" s="1101">
        <v>14588.809999999996</v>
      </c>
      <c r="AG298" s="1173">
        <v>63975.58</v>
      </c>
      <c r="AH298" s="1162">
        <v>0.40223613447506062</v>
      </c>
      <c r="AI298" s="1101">
        <v>25733.29</v>
      </c>
      <c r="AJ298" s="1173">
        <v>67696.600000000006</v>
      </c>
      <c r="AK298" s="1162">
        <v>0.36578380598139354</v>
      </c>
      <c r="AL298" s="1101">
        <v>24762.320000000007</v>
      </c>
      <c r="AM298" s="1173">
        <v>47664.43</v>
      </c>
      <c r="AN298" s="1162">
        <v>0.42656903691075293</v>
      </c>
      <c r="AO298" s="1101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">
      <c r="A299" s="533" t="str">
        <f t="shared" si="33"/>
        <v>PiècesPièces Ro Carrosserie</v>
      </c>
      <c r="B299" s="743" t="s">
        <v>170</v>
      </c>
      <c r="C299" s="1172">
        <f t="shared" si="34"/>
        <v>5835.08</v>
      </c>
      <c r="D299" s="1162">
        <f t="shared" si="35"/>
        <v>0.2995982917115102</v>
      </c>
      <c r="E299" s="1080">
        <f t="shared" si="36"/>
        <v>1748.1799999999989</v>
      </c>
      <c r="F299" s="1173">
        <v>0</v>
      </c>
      <c r="G299" s="1162">
        <v>0</v>
      </c>
      <c r="H299" s="1101">
        <v>0</v>
      </c>
      <c r="I299" s="1173">
        <v>507.77</v>
      </c>
      <c r="J299" s="1162">
        <v>0.47671189711877426</v>
      </c>
      <c r="K299" s="1101">
        <v>242.06</v>
      </c>
      <c r="L299" s="1173">
        <v>0</v>
      </c>
      <c r="M299" s="1162">
        <v>0</v>
      </c>
      <c r="N299" s="1101">
        <v>0</v>
      </c>
      <c r="O299" s="1173">
        <v>0</v>
      </c>
      <c r="P299" s="1162">
        <v>0</v>
      </c>
      <c r="Q299" s="1101">
        <v>0</v>
      </c>
      <c r="R299" s="1173">
        <v>2268.4899999999998</v>
      </c>
      <c r="S299" s="1162">
        <v>0.27864791116557669</v>
      </c>
      <c r="T299" s="1101">
        <v>632.10999999999899</v>
      </c>
      <c r="U299" s="1173">
        <v>3058.82</v>
      </c>
      <c r="V299" s="1162">
        <v>0.28573436815504016</v>
      </c>
      <c r="W299" s="1101">
        <v>874.01</v>
      </c>
      <c r="X299" s="1173">
        <v>0</v>
      </c>
      <c r="Y299" s="1162">
        <v>0</v>
      </c>
      <c r="Z299" s="1101">
        <v>0</v>
      </c>
      <c r="AA299" s="1173">
        <v>0</v>
      </c>
      <c r="AB299" s="1162">
        <v>0</v>
      </c>
      <c r="AC299" s="1101">
        <v>0</v>
      </c>
      <c r="AD299" s="1173">
        <v>0</v>
      </c>
      <c r="AE299" s="1162">
        <v>0</v>
      </c>
      <c r="AF299" s="1101">
        <v>0</v>
      </c>
      <c r="AG299" s="1173">
        <v>0</v>
      </c>
      <c r="AH299" s="1162">
        <v>0</v>
      </c>
      <c r="AI299" s="1101">
        <v>0</v>
      </c>
      <c r="AJ299" s="1173">
        <v>0</v>
      </c>
      <c r="AK299" s="1162">
        <v>0</v>
      </c>
      <c r="AL299" s="1101">
        <v>0</v>
      </c>
      <c r="AM299" s="1173">
        <v>0</v>
      </c>
      <c r="AN299" s="1162"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">
      <c r="A300" s="533" t="str">
        <f t="shared" si="33"/>
        <v>PiècesP/A Garantie</v>
      </c>
      <c r="B300" s="743" t="s">
        <v>171</v>
      </c>
      <c r="C300" s="1172">
        <f t="shared" si="34"/>
        <v>778292.1</v>
      </c>
      <c r="D300" s="1162">
        <f t="shared" si="35"/>
        <v>0.27681239472943364</v>
      </c>
      <c r="E300" s="1080">
        <f t="shared" si="36"/>
        <v>215440.89999999982</v>
      </c>
      <c r="F300" s="1173">
        <v>59620.77</v>
      </c>
      <c r="G300" s="1162">
        <v>0.28022197633475715</v>
      </c>
      <c r="H300" s="1101">
        <v>16707.05</v>
      </c>
      <c r="I300" s="1173">
        <v>59603.33</v>
      </c>
      <c r="J300" s="1162">
        <v>0.28471764916490239</v>
      </c>
      <c r="K300" s="1101">
        <v>16970.119999999901</v>
      </c>
      <c r="L300" s="1173">
        <v>77079.78</v>
      </c>
      <c r="M300" s="1162">
        <v>0.28732399080536947</v>
      </c>
      <c r="N300" s="1101">
        <v>22146.869999999901</v>
      </c>
      <c r="O300" s="1173">
        <v>56399.72</v>
      </c>
      <c r="P300" s="1162">
        <v>0.27891503716685118</v>
      </c>
      <c r="Q300" s="1101">
        <v>15730.73</v>
      </c>
      <c r="R300" s="1173">
        <v>83552.850000000006</v>
      </c>
      <c r="S300" s="1162">
        <v>0.2531612027596904</v>
      </c>
      <c r="T300" s="1101">
        <v>21152.34</v>
      </c>
      <c r="U300" s="1173">
        <v>66450.84</v>
      </c>
      <c r="V300" s="1162">
        <v>0.28603746769792526</v>
      </c>
      <c r="W300" s="1101">
        <v>19007.43</v>
      </c>
      <c r="X300" s="1173">
        <v>84145.25</v>
      </c>
      <c r="Y300" s="1162">
        <v>0.26860957689233794</v>
      </c>
      <c r="Z300" s="1101">
        <v>22602.22</v>
      </c>
      <c r="AA300" s="1173">
        <v>83246.25</v>
      </c>
      <c r="AB300" s="1162">
        <v>0.26271802033124614</v>
      </c>
      <c r="AC300" s="1101">
        <v>21870.29</v>
      </c>
      <c r="AD300" s="1173">
        <v>102128.39</v>
      </c>
      <c r="AE300" s="1162">
        <v>0.28571702736134402</v>
      </c>
      <c r="AF300" s="1101">
        <v>29179.820000000011</v>
      </c>
      <c r="AG300" s="1173">
        <v>38383.699999999997</v>
      </c>
      <c r="AH300" s="1162">
        <v>0.28603678123786919</v>
      </c>
      <c r="AI300" s="1101">
        <v>10979.149999999998</v>
      </c>
      <c r="AJ300" s="1173">
        <v>41301.49</v>
      </c>
      <c r="AK300" s="1162">
        <v>0.27899162959980384</v>
      </c>
      <c r="AL300" s="1101">
        <v>11522.770000000002</v>
      </c>
      <c r="AM300" s="1173">
        <v>26379.730000000003</v>
      </c>
      <c r="AN300" s="1162">
        <v>0.28704274077103925</v>
      </c>
      <c r="AO300" s="1101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">
      <c r="A301" s="533" t="str">
        <f t="shared" si="33"/>
        <v>PiècesVentes Internes</v>
      </c>
      <c r="B301" s="743" t="s">
        <v>172</v>
      </c>
      <c r="C301" s="1172">
        <f t="shared" si="34"/>
        <v>249559.72999999989</v>
      </c>
      <c r="D301" s="1162">
        <f t="shared" si="35"/>
        <v>0.3383538281596955</v>
      </c>
      <c r="E301" s="1080">
        <f t="shared" si="36"/>
        <v>84439.489999999976</v>
      </c>
      <c r="F301" s="1173">
        <v>10897.52</v>
      </c>
      <c r="G301" s="1162">
        <v>0.43634515008919456</v>
      </c>
      <c r="H301" s="1101">
        <v>4755.08</v>
      </c>
      <c r="I301" s="1173">
        <v>14844.9399999999</v>
      </c>
      <c r="J301" s="1162">
        <v>0.34725771879172468</v>
      </c>
      <c r="K301" s="1101">
        <v>5155.0199999999904</v>
      </c>
      <c r="L301" s="1173">
        <v>16471.04</v>
      </c>
      <c r="M301" s="1162">
        <v>0.38205298511812247</v>
      </c>
      <c r="N301" s="1101">
        <v>6292.81</v>
      </c>
      <c r="O301" s="1173">
        <v>20132.62</v>
      </c>
      <c r="P301" s="1162">
        <v>0.35222986377331866</v>
      </c>
      <c r="Q301" s="1101">
        <v>7091.3099999999904</v>
      </c>
      <c r="R301" s="1173">
        <v>41963.360000000001</v>
      </c>
      <c r="S301" s="1162">
        <v>0.3080882941690084</v>
      </c>
      <c r="T301" s="1101">
        <v>12928.42</v>
      </c>
      <c r="U301" s="1173">
        <v>23272.43</v>
      </c>
      <c r="V301" s="1162">
        <v>0.32713128796606111</v>
      </c>
      <c r="W301" s="1101">
        <v>7613.14</v>
      </c>
      <c r="X301" s="1173">
        <v>16698.669999999998</v>
      </c>
      <c r="Y301" s="1162">
        <v>0.37965957767894098</v>
      </c>
      <c r="Z301" s="1101">
        <v>6339.81</v>
      </c>
      <c r="AA301" s="1173">
        <v>19834.52</v>
      </c>
      <c r="AB301" s="1162">
        <v>0.34487297902848169</v>
      </c>
      <c r="AC301" s="1101">
        <v>6840.39</v>
      </c>
      <c r="AD301" s="1173">
        <v>16277.330000000002</v>
      </c>
      <c r="AE301" s="1162">
        <v>0.33547270959057784</v>
      </c>
      <c r="AF301" s="1101">
        <v>5460.6000000000013</v>
      </c>
      <c r="AG301" s="1173">
        <v>24634.07</v>
      </c>
      <c r="AH301" s="1162">
        <v>0.35360376908890812</v>
      </c>
      <c r="AI301" s="1101">
        <v>8710.6999999999989</v>
      </c>
      <c r="AJ301" s="1173">
        <v>30393.85</v>
      </c>
      <c r="AK301" s="1162">
        <v>0.31035620693002036</v>
      </c>
      <c r="AL301" s="1101">
        <v>9432.9199999999983</v>
      </c>
      <c r="AM301" s="1173">
        <v>14139.380000000001</v>
      </c>
      <c r="AN301" s="1162">
        <v>0.2701172187182182</v>
      </c>
      <c r="AO301" s="1101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">
      <c r="A302" s="533" t="str">
        <f t="shared" si="33"/>
        <v>PiècesVentes Détails</v>
      </c>
      <c r="B302" s="743" t="s">
        <v>173</v>
      </c>
      <c r="C302" s="1172">
        <f t="shared" si="34"/>
        <v>208673.93</v>
      </c>
      <c r="D302" s="1162">
        <f t="shared" si="35"/>
        <v>0.33056635296991821</v>
      </c>
      <c r="E302" s="1080">
        <f t="shared" si="36"/>
        <v>68980.58</v>
      </c>
      <c r="F302" s="1173">
        <v>11998.51</v>
      </c>
      <c r="G302" s="1162">
        <v>0.30664890890618918</v>
      </c>
      <c r="H302" s="1101">
        <v>3679.33</v>
      </c>
      <c r="I302" s="1173">
        <v>8088.5</v>
      </c>
      <c r="J302" s="1162">
        <v>0.29297150275081907</v>
      </c>
      <c r="K302" s="1101">
        <v>2369.6999999999998</v>
      </c>
      <c r="L302" s="1173">
        <v>18055.36</v>
      </c>
      <c r="M302" s="1162">
        <v>0.29885529837123154</v>
      </c>
      <c r="N302" s="1101">
        <v>5395.94</v>
      </c>
      <c r="O302" s="1173">
        <v>17037.740000000002</v>
      </c>
      <c r="P302" s="1162">
        <v>0.28554139222690328</v>
      </c>
      <c r="Q302" s="1101">
        <v>4864.9799999999996</v>
      </c>
      <c r="R302" s="1173">
        <v>22031.26</v>
      </c>
      <c r="S302" s="1162">
        <v>0.33702384702463639</v>
      </c>
      <c r="T302" s="1101">
        <v>7425.0599999999904</v>
      </c>
      <c r="U302" s="1173">
        <v>18082.54</v>
      </c>
      <c r="V302" s="1162">
        <v>0.32192103542975709</v>
      </c>
      <c r="W302" s="1101">
        <v>5821.15</v>
      </c>
      <c r="X302" s="1173">
        <v>17857.32</v>
      </c>
      <c r="Y302" s="1162">
        <v>0.3781877683773377</v>
      </c>
      <c r="Z302" s="1101">
        <v>6753.42</v>
      </c>
      <c r="AA302" s="1173">
        <v>16735.09</v>
      </c>
      <c r="AB302" s="1162">
        <v>0.38941887973115175</v>
      </c>
      <c r="AC302" s="1101">
        <v>6516.96</v>
      </c>
      <c r="AD302" s="1173">
        <v>16589.210000000003</v>
      </c>
      <c r="AE302" s="1162">
        <v>0.37189293522717476</v>
      </c>
      <c r="AF302" s="1101">
        <v>6169.4100000000008</v>
      </c>
      <c r="AG302" s="1173">
        <v>28011.840000000004</v>
      </c>
      <c r="AH302" s="1162">
        <v>0.36361767024229763</v>
      </c>
      <c r="AI302" s="1101">
        <v>10185.600000000004</v>
      </c>
      <c r="AJ302" s="1173">
        <v>20308.849999999999</v>
      </c>
      <c r="AK302" s="1162">
        <v>0.27080558475738403</v>
      </c>
      <c r="AL302" s="1101">
        <v>5499.7499999999982</v>
      </c>
      <c r="AM302" s="1173">
        <v>13877.710000000001</v>
      </c>
      <c r="AN302" s="1162">
        <v>0.30979750981970378</v>
      </c>
      <c r="AO302" s="1101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">
      <c r="A303" s="533" t="str">
        <f t="shared" si="33"/>
        <v>PiècesVentes de Gros</v>
      </c>
      <c r="B303" s="743" t="s">
        <v>174</v>
      </c>
      <c r="C303" s="1172">
        <f t="shared" si="34"/>
        <v>646813.34000000008</v>
      </c>
      <c r="D303" s="1162">
        <f t="shared" si="35"/>
        <v>0.19266297136048485</v>
      </c>
      <c r="E303" s="1080">
        <f t="shared" si="36"/>
        <v>124616.97999999957</v>
      </c>
      <c r="F303" s="1173">
        <v>30135.23</v>
      </c>
      <c r="G303" s="1162">
        <v>0.23333984840998392</v>
      </c>
      <c r="H303" s="1101">
        <v>7031.75</v>
      </c>
      <c r="I303" s="1173">
        <v>59213.71</v>
      </c>
      <c r="J303" s="1162">
        <v>0.21187711426964972</v>
      </c>
      <c r="K303" s="1101">
        <v>12546.029999999901</v>
      </c>
      <c r="L303" s="1173">
        <v>66953.62</v>
      </c>
      <c r="M303" s="1162">
        <v>0.18876126488754305</v>
      </c>
      <c r="N303" s="1101">
        <v>12638.2499999999</v>
      </c>
      <c r="O303" s="1173">
        <v>72740.67</v>
      </c>
      <c r="P303" s="1162">
        <v>0.19281758059143395</v>
      </c>
      <c r="Q303" s="1101">
        <v>14025.6799999999</v>
      </c>
      <c r="R303" s="1173">
        <v>83638.080000000002</v>
      </c>
      <c r="S303" s="1162">
        <v>0.16678575117936709</v>
      </c>
      <c r="T303" s="1101">
        <v>13949.64</v>
      </c>
      <c r="U303" s="1173">
        <v>56850.57</v>
      </c>
      <c r="V303" s="1162">
        <v>0.18463948558475315</v>
      </c>
      <c r="W303" s="1101">
        <v>10496.86</v>
      </c>
      <c r="X303" s="1173">
        <v>38006.58</v>
      </c>
      <c r="Y303" s="1162">
        <v>0.18203347946592405</v>
      </c>
      <c r="Z303" s="1101">
        <v>6918.47</v>
      </c>
      <c r="AA303" s="1173">
        <v>50297.27</v>
      </c>
      <c r="AB303" s="1162">
        <v>0.21691256801810319</v>
      </c>
      <c r="AC303" s="1101">
        <v>10910.109999999901</v>
      </c>
      <c r="AD303" s="1173">
        <v>46917.64</v>
      </c>
      <c r="AE303" s="1162">
        <v>0.19223686442881602</v>
      </c>
      <c r="AF303" s="1101">
        <v>9019.2999999999956</v>
      </c>
      <c r="AG303" s="1173">
        <v>44070.080000000002</v>
      </c>
      <c r="AH303" s="1162">
        <v>0.19408905089348594</v>
      </c>
      <c r="AI303" s="1101">
        <v>8553.5199999999968</v>
      </c>
      <c r="AJ303" s="1173">
        <v>50422.46</v>
      </c>
      <c r="AK303" s="1162">
        <v>0.18355133803467741</v>
      </c>
      <c r="AL303" s="1101">
        <v>9255.11</v>
      </c>
      <c r="AM303" s="1173">
        <v>47567.43</v>
      </c>
      <c r="AN303" s="1162">
        <v>0.19492875692464365</v>
      </c>
      <c r="AO303" s="1101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5" hidden="1" customHeight="1">
      <c r="A304" s="533" t="str">
        <f t="shared" si="33"/>
        <v>Pièces[...]</v>
      </c>
      <c r="B304" s="743" t="s">
        <v>42</v>
      </c>
      <c r="C304" s="1172">
        <f t="shared" si="34"/>
        <v>0</v>
      </c>
      <c r="D304" s="1162">
        <f>IF(C304&lt;=0,0,E304/C304)</f>
        <v>0</v>
      </c>
      <c r="E304" s="1080">
        <f t="shared" si="36"/>
        <v>0</v>
      </c>
      <c r="F304" s="1173"/>
      <c r="G304" s="1162"/>
      <c r="H304" s="1101"/>
      <c r="I304" s="1173"/>
      <c r="J304" s="1162"/>
      <c r="K304" s="1101"/>
      <c r="L304" s="1173"/>
      <c r="M304" s="1162"/>
      <c r="N304" s="1101"/>
      <c r="O304" s="1173"/>
      <c r="P304" s="1162"/>
      <c r="Q304" s="1101"/>
      <c r="R304" s="1173"/>
      <c r="S304" s="1162"/>
      <c r="T304" s="1101"/>
      <c r="U304" s="1173"/>
      <c r="V304" s="1162"/>
      <c r="W304" s="1101"/>
      <c r="X304" s="1173"/>
      <c r="Y304" s="1162"/>
      <c r="Z304" s="1101"/>
      <c r="AA304" s="1173"/>
      <c r="AB304" s="1162"/>
      <c r="AC304" s="1101"/>
      <c r="AD304" s="1173">
        <v>0</v>
      </c>
      <c r="AE304" s="1162">
        <v>0</v>
      </c>
      <c r="AF304" s="1101">
        <v>0</v>
      </c>
      <c r="AG304" s="1173">
        <v>0</v>
      </c>
      <c r="AH304" s="1162">
        <v>0</v>
      </c>
      <c r="AI304" s="1101">
        <v>0</v>
      </c>
      <c r="AJ304" s="1173">
        <v>0</v>
      </c>
      <c r="AK304" s="1162">
        <v>0</v>
      </c>
      <c r="AL304" s="1101">
        <v>0</v>
      </c>
      <c r="AM304" s="1173">
        <v>0</v>
      </c>
      <c r="AN304" s="1162">
        <v>0</v>
      </c>
      <c r="AO304" s="1101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">
      <c r="A305" s="533" t="str">
        <f t="shared" si="33"/>
        <v>PiècesEscomptes</v>
      </c>
      <c r="B305" s="743" t="s">
        <v>175</v>
      </c>
      <c r="C305" s="1172">
        <f t="shared" si="34"/>
        <v>0</v>
      </c>
      <c r="D305" s="1162">
        <f>IF(C305&lt;=0,0,E305/C305)</f>
        <v>0</v>
      </c>
      <c r="E305" s="1080">
        <f t="shared" si="36"/>
        <v>96033.59</v>
      </c>
      <c r="F305" s="1173">
        <v>0</v>
      </c>
      <c r="G305" s="1162">
        <v>0</v>
      </c>
      <c r="H305" s="1101">
        <v>14000.68</v>
      </c>
      <c r="I305" s="1173">
        <v>0</v>
      </c>
      <c r="J305" s="1162">
        <v>0</v>
      </c>
      <c r="K305" s="1101">
        <v>10061.57</v>
      </c>
      <c r="L305" s="1173">
        <v>0</v>
      </c>
      <c r="M305" s="1162">
        <v>0</v>
      </c>
      <c r="N305" s="1101">
        <v>3172.85</v>
      </c>
      <c r="O305" s="1173">
        <v>0</v>
      </c>
      <c r="P305" s="1162">
        <v>0</v>
      </c>
      <c r="Q305" s="1101">
        <v>20142.95</v>
      </c>
      <c r="R305" s="1173">
        <v>0</v>
      </c>
      <c r="S305" s="1162">
        <v>0</v>
      </c>
      <c r="T305" s="1101">
        <v>5281.11</v>
      </c>
      <c r="U305" s="1173">
        <v>0</v>
      </c>
      <c r="V305" s="1162">
        <v>0</v>
      </c>
      <c r="W305" s="1101">
        <v>4225.6499999999996</v>
      </c>
      <c r="X305" s="1173">
        <v>0</v>
      </c>
      <c r="Y305" s="1162">
        <v>0</v>
      </c>
      <c r="Z305" s="1101">
        <v>3265.21</v>
      </c>
      <c r="AA305" s="1173">
        <v>0</v>
      </c>
      <c r="AB305" s="1162">
        <v>0</v>
      </c>
      <c r="AC305" s="1101">
        <v>951</v>
      </c>
      <c r="AD305" s="1173">
        <v>0</v>
      </c>
      <c r="AE305" s="1162">
        <v>0</v>
      </c>
      <c r="AF305" s="1101">
        <v>6663.95</v>
      </c>
      <c r="AG305" s="1173">
        <v>0</v>
      </c>
      <c r="AH305" s="1162">
        <v>0</v>
      </c>
      <c r="AI305" s="1101">
        <v>20561.64</v>
      </c>
      <c r="AJ305" s="1173">
        <v>0</v>
      </c>
      <c r="AK305" s="1162">
        <v>0</v>
      </c>
      <c r="AL305" s="1101">
        <v>7662.76</v>
      </c>
      <c r="AM305" s="1173">
        <v>0</v>
      </c>
      <c r="AN305" s="1162">
        <v>0</v>
      </c>
      <c r="AO305" s="1101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">
      <c r="A306" s="533" t="str">
        <f t="shared" si="33"/>
        <v>PiècesRectif. Inventaire</v>
      </c>
      <c r="B306" s="747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36"/>
        <v>20577.169999999998</v>
      </c>
      <c r="F306" s="1173">
        <v>0</v>
      </c>
      <c r="G306" s="1162">
        <v>0</v>
      </c>
      <c r="H306" s="1101">
        <v>0</v>
      </c>
      <c r="I306" s="1173">
        <v>0</v>
      </c>
      <c r="J306" s="1162">
        <v>0</v>
      </c>
      <c r="K306" s="1101">
        <v>0</v>
      </c>
      <c r="L306" s="1173">
        <v>0</v>
      </c>
      <c r="M306" s="1162">
        <v>0</v>
      </c>
      <c r="N306" s="1101">
        <v>0</v>
      </c>
      <c r="O306" s="1173">
        <v>0</v>
      </c>
      <c r="P306" s="1162">
        <v>0</v>
      </c>
      <c r="Q306" s="1101">
        <v>0</v>
      </c>
      <c r="R306" s="1173">
        <v>0</v>
      </c>
      <c r="S306" s="1162">
        <v>0</v>
      </c>
      <c r="T306" s="1101">
        <v>0</v>
      </c>
      <c r="U306" s="1173">
        <v>0</v>
      </c>
      <c r="V306" s="1162">
        <v>0</v>
      </c>
      <c r="W306" s="1101">
        <v>0</v>
      </c>
      <c r="X306" s="1173">
        <v>0</v>
      </c>
      <c r="Y306" s="1162">
        <v>0</v>
      </c>
      <c r="Z306" s="1101">
        <v>0</v>
      </c>
      <c r="AA306" s="1173">
        <v>0</v>
      </c>
      <c r="AB306" s="1162">
        <v>0</v>
      </c>
      <c r="AC306" s="1101">
        <v>0</v>
      </c>
      <c r="AD306" s="1173">
        <v>0</v>
      </c>
      <c r="AE306" s="1162">
        <v>0</v>
      </c>
      <c r="AF306" s="1101">
        <v>0</v>
      </c>
      <c r="AG306" s="1173">
        <v>0</v>
      </c>
      <c r="AH306" s="1162">
        <v>0</v>
      </c>
      <c r="AI306" s="1101">
        <v>0</v>
      </c>
      <c r="AJ306" s="1173">
        <v>0</v>
      </c>
      <c r="AK306" s="1162">
        <v>0</v>
      </c>
      <c r="AL306" s="1101">
        <v>20577.169999999998</v>
      </c>
      <c r="AM306" s="1173">
        <v>0</v>
      </c>
      <c r="AN306" s="1162">
        <v>0</v>
      </c>
      <c r="AO306" s="1101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">
      <c r="A307" s="533" t="str">
        <f t="shared" si="33"/>
        <v>PiècesSous-total Pièces</v>
      </c>
      <c r="B307" s="751" t="s">
        <v>177</v>
      </c>
      <c r="C307" s="1210">
        <f>SUM(C298:C306)</f>
        <v>2574276.3599999994</v>
      </c>
      <c r="D307" s="1223">
        <f>IF(C307&lt;=0,0,E307/C307)</f>
        <v>0.34468346669663674</v>
      </c>
      <c r="E307" s="1212">
        <f>SUM(E298:E306)</f>
        <v>887310.49999999907</v>
      </c>
      <c r="F307" s="1210">
        <v>155017.79999999999</v>
      </c>
      <c r="G307" s="1223">
        <v>0.41428326295431889</v>
      </c>
      <c r="H307" s="1212">
        <v>64221.280000000006</v>
      </c>
      <c r="I307" s="1210">
        <v>182196.4699999998</v>
      </c>
      <c r="J307" s="1223">
        <v>0.35384966569330217</v>
      </c>
      <c r="K307" s="1212">
        <v>64470.159999999691</v>
      </c>
      <c r="L307" s="1210">
        <v>243194.08000000002</v>
      </c>
      <c r="M307" s="1223">
        <v>0.29817247196148772</v>
      </c>
      <c r="N307" s="1212">
        <v>72513.77999999981</v>
      </c>
      <c r="O307" s="1210">
        <v>231028.47999999986</v>
      </c>
      <c r="P307" s="1223">
        <v>0.37315875514568531</v>
      </c>
      <c r="Q307" s="1212">
        <v>86210.299999999799</v>
      </c>
      <c r="R307" s="1210">
        <v>298965.29999999993</v>
      </c>
      <c r="S307" s="1223">
        <v>0.29669861351802335</v>
      </c>
      <c r="T307" s="1212">
        <v>88702.58999999988</v>
      </c>
      <c r="U307" s="1210">
        <v>227977.51</v>
      </c>
      <c r="V307" s="1223">
        <v>0.31900984443597041</v>
      </c>
      <c r="W307" s="1212">
        <v>72727.069999999891</v>
      </c>
      <c r="X307" s="1210">
        <v>226099.38</v>
      </c>
      <c r="Y307" s="1223">
        <v>0.33435288500127686</v>
      </c>
      <c r="Z307" s="1212">
        <v>75596.98</v>
      </c>
      <c r="AA307" s="1210">
        <v>229507.25999999998</v>
      </c>
      <c r="AB307" s="1223">
        <v>0.31811812837641784</v>
      </c>
      <c r="AC307" s="1212">
        <v>73010.419999999896</v>
      </c>
      <c r="AD307" s="1210">
        <v>221462.88</v>
      </c>
      <c r="AE307" s="1223">
        <v>0.32096525611876808</v>
      </c>
      <c r="AF307" s="1212">
        <v>71081.89</v>
      </c>
      <c r="AG307" s="1210">
        <v>199075.27000000002</v>
      </c>
      <c r="AH307" s="1223">
        <v>0.42558726656505347</v>
      </c>
      <c r="AI307" s="1212">
        <v>84723.9</v>
      </c>
      <c r="AJ307" s="1210">
        <v>210123.25</v>
      </c>
      <c r="AK307" s="1223">
        <v>0.42219411702417509</v>
      </c>
      <c r="AL307" s="1212">
        <v>88712.8</v>
      </c>
      <c r="AM307" s="1210">
        <v>149628.68000000002</v>
      </c>
      <c r="AN307" s="1223">
        <v>0.30301229684041858</v>
      </c>
      <c r="AO307" s="1212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">
      <c r="A308" s="533" t="str">
        <f t="shared" si="33"/>
        <v>Pièces</v>
      </c>
      <c r="B308" s="7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">
      <c r="A309" s="533" t="str">
        <f t="shared" si="33"/>
        <v>Pièces</v>
      </c>
      <c r="B309" s="747"/>
      <c r="C309" s="601"/>
      <c r="D309" s="1120"/>
      <c r="E309" s="1224"/>
      <c r="F309" s="601">
        <v>0</v>
      </c>
      <c r="G309" s="1120">
        <v>0</v>
      </c>
      <c r="H309" s="1224">
        <v>0</v>
      </c>
      <c r="I309" s="601">
        <v>0</v>
      </c>
      <c r="J309" s="1120">
        <v>0</v>
      </c>
      <c r="K309" s="1224">
        <v>0</v>
      </c>
      <c r="L309" s="601">
        <v>0</v>
      </c>
      <c r="M309" s="1120">
        <v>0</v>
      </c>
      <c r="N309" s="1224">
        <v>0</v>
      </c>
      <c r="O309" s="601">
        <v>0</v>
      </c>
      <c r="P309" s="1120">
        <v>0</v>
      </c>
      <c r="Q309" s="1224">
        <v>0</v>
      </c>
      <c r="R309" s="601">
        <v>0</v>
      </c>
      <c r="S309" s="1120">
        <v>0</v>
      </c>
      <c r="T309" s="1224">
        <v>0</v>
      </c>
      <c r="U309" s="601">
        <v>0</v>
      </c>
      <c r="V309" s="1120">
        <v>0</v>
      </c>
      <c r="W309" s="1224">
        <v>0</v>
      </c>
      <c r="X309" s="601">
        <v>0</v>
      </c>
      <c r="Y309" s="1120">
        <v>0</v>
      </c>
      <c r="Z309" s="1224">
        <v>0</v>
      </c>
      <c r="AA309" s="601">
        <v>0</v>
      </c>
      <c r="AB309" s="1120">
        <v>0</v>
      </c>
      <c r="AC309" s="1224">
        <v>0</v>
      </c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">
      <c r="A310" s="533" t="str">
        <f t="shared" si="33"/>
        <v>PiècesVentes Pneus</v>
      </c>
      <c r="B310" s="743" t="s">
        <v>178</v>
      </c>
      <c r="C310" s="1172">
        <f>+SUM(F310,I310,L310,O310,R310,U310,X310,AA310,AD310,AG310,AJ310,AM310)</f>
        <v>929937.22000000009</v>
      </c>
      <c r="D310" s="1162">
        <f>IF(C310&lt;=0,0,E310/C310)</f>
        <v>0.2524249647734283</v>
      </c>
      <c r="E310" s="1080">
        <f>+SUM(H310,K310,N310,Q310,T310,W310,Z310,AC310,AF310,AI310,AL310,AO310)</f>
        <v>234739.36999999988</v>
      </c>
      <c r="F310" s="1173">
        <v>35233.71</v>
      </c>
      <c r="G310" s="1162">
        <v>0.26669572974290817</v>
      </c>
      <c r="H310" s="1101">
        <v>9396.68</v>
      </c>
      <c r="I310" s="1173">
        <v>46608.89</v>
      </c>
      <c r="J310" s="1162">
        <v>0.26208755454163357</v>
      </c>
      <c r="K310" s="1101">
        <v>12215.61</v>
      </c>
      <c r="L310" s="1173">
        <v>65382.42</v>
      </c>
      <c r="M310" s="1162">
        <v>0.23347147444221245</v>
      </c>
      <c r="N310" s="1101">
        <v>15264.93</v>
      </c>
      <c r="O310" s="1173">
        <v>123870.27</v>
      </c>
      <c r="P310" s="1162">
        <v>0.23530569522452804</v>
      </c>
      <c r="Q310" s="1101">
        <v>29147.38</v>
      </c>
      <c r="R310" s="1173">
        <v>101694.56</v>
      </c>
      <c r="S310" s="1162">
        <v>0.23758802830751222</v>
      </c>
      <c r="T310" s="1101">
        <v>24161.41</v>
      </c>
      <c r="U310" s="1173">
        <v>52130.46</v>
      </c>
      <c r="V310" s="1162">
        <v>0.26498864579364734</v>
      </c>
      <c r="W310" s="1101">
        <v>13813.9799999999</v>
      </c>
      <c r="X310" s="1173">
        <v>51192.24</v>
      </c>
      <c r="Y310" s="1162">
        <v>0.26016990075058255</v>
      </c>
      <c r="Z310" s="1101">
        <v>13318.68</v>
      </c>
      <c r="AA310" s="1173">
        <v>49674.36</v>
      </c>
      <c r="AB310" s="1162">
        <v>0.25887137750743039</v>
      </c>
      <c r="AC310" s="1101">
        <v>12859.27</v>
      </c>
      <c r="AD310" s="1173">
        <v>75313.929999999993</v>
      </c>
      <c r="AE310" s="1162">
        <v>0.32085910269189244</v>
      </c>
      <c r="AF310" s="1101">
        <v>24165.159999999996</v>
      </c>
      <c r="AG310" s="1173">
        <v>71250.720000000001</v>
      </c>
      <c r="AH310" s="1162">
        <v>0.23677781782415677</v>
      </c>
      <c r="AI310" s="1101">
        <v>16870.590000000004</v>
      </c>
      <c r="AJ310" s="1173">
        <v>204347.3</v>
      </c>
      <c r="AK310" s="1162">
        <v>0.24262987570670119</v>
      </c>
      <c r="AL310" s="1101">
        <v>49580.75999999998</v>
      </c>
      <c r="AM310" s="1173">
        <v>53238.36</v>
      </c>
      <c r="AN310" s="1162">
        <v>0.26193368841564613</v>
      </c>
      <c r="AO310" s="1101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">
      <c r="A311" s="533" t="str">
        <f t="shared" si="33"/>
        <v>PiècesHuiles et Graisse</v>
      </c>
      <c r="B311" s="747" t="s">
        <v>179</v>
      </c>
      <c r="C311" s="1172">
        <f>+SUM(F311,I311,L311,O311,R311,U311,X311,AA311,AD311,AG311,AJ311,AM311)</f>
        <v>139294.44999999981</v>
      </c>
      <c r="D311" s="1162">
        <f>IF(C311&lt;=0,0,E311/C311)</f>
        <v>0.3549836335905705</v>
      </c>
      <c r="E311" s="1080">
        <f>+SUM(H311,K311,N311,Q311,T311,W311,Z311,AC311,AF311,AI311,AL311,AO311)</f>
        <v>49447.249999999978</v>
      </c>
      <c r="F311" s="1173">
        <v>6728.86</v>
      </c>
      <c r="G311" s="1162">
        <v>0.3558641434061624</v>
      </c>
      <c r="H311" s="1101">
        <v>2394.5599999999899</v>
      </c>
      <c r="I311" s="1173">
        <v>6821.75</v>
      </c>
      <c r="J311" s="1162">
        <v>0.351370249569392</v>
      </c>
      <c r="K311" s="1101">
        <v>2396.96</v>
      </c>
      <c r="L311" s="1173">
        <v>11187.6899999999</v>
      </c>
      <c r="M311" s="1162">
        <v>0.35300048535488787</v>
      </c>
      <c r="N311" s="1101">
        <v>3949.2599999999902</v>
      </c>
      <c r="O311" s="1173">
        <v>12727.68</v>
      </c>
      <c r="P311" s="1162">
        <v>0.37178338864584903</v>
      </c>
      <c r="Q311" s="1101">
        <v>4731.9399999999996</v>
      </c>
      <c r="R311" s="1173">
        <v>14277.5</v>
      </c>
      <c r="S311" s="1162">
        <v>0.35857748205218004</v>
      </c>
      <c r="T311" s="1101">
        <v>5119.59</v>
      </c>
      <c r="U311" s="1173">
        <v>11683.48</v>
      </c>
      <c r="V311" s="1162">
        <v>0.35906082776706943</v>
      </c>
      <c r="W311" s="1101">
        <v>4195.08</v>
      </c>
      <c r="X311" s="1173">
        <v>15796.7599999999</v>
      </c>
      <c r="Y311" s="1162">
        <v>0.35621798394101234</v>
      </c>
      <c r="Z311" s="1101">
        <v>5627.0899999999901</v>
      </c>
      <c r="AA311" s="1173">
        <v>15950.48</v>
      </c>
      <c r="AB311" s="1162">
        <v>0.3265274775429956</v>
      </c>
      <c r="AC311" s="1101">
        <v>5208.2700000000004</v>
      </c>
      <c r="AD311" s="1173">
        <v>10164.970000000001</v>
      </c>
      <c r="AE311" s="1162">
        <v>0.33665519917914183</v>
      </c>
      <c r="AF311" s="1101">
        <v>3422.0900000000015</v>
      </c>
      <c r="AG311" s="1173">
        <v>13462.53</v>
      </c>
      <c r="AH311" s="1162">
        <v>0.35435687051393755</v>
      </c>
      <c r="AI311" s="1101">
        <v>4770.54</v>
      </c>
      <c r="AJ311" s="1173">
        <v>12387.68</v>
      </c>
      <c r="AK311" s="1162">
        <v>0.38427373002854459</v>
      </c>
      <c r="AL311" s="1101">
        <v>4760.2600000000011</v>
      </c>
      <c r="AM311" s="1173">
        <v>8105.07</v>
      </c>
      <c r="AN311" s="1162">
        <v>0.35429798878973284</v>
      </c>
      <c r="AO311" s="1101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">
      <c r="A312" s="533" t="str">
        <f t="shared" si="33"/>
        <v>PiècesSous-total Pièces et Acc.</v>
      </c>
      <c r="B312" s="751" t="s">
        <v>180</v>
      </c>
      <c r="C312" s="1210">
        <f>C307+C310+C311</f>
        <v>3643508.0299999993</v>
      </c>
      <c r="D312" s="1223">
        <f>IF(C312&lt;=0,0,E312/C312)</f>
        <v>0.32152999536548277</v>
      </c>
      <c r="E312" s="1212">
        <f>E307+E310+E311</f>
        <v>1171497.1199999989</v>
      </c>
      <c r="F312" s="1210">
        <v>196980.36999999997</v>
      </c>
      <c r="G312" s="1223">
        <v>0.38588880709280832</v>
      </c>
      <c r="H312" s="1212">
        <v>76012.51999999999</v>
      </c>
      <c r="I312" s="1210">
        <v>235627.10999999981</v>
      </c>
      <c r="J312" s="1223">
        <v>0.33562661783697034</v>
      </c>
      <c r="K312" s="1212">
        <v>79082.729999999705</v>
      </c>
      <c r="L312" s="1210">
        <v>319764.18999999989</v>
      </c>
      <c r="M312" s="1223">
        <v>0.28686129613200229</v>
      </c>
      <c r="N312" s="1212">
        <v>91727.969999999812</v>
      </c>
      <c r="O312" s="1210">
        <v>367626.42999999988</v>
      </c>
      <c r="P312" s="1223">
        <v>0.32666209554084524</v>
      </c>
      <c r="Q312" s="1212">
        <v>120089.61999999981</v>
      </c>
      <c r="R312" s="1210">
        <v>414937.35999999993</v>
      </c>
      <c r="S312" s="1223">
        <v>0.28434072554951401</v>
      </c>
      <c r="T312" s="1212">
        <v>117983.58999999988</v>
      </c>
      <c r="U312" s="1210">
        <v>291791.45</v>
      </c>
      <c r="V312" s="1223">
        <v>0.31096226431583168</v>
      </c>
      <c r="W312" s="1212">
        <v>90736.129999999786</v>
      </c>
      <c r="X312" s="1210">
        <v>293088.37999999989</v>
      </c>
      <c r="Y312" s="1223">
        <v>0.3225742009969827</v>
      </c>
      <c r="Z312" s="1212">
        <v>94542.75</v>
      </c>
      <c r="AA312" s="1210">
        <v>295132.09999999998</v>
      </c>
      <c r="AB312" s="1223">
        <v>0.30860065712946816</v>
      </c>
      <c r="AC312" s="1212">
        <v>91077.959999999905</v>
      </c>
      <c r="AD312" s="1210">
        <v>306941.78000000003</v>
      </c>
      <c r="AE312" s="1223">
        <v>0.32145881215649424</v>
      </c>
      <c r="AF312" s="1212">
        <v>98669.139999999985</v>
      </c>
      <c r="AG312" s="1210">
        <v>283788.52</v>
      </c>
      <c r="AH312" s="1223">
        <v>0.37480385041650022</v>
      </c>
      <c r="AI312" s="1212">
        <v>106365.02999999998</v>
      </c>
      <c r="AJ312" s="1210">
        <v>426858.23</v>
      </c>
      <c r="AK312" s="1223">
        <v>0.33513192424566818</v>
      </c>
      <c r="AL312" s="1212">
        <v>143053.82</v>
      </c>
      <c r="AM312" s="1210">
        <v>210972.11000000004</v>
      </c>
      <c r="AN312" s="1223">
        <v>0.2946164779790087</v>
      </c>
      <c r="AO312" s="1212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">
      <c r="A313" s="533" t="str">
        <f t="shared" si="33"/>
        <v>Pièces</v>
      </c>
      <c r="B313" s="7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">
      <c r="A314" s="533" t="str">
        <f t="shared" si="33"/>
        <v>Pièces</v>
      </c>
      <c r="B314" s="743"/>
      <c r="C314" s="543"/>
      <c r="D314" s="596"/>
      <c r="E314" s="1070"/>
      <c r="F314" s="543"/>
      <c r="G314" s="1225"/>
      <c r="H314" s="1070"/>
      <c r="I314" s="543"/>
      <c r="J314" s="1225"/>
      <c r="K314" s="1070"/>
      <c r="L314" s="543"/>
      <c r="M314" s="1225"/>
      <c r="N314" s="1070"/>
      <c r="O314" s="543"/>
      <c r="P314" s="1225"/>
      <c r="Q314" s="1070"/>
      <c r="R314" s="543"/>
      <c r="S314" s="1225"/>
      <c r="T314" s="1070"/>
      <c r="U314" s="543"/>
      <c r="V314" s="1225"/>
      <c r="W314" s="1070"/>
      <c r="X314" s="543"/>
      <c r="Y314" s="1162"/>
      <c r="Z314" s="1070"/>
      <c r="AA314" s="543"/>
      <c r="AB314" s="1162"/>
      <c r="AC314" s="1070"/>
      <c r="AD314" s="543"/>
      <c r="AE314" s="1162"/>
      <c r="AF314" s="1070"/>
      <c r="AG314" s="543"/>
      <c r="AH314" s="1162"/>
      <c r="AI314" s="1070"/>
      <c r="AJ314" s="543"/>
      <c r="AK314" s="1162"/>
      <c r="AL314" s="1070"/>
      <c r="AM314" s="543"/>
      <c r="AN314" s="1162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">
      <c r="A315" s="533" t="str">
        <f t="shared" si="33"/>
        <v>PiècesAutostock</v>
      </c>
      <c r="B315" s="747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>
        <v>0</v>
      </c>
      <c r="G315" s="1227">
        <v>0</v>
      </c>
      <c r="H315" s="1124">
        <v>0</v>
      </c>
      <c r="I315" s="1228">
        <v>0</v>
      </c>
      <c r="J315" s="1227">
        <v>0</v>
      </c>
      <c r="K315" s="1124">
        <v>0</v>
      </c>
      <c r="L315" s="1228">
        <v>0</v>
      </c>
      <c r="M315" s="1227">
        <v>0</v>
      </c>
      <c r="N315" s="1124">
        <v>0</v>
      </c>
      <c r="O315" s="1228">
        <v>0</v>
      </c>
      <c r="P315" s="1227">
        <v>0</v>
      </c>
      <c r="Q315" s="1124">
        <v>0</v>
      </c>
      <c r="R315" s="1228">
        <v>0</v>
      </c>
      <c r="S315" s="1227">
        <v>0</v>
      </c>
      <c r="T315" s="1124">
        <v>0</v>
      </c>
      <c r="U315" s="1228">
        <v>0</v>
      </c>
      <c r="V315" s="1227">
        <v>0</v>
      </c>
      <c r="W315" s="1124">
        <v>0</v>
      </c>
      <c r="X315" s="1228">
        <v>0</v>
      </c>
      <c r="Y315" s="1227">
        <v>0</v>
      </c>
      <c r="Z315" s="1124">
        <v>0</v>
      </c>
      <c r="AA315" s="1228">
        <v>0</v>
      </c>
      <c r="AB315" s="1227">
        <v>0</v>
      </c>
      <c r="AC315" s="1124">
        <v>0</v>
      </c>
      <c r="AD315" s="1228">
        <v>0</v>
      </c>
      <c r="AE315" s="1227">
        <v>0</v>
      </c>
      <c r="AF315" s="1124">
        <v>0</v>
      </c>
      <c r="AG315" s="1228">
        <v>0</v>
      </c>
      <c r="AH315" s="1227">
        <v>0</v>
      </c>
      <c r="AI315" s="1124">
        <v>0</v>
      </c>
      <c r="AJ315" s="1228">
        <v>0</v>
      </c>
      <c r="AK315" s="1227">
        <v>0</v>
      </c>
      <c r="AL315" s="1124">
        <v>0</v>
      </c>
      <c r="AM315" s="1228">
        <v>0</v>
      </c>
      <c r="AN315" s="1227">
        <v>0</v>
      </c>
      <c r="AO315" s="1124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33"/>
        <v>PiècesTotal Dépt. Pièces</v>
      </c>
      <c r="B317" s="1081" t="s">
        <v>182</v>
      </c>
      <c r="C317" s="1082">
        <f>C312+C315</f>
        <v>3643508.0299999993</v>
      </c>
      <c r="D317" s="1229">
        <f>IF(C317&lt;=0,0,E317/C317)</f>
        <v>0.32152999536548277</v>
      </c>
      <c r="E317" s="1084">
        <f>E312+E315</f>
        <v>1171497.1199999989</v>
      </c>
      <c r="F317" s="1085">
        <v>196980.36999999997</v>
      </c>
      <c r="G317" s="1230">
        <v>0.38588880709280832</v>
      </c>
      <c r="H317" s="1087">
        <v>76012.51999999999</v>
      </c>
      <c r="I317" s="1085">
        <v>235627.10999999981</v>
      </c>
      <c r="J317" s="1230">
        <v>0.33562661783697034</v>
      </c>
      <c r="K317" s="1087">
        <v>79082.729999999705</v>
      </c>
      <c r="L317" s="1085">
        <v>319764.18999999989</v>
      </c>
      <c r="M317" s="1230">
        <v>0.28686129613200229</v>
      </c>
      <c r="N317" s="1087">
        <v>91727.969999999812</v>
      </c>
      <c r="O317" s="1085">
        <v>367626.42999999988</v>
      </c>
      <c r="P317" s="1230">
        <v>0.32666209554084524</v>
      </c>
      <c r="Q317" s="1087">
        <v>120089.61999999981</v>
      </c>
      <c r="R317" s="1085">
        <v>414937.35999999993</v>
      </c>
      <c r="S317" s="1230">
        <v>0.28434072554951401</v>
      </c>
      <c r="T317" s="1087">
        <v>117983.58999999988</v>
      </c>
      <c r="U317" s="1085">
        <v>291791.45</v>
      </c>
      <c r="V317" s="1230">
        <v>0.31096226431583168</v>
      </c>
      <c r="W317" s="1087">
        <v>90736.129999999786</v>
      </c>
      <c r="X317" s="1085">
        <v>293088.37999999989</v>
      </c>
      <c r="Y317" s="1230">
        <v>0.3225742009969827</v>
      </c>
      <c r="Z317" s="1087">
        <v>94542.75</v>
      </c>
      <c r="AA317" s="1085">
        <v>295132.09999999998</v>
      </c>
      <c r="AB317" s="1230">
        <v>0.30860065712946816</v>
      </c>
      <c r="AC317" s="1087">
        <v>91077.959999999905</v>
      </c>
      <c r="AD317" s="1085">
        <v>306941.78000000003</v>
      </c>
      <c r="AE317" s="1230">
        <v>0.32145881215649424</v>
      </c>
      <c r="AF317" s="1087">
        <v>98669.139999999985</v>
      </c>
      <c r="AG317" s="1085">
        <v>283788.52</v>
      </c>
      <c r="AH317" s="1230">
        <v>0.37480385041650022</v>
      </c>
      <c r="AI317" s="1087">
        <v>106365.02999999998</v>
      </c>
      <c r="AJ317" s="1085">
        <v>426858.23</v>
      </c>
      <c r="AK317" s="1230">
        <v>0.33513192424566818</v>
      </c>
      <c r="AL317" s="1087">
        <v>143053.82</v>
      </c>
      <c r="AM317" s="1085">
        <v>210972.11000000004</v>
      </c>
      <c r="AN317" s="1230">
        <v>0.2946164779790087</v>
      </c>
      <c r="AO317" s="1087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33"/>
        <v>Pièces</v>
      </c>
      <c r="B318" s="1231"/>
      <c r="C318" s="1232"/>
      <c r="D318" s="1233"/>
      <c r="E318" s="1234"/>
      <c r="F318" s="1235"/>
      <c r="G318" s="1236"/>
      <c r="H318" s="1237"/>
      <c r="I318" s="1235"/>
      <c r="J318" s="1236"/>
      <c r="K318" s="1237"/>
      <c r="L318" s="1235"/>
      <c r="M318" s="1236"/>
      <c r="N318" s="1237"/>
      <c r="O318" s="1235"/>
      <c r="P318" s="1236"/>
      <c r="Q318" s="1237"/>
      <c r="R318" s="1235"/>
      <c r="S318" s="1236"/>
      <c r="T318" s="1237"/>
      <c r="U318" s="1235"/>
      <c r="V318" s="1236"/>
      <c r="W318" s="1237"/>
      <c r="X318" s="1235"/>
      <c r="Y318" s="1236"/>
      <c r="Z318" s="1237"/>
      <c r="AA318" s="1235"/>
      <c r="AB318" s="1236"/>
      <c r="AC318" s="1237"/>
      <c r="AD318" s="1235"/>
      <c r="AE318" s="1236"/>
      <c r="AF318" s="1237"/>
      <c r="AG318" s="1235"/>
      <c r="AH318" s="1236"/>
      <c r="AI318" s="1237"/>
      <c r="AJ318" s="1235"/>
      <c r="AK318" s="1236"/>
      <c r="AL318" s="1237"/>
      <c r="AM318" s="1235"/>
      <c r="AN318" s="1236"/>
      <c r="AO318" s="1237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33"/>
        <v>Pièces</v>
      </c>
      <c r="B319" s="746"/>
      <c r="C319" s="1238"/>
      <c r="D319" s="1239"/>
      <c r="E319" s="1136"/>
      <c r="F319" s="1185"/>
      <c r="G319" s="1186"/>
      <c r="H319" s="1137"/>
      <c r="I319" s="1185"/>
      <c r="J319" s="1186"/>
      <c r="K319" s="1137"/>
      <c r="L319" s="1185"/>
      <c r="M319" s="1186"/>
      <c r="N319" s="1137"/>
      <c r="O319" s="1185"/>
      <c r="P319" s="1186"/>
      <c r="Q319" s="1137"/>
      <c r="R319" s="1185"/>
      <c r="S319" s="1186"/>
      <c r="T319" s="1137"/>
      <c r="U319" s="1185"/>
      <c r="V319" s="1186"/>
      <c r="W319" s="1137"/>
      <c r="X319" s="1185"/>
      <c r="Y319" s="1186"/>
      <c r="Z319" s="1137"/>
      <c r="AA319" s="1185"/>
      <c r="AB319" s="1186"/>
      <c r="AC319" s="1137"/>
      <c r="AD319" s="1185"/>
      <c r="AE319" s="1186"/>
      <c r="AF319" s="1137"/>
      <c r="AG319" s="1185"/>
      <c r="AH319" s="1186"/>
      <c r="AI319" s="1137"/>
      <c r="AJ319" s="1185"/>
      <c r="AK319" s="1186"/>
      <c r="AL319" s="1137"/>
      <c r="AM319" s="1185"/>
      <c r="AN319" s="1186"/>
      <c r="AO319" s="1137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">
      <c r="A320" s="533" t="str">
        <f t="shared" si="33"/>
        <v>PiècesDEPENSES</v>
      </c>
      <c r="B320" s="1096" t="s">
        <v>99</v>
      </c>
      <c r="C320" s="543"/>
      <c r="D320" s="596"/>
      <c r="E320" s="1070"/>
      <c r="F320" s="543"/>
      <c r="G320" s="596"/>
      <c r="H320" s="1047"/>
      <c r="I320" s="543"/>
      <c r="J320" s="596"/>
      <c r="K320" s="1047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">
      <c r="A321" s="533" t="str">
        <f t="shared" si="33"/>
        <v>PiècesSalaires cadres</v>
      </c>
      <c r="B321" s="1113" t="s">
        <v>109</v>
      </c>
      <c r="C321" s="543"/>
      <c r="D321" s="596"/>
      <c r="E321" s="1080">
        <f t="shared" ref="E321:E351" si="37">+SUM(H321,K321,N321,Q321,T321,W321,Z321,AC321,AF321,AI321,AL321,AO321)</f>
        <v>46685.819999999992</v>
      </c>
      <c r="F321" s="543"/>
      <c r="G321" s="596"/>
      <c r="H321" s="1101">
        <v>3078.55</v>
      </c>
      <c r="I321" s="543"/>
      <c r="J321" s="596"/>
      <c r="K321" s="1101">
        <v>3289.34</v>
      </c>
      <c r="L321" s="543"/>
      <c r="M321" s="596"/>
      <c r="N321" s="1101">
        <v>3277.53</v>
      </c>
      <c r="O321" s="543"/>
      <c r="P321" s="596"/>
      <c r="Q321" s="1101">
        <v>3271.86</v>
      </c>
      <c r="R321" s="543"/>
      <c r="S321" s="596"/>
      <c r="T321" s="1101">
        <v>2969.49</v>
      </c>
      <c r="U321" s="543"/>
      <c r="V321" s="596"/>
      <c r="W321" s="1101">
        <v>4248.16</v>
      </c>
      <c r="X321" s="543"/>
      <c r="Y321" s="596"/>
      <c r="Z321" s="1101">
        <v>4407.5200000000004</v>
      </c>
      <c r="AA321" s="543"/>
      <c r="AB321" s="596"/>
      <c r="AC321" s="1101">
        <v>4246.05</v>
      </c>
      <c r="AD321" s="543"/>
      <c r="AE321" s="596"/>
      <c r="AF321" s="1101">
        <v>4560.49</v>
      </c>
      <c r="AG321" s="543"/>
      <c r="AH321" s="596"/>
      <c r="AI321" s="1101">
        <v>4239.6099999999997</v>
      </c>
      <c r="AJ321" s="543"/>
      <c r="AK321" s="596"/>
      <c r="AL321" s="1101">
        <v>4626.13</v>
      </c>
      <c r="AM321" s="543"/>
      <c r="AN321" s="596"/>
      <c r="AO321" s="1101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">
      <c r="A322" s="533" t="str">
        <f t="shared" si="33"/>
        <v>PiècesSalaires commis</v>
      </c>
      <c r="B322" s="1114" t="s">
        <v>110</v>
      </c>
      <c r="C322" s="543"/>
      <c r="D322" s="596"/>
      <c r="E322" s="1080">
        <f t="shared" si="37"/>
        <v>32821.380000000005</v>
      </c>
      <c r="F322" s="543"/>
      <c r="G322" s="596"/>
      <c r="H322" s="1101">
        <v>2904.69</v>
      </c>
      <c r="I322" s="543"/>
      <c r="J322" s="596"/>
      <c r="K322" s="1101">
        <v>2780.43</v>
      </c>
      <c r="L322" s="543"/>
      <c r="M322" s="596"/>
      <c r="N322" s="1101">
        <v>2596.67</v>
      </c>
      <c r="O322" s="543"/>
      <c r="P322" s="596"/>
      <c r="Q322" s="1101">
        <v>2682.61</v>
      </c>
      <c r="R322" s="543"/>
      <c r="S322" s="596"/>
      <c r="T322" s="1101">
        <v>3144.66</v>
      </c>
      <c r="U322" s="543"/>
      <c r="V322" s="596"/>
      <c r="W322" s="1101">
        <v>2912.87</v>
      </c>
      <c r="X322" s="543"/>
      <c r="Y322" s="596"/>
      <c r="Z322" s="1101">
        <v>2584.0700000000002</v>
      </c>
      <c r="AA322" s="543"/>
      <c r="AB322" s="596"/>
      <c r="AC322" s="1101">
        <v>2530.29</v>
      </c>
      <c r="AD322" s="543"/>
      <c r="AE322" s="596"/>
      <c r="AF322" s="1101">
        <v>3003.91</v>
      </c>
      <c r="AG322" s="543"/>
      <c r="AH322" s="596"/>
      <c r="AI322" s="1101">
        <v>3003.9</v>
      </c>
      <c r="AJ322" s="543"/>
      <c r="AK322" s="596"/>
      <c r="AL322" s="1101">
        <v>2772.21</v>
      </c>
      <c r="AM322" s="543"/>
      <c r="AN322" s="596"/>
      <c r="AO322" s="1101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">
      <c r="A323" s="533" t="str">
        <f t="shared" si="33"/>
        <v>PiècesSalaires autres</v>
      </c>
      <c r="B323" s="1113" t="s">
        <v>111</v>
      </c>
      <c r="C323" s="1115"/>
      <c r="D323" s="1116"/>
      <c r="E323" s="1117">
        <f t="shared" si="37"/>
        <v>170838.55000000002</v>
      </c>
      <c r="F323" s="1115"/>
      <c r="G323" s="1116"/>
      <c r="H323" s="1118">
        <v>12776.68</v>
      </c>
      <c r="I323" s="1115"/>
      <c r="J323" s="1116"/>
      <c r="K323" s="1118">
        <v>13968.54</v>
      </c>
      <c r="L323" s="1115"/>
      <c r="M323" s="1116"/>
      <c r="N323" s="1118">
        <v>13054.53</v>
      </c>
      <c r="O323" s="1115"/>
      <c r="P323" s="1116"/>
      <c r="Q323" s="1118">
        <v>14705.29</v>
      </c>
      <c r="R323" s="1115"/>
      <c r="S323" s="1116"/>
      <c r="T323" s="1118">
        <v>11625.86</v>
      </c>
      <c r="U323" s="1115"/>
      <c r="V323" s="1116"/>
      <c r="W323" s="1118">
        <v>14404.7</v>
      </c>
      <c r="X323" s="1115"/>
      <c r="Y323" s="1116"/>
      <c r="Z323" s="1118">
        <v>11880.96</v>
      </c>
      <c r="AA323" s="1115"/>
      <c r="AB323" s="1116"/>
      <c r="AC323" s="1118">
        <v>12794.72</v>
      </c>
      <c r="AD323" s="1115"/>
      <c r="AE323" s="1116"/>
      <c r="AF323" s="1118">
        <v>15492.59</v>
      </c>
      <c r="AG323" s="1115"/>
      <c r="AH323" s="1116"/>
      <c r="AI323" s="1118">
        <v>15464.15</v>
      </c>
      <c r="AJ323" s="1115"/>
      <c r="AK323" s="1116"/>
      <c r="AL323" s="1118">
        <v>21041.61</v>
      </c>
      <c r="AM323" s="1115"/>
      <c r="AN323" s="1116"/>
      <c r="AO323" s="1118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">
      <c r="A324" s="533" t="str">
        <f t="shared" si="33"/>
        <v>PiècesSalaires spécialistes</v>
      </c>
      <c r="B324" s="1113" t="s">
        <v>112</v>
      </c>
      <c r="C324" s="543"/>
      <c r="D324" s="596"/>
      <c r="E324" s="1080">
        <f t="shared" si="37"/>
        <v>0</v>
      </c>
      <c r="F324" s="543"/>
      <c r="G324" s="596"/>
      <c r="H324" s="1101">
        <v>0</v>
      </c>
      <c r="I324" s="543"/>
      <c r="J324" s="596"/>
      <c r="K324" s="1101">
        <v>0</v>
      </c>
      <c r="L324" s="543"/>
      <c r="M324" s="596"/>
      <c r="N324" s="1101">
        <v>0</v>
      </c>
      <c r="O324" s="543"/>
      <c r="P324" s="596"/>
      <c r="Q324" s="1101">
        <v>0</v>
      </c>
      <c r="R324" s="543"/>
      <c r="S324" s="596"/>
      <c r="T324" s="1101">
        <v>0</v>
      </c>
      <c r="U324" s="543"/>
      <c r="V324" s="596"/>
      <c r="W324" s="1101">
        <v>0</v>
      </c>
      <c r="X324" s="543"/>
      <c r="Y324" s="596"/>
      <c r="Z324" s="1101">
        <v>0</v>
      </c>
      <c r="AA324" s="543"/>
      <c r="AB324" s="596"/>
      <c r="AC324" s="1101">
        <v>0</v>
      </c>
      <c r="AD324" s="543"/>
      <c r="AE324" s="596"/>
      <c r="AF324" s="1101">
        <v>0</v>
      </c>
      <c r="AG324" s="543"/>
      <c r="AH324" s="596"/>
      <c r="AI324" s="1101">
        <v>0</v>
      </c>
      <c r="AJ324" s="543"/>
      <c r="AK324" s="596"/>
      <c r="AL324" s="1101">
        <v>0</v>
      </c>
      <c r="AM324" s="543"/>
      <c r="AN324" s="596"/>
      <c r="AO324" s="1101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5" hidden="1" customHeight="1">
      <c r="A325" s="533" t="str">
        <f t="shared" si="33"/>
        <v>Pièces[...]</v>
      </c>
      <c r="B325" s="743" t="s">
        <v>42</v>
      </c>
      <c r="C325" s="543"/>
      <c r="D325" s="596"/>
      <c r="E325" s="1080">
        <f t="shared" si="37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>
        <v>0</v>
      </c>
      <c r="AG325" s="543"/>
      <c r="AH325" s="596"/>
      <c r="AI325" s="1101">
        <v>0</v>
      </c>
      <c r="AJ325" s="543"/>
      <c r="AK325" s="596"/>
      <c r="AL325" s="1101">
        <v>0</v>
      </c>
      <c r="AM325" s="543"/>
      <c r="AN325" s="596"/>
      <c r="AO325" s="1101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5" hidden="1" customHeight="1">
      <c r="A326" s="533" t="str">
        <f t="shared" si="33"/>
        <v>Pièces[...]</v>
      </c>
      <c r="B326" s="743" t="s">
        <v>42</v>
      </c>
      <c r="C326" s="543"/>
      <c r="D326" s="596"/>
      <c r="E326" s="1080">
        <f t="shared" si="37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>
        <v>0</v>
      </c>
      <c r="AG326" s="543"/>
      <c r="AH326" s="596"/>
      <c r="AI326" s="1101">
        <v>0</v>
      </c>
      <c r="AJ326" s="543"/>
      <c r="AK326" s="596"/>
      <c r="AL326" s="1101">
        <v>0</v>
      </c>
      <c r="AM326" s="543"/>
      <c r="AN326" s="596"/>
      <c r="AO326" s="1101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5" hidden="1" customHeight="1">
      <c r="A327" s="533" t="str">
        <f t="shared" si="33"/>
        <v>Pièces[...]</v>
      </c>
      <c r="B327" s="743" t="s">
        <v>42</v>
      </c>
      <c r="C327" s="543"/>
      <c r="D327" s="596"/>
      <c r="E327" s="1080">
        <f t="shared" si="37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>
        <v>0</v>
      </c>
      <c r="AG327" s="543"/>
      <c r="AH327" s="596"/>
      <c r="AI327" s="1101">
        <v>0</v>
      </c>
      <c r="AJ327" s="543"/>
      <c r="AK327" s="596"/>
      <c r="AL327" s="1101">
        <v>0</v>
      </c>
      <c r="AM327" s="543"/>
      <c r="AN327" s="596"/>
      <c r="AO327" s="1101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">
      <c r="A328" s="533" t="str">
        <f t="shared" si="33"/>
        <v>PiècesSalaires en absences</v>
      </c>
      <c r="B328" s="1114" t="s">
        <v>113</v>
      </c>
      <c r="C328" s="543"/>
      <c r="D328" s="596"/>
      <c r="E328" s="1080">
        <f t="shared" si="37"/>
        <v>31011.19</v>
      </c>
      <c r="F328" s="543"/>
      <c r="G328" s="596"/>
      <c r="H328" s="1101">
        <v>3077.64</v>
      </c>
      <c r="I328" s="543"/>
      <c r="J328" s="596"/>
      <c r="K328" s="1101">
        <v>2634.48</v>
      </c>
      <c r="L328" s="543"/>
      <c r="M328" s="596"/>
      <c r="N328" s="1101">
        <v>2096.39</v>
      </c>
      <c r="O328" s="543"/>
      <c r="P328" s="596"/>
      <c r="Q328" s="1101">
        <v>2762.84</v>
      </c>
      <c r="R328" s="543"/>
      <c r="S328" s="596"/>
      <c r="T328" s="1101">
        <v>2394.98</v>
      </c>
      <c r="U328" s="543"/>
      <c r="V328" s="596"/>
      <c r="W328" s="1101">
        <v>2715.79</v>
      </c>
      <c r="X328" s="543"/>
      <c r="Y328" s="596"/>
      <c r="Z328" s="1101">
        <v>3424.88</v>
      </c>
      <c r="AA328" s="543"/>
      <c r="AB328" s="596"/>
      <c r="AC328" s="1101">
        <v>3128.05</v>
      </c>
      <c r="AD328" s="543"/>
      <c r="AE328" s="596"/>
      <c r="AF328" s="1101">
        <v>3906.46</v>
      </c>
      <c r="AG328" s="543"/>
      <c r="AH328" s="596"/>
      <c r="AI328" s="1101">
        <v>3081.07</v>
      </c>
      <c r="AJ328" s="543"/>
      <c r="AK328" s="596"/>
      <c r="AL328" s="1101">
        <v>2147.5500000000002</v>
      </c>
      <c r="AM328" s="543"/>
      <c r="AN328" s="596"/>
      <c r="AO328" s="1101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">
      <c r="A329" s="533" t="str">
        <f t="shared" si="33"/>
        <v>PiècesDéduction à la source</v>
      </c>
      <c r="B329" s="1113" t="s">
        <v>114</v>
      </c>
      <c r="C329" s="1115"/>
      <c r="D329" s="1116"/>
      <c r="E329" s="1117">
        <f t="shared" si="37"/>
        <v>43830.820000000007</v>
      </c>
      <c r="F329" s="1115"/>
      <c r="G329" s="1116"/>
      <c r="H329" s="1118">
        <v>3743.91</v>
      </c>
      <c r="I329" s="1115"/>
      <c r="J329" s="1116"/>
      <c r="K329" s="1118">
        <v>3661.78</v>
      </c>
      <c r="L329" s="1115"/>
      <c r="M329" s="1116"/>
      <c r="N329" s="1118">
        <v>3493.71</v>
      </c>
      <c r="O329" s="1115"/>
      <c r="P329" s="1116"/>
      <c r="Q329" s="1118">
        <v>3493.23</v>
      </c>
      <c r="R329" s="1115"/>
      <c r="S329" s="1116"/>
      <c r="T329" s="1118">
        <v>3291.54</v>
      </c>
      <c r="U329" s="1115"/>
      <c r="V329" s="1116"/>
      <c r="W329" s="1118">
        <v>3673.68</v>
      </c>
      <c r="X329" s="1115"/>
      <c r="Y329" s="1116"/>
      <c r="Z329" s="1118">
        <v>4926.8500000000004</v>
      </c>
      <c r="AA329" s="1115"/>
      <c r="AB329" s="1116"/>
      <c r="AC329" s="1118">
        <v>4141.62</v>
      </c>
      <c r="AD329" s="1115"/>
      <c r="AE329" s="1116"/>
      <c r="AF329" s="1118">
        <v>4131.46</v>
      </c>
      <c r="AG329" s="1115"/>
      <c r="AH329" s="1116"/>
      <c r="AI329" s="1118">
        <v>3938.26</v>
      </c>
      <c r="AJ329" s="1115"/>
      <c r="AK329" s="1116"/>
      <c r="AL329" s="1118">
        <v>1804.92</v>
      </c>
      <c r="AM329" s="1115"/>
      <c r="AN329" s="1116"/>
      <c r="AO329" s="1118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">
      <c r="A330" s="533" t="str">
        <f t="shared" si="33"/>
        <v>PiècesBénéfices marginaux</v>
      </c>
      <c r="B330" s="1119" t="s">
        <v>115</v>
      </c>
      <c r="C330" s="543"/>
      <c r="D330" s="596"/>
      <c r="E330" s="1080">
        <f t="shared" si="37"/>
        <v>25601.510000000002</v>
      </c>
      <c r="F330" s="543"/>
      <c r="G330" s="596"/>
      <c r="H330" s="1101">
        <v>1860.41</v>
      </c>
      <c r="I330" s="543"/>
      <c r="J330" s="596"/>
      <c r="K330" s="1101">
        <v>1641.01</v>
      </c>
      <c r="L330" s="543"/>
      <c r="M330" s="596"/>
      <c r="N330" s="1101">
        <v>1731.8</v>
      </c>
      <c r="O330" s="543"/>
      <c r="P330" s="596"/>
      <c r="Q330" s="1101">
        <v>1800.74</v>
      </c>
      <c r="R330" s="543"/>
      <c r="S330" s="596"/>
      <c r="T330" s="1101">
        <v>1691.85</v>
      </c>
      <c r="U330" s="543"/>
      <c r="V330" s="596"/>
      <c r="W330" s="1101">
        <v>1683.65</v>
      </c>
      <c r="X330" s="543"/>
      <c r="Y330" s="596"/>
      <c r="Z330" s="1101">
        <v>2818.49</v>
      </c>
      <c r="AA330" s="543"/>
      <c r="AB330" s="596"/>
      <c r="AC330" s="1101">
        <v>2433.58</v>
      </c>
      <c r="AD330" s="543"/>
      <c r="AE330" s="596"/>
      <c r="AF330" s="1101">
        <v>2532.77</v>
      </c>
      <c r="AG330" s="543"/>
      <c r="AH330" s="596"/>
      <c r="AI330" s="1101">
        <v>2781.79</v>
      </c>
      <c r="AJ330" s="543"/>
      <c r="AK330" s="596"/>
      <c r="AL330" s="1101">
        <v>2334.4699999999998</v>
      </c>
      <c r="AM330" s="543"/>
      <c r="AN330" s="596"/>
      <c r="AO330" s="1101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">
      <c r="A331" s="533" t="str">
        <f t="shared" si="33"/>
        <v>PiècesCsst</v>
      </c>
      <c r="B331" s="1113" t="s">
        <v>116</v>
      </c>
      <c r="C331" s="543"/>
      <c r="D331" s="596"/>
      <c r="E331" s="1080">
        <f t="shared" si="37"/>
        <v>7072.0000000000009</v>
      </c>
      <c r="F331" s="543"/>
      <c r="G331" s="596"/>
      <c r="H331" s="1101">
        <v>424.24</v>
      </c>
      <c r="I331" s="543"/>
      <c r="J331" s="596"/>
      <c r="K331" s="1101">
        <v>384.34</v>
      </c>
      <c r="L331" s="543"/>
      <c r="M331" s="596"/>
      <c r="N331" s="1101">
        <v>461.95</v>
      </c>
      <c r="O331" s="543"/>
      <c r="P331" s="596"/>
      <c r="Q331" s="1101">
        <v>567.48</v>
      </c>
      <c r="R331" s="543"/>
      <c r="S331" s="596"/>
      <c r="T331" s="1101">
        <v>310.98</v>
      </c>
      <c r="U331" s="543"/>
      <c r="V331" s="596"/>
      <c r="W331" s="1101">
        <v>934.32</v>
      </c>
      <c r="X331" s="543"/>
      <c r="Y331" s="596"/>
      <c r="Z331" s="1101">
        <v>871.61</v>
      </c>
      <c r="AA331" s="543"/>
      <c r="AB331" s="596"/>
      <c r="AC331" s="1101">
        <v>529.39</v>
      </c>
      <c r="AD331" s="543"/>
      <c r="AE331" s="596"/>
      <c r="AF331" s="1101">
        <v>861.79</v>
      </c>
      <c r="AG331" s="543"/>
      <c r="AH331" s="596"/>
      <c r="AI331" s="1101">
        <v>544.67999999999995</v>
      </c>
      <c r="AJ331" s="543"/>
      <c r="AK331" s="596"/>
      <c r="AL331" s="1101">
        <v>439.14</v>
      </c>
      <c r="AM331" s="543"/>
      <c r="AN331" s="596"/>
      <c r="AO331" s="1101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5" hidden="1" customHeight="1">
      <c r="A332" s="533" t="str">
        <f t="shared" si="33"/>
        <v>Pièces[...]</v>
      </c>
      <c r="B332" s="743" t="s">
        <v>42</v>
      </c>
      <c r="C332" s="601"/>
      <c r="D332" s="1120"/>
      <c r="E332" s="1103">
        <f t="shared" si="37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>
        <v>0</v>
      </c>
      <c r="AG332" s="601"/>
      <c r="AH332" s="1120"/>
      <c r="AI332" s="1103">
        <v>0</v>
      </c>
      <c r="AJ332" s="601"/>
      <c r="AK332" s="1120"/>
      <c r="AL332" s="1103">
        <v>0</v>
      </c>
      <c r="AM332" s="601"/>
      <c r="AN332" s="1120"/>
      <c r="AO332" s="1103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">
      <c r="A333" s="533" t="str">
        <f t="shared" si="33"/>
        <v>PiècesTOTAL PERSONNEL</v>
      </c>
      <c r="B333" s="1106" t="s">
        <v>117</v>
      </c>
      <c r="C333" s="1107" t="s">
        <v>108</v>
      </c>
      <c r="D333" s="1108">
        <f>IFERROR(E333/E$317,0)</f>
        <v>0.30547345263640113</v>
      </c>
      <c r="E333" s="1109">
        <f>+SUM(E321:E332)</f>
        <v>357861.27</v>
      </c>
      <c r="F333" s="1110"/>
      <c r="G333" s="1111"/>
      <c r="H333" s="1112">
        <v>27866.12</v>
      </c>
      <c r="I333" s="1110"/>
      <c r="J333" s="1111"/>
      <c r="K333" s="1112">
        <v>28359.919999999998</v>
      </c>
      <c r="L333" s="1110"/>
      <c r="M333" s="1111"/>
      <c r="N333" s="1112">
        <v>26712.58</v>
      </c>
      <c r="O333" s="1110"/>
      <c r="P333" s="1111"/>
      <c r="Q333" s="1112">
        <v>29284.05</v>
      </c>
      <c r="R333" s="1110"/>
      <c r="S333" s="1111"/>
      <c r="T333" s="1112">
        <v>25429.360000000001</v>
      </c>
      <c r="U333" s="1110"/>
      <c r="V333" s="1111"/>
      <c r="W333" s="1112">
        <v>30573.17</v>
      </c>
      <c r="X333" s="1110"/>
      <c r="Y333" s="1111"/>
      <c r="Z333" s="1112">
        <v>30914.379999999899</v>
      </c>
      <c r="AA333" s="1110"/>
      <c r="AB333" s="1111"/>
      <c r="AC333" s="1112">
        <v>29803.699999999899</v>
      </c>
      <c r="AD333" s="1110" t="s">
        <v>108</v>
      </c>
      <c r="AE333" s="1111">
        <v>0.34954667690424784</v>
      </c>
      <c r="AF333" s="1112">
        <v>34489.469999999994</v>
      </c>
      <c r="AG333" s="1110" t="s">
        <v>108</v>
      </c>
      <c r="AH333" s="1111">
        <v>0.31075495395432129</v>
      </c>
      <c r="AI333" s="1112">
        <v>33053.46</v>
      </c>
      <c r="AJ333" s="1110" t="s">
        <v>108</v>
      </c>
      <c r="AK333" s="1111">
        <v>0.24582377457658941</v>
      </c>
      <c r="AL333" s="1112">
        <v>35166.03</v>
      </c>
      <c r="AM333" s="1110" t="s">
        <v>108</v>
      </c>
      <c r="AN333" s="1111">
        <v>0.4216662757139874</v>
      </c>
      <c r="AO333" s="1112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">
      <c r="A334" s="533" t="str">
        <f t="shared" si="33"/>
        <v>PiècesPublicité 2</v>
      </c>
      <c r="B334" s="1220" t="s">
        <v>118</v>
      </c>
      <c r="C334" s="543"/>
      <c r="D334" s="596"/>
      <c r="E334" s="1080">
        <f t="shared" si="37"/>
        <v>41843.94</v>
      </c>
      <c r="F334" s="543"/>
      <c r="G334" s="596"/>
      <c r="H334" s="1101">
        <v>2482.8000000000002</v>
      </c>
      <c r="I334" s="543"/>
      <c r="J334" s="596"/>
      <c r="K334" s="1101">
        <v>3271.76</v>
      </c>
      <c r="L334" s="543"/>
      <c r="M334" s="596"/>
      <c r="N334" s="1101">
        <v>3363.75</v>
      </c>
      <c r="O334" s="543"/>
      <c r="P334" s="596"/>
      <c r="Q334" s="1101">
        <v>4993</v>
      </c>
      <c r="R334" s="543"/>
      <c r="S334" s="596"/>
      <c r="T334" s="1101">
        <v>2986.44</v>
      </c>
      <c r="U334" s="543"/>
      <c r="V334" s="596"/>
      <c r="W334" s="1101">
        <v>2208.88</v>
      </c>
      <c r="X334" s="543"/>
      <c r="Y334" s="596"/>
      <c r="Z334" s="1101">
        <v>2421.9499999999998</v>
      </c>
      <c r="AA334" s="543"/>
      <c r="AB334" s="596"/>
      <c r="AC334" s="1101">
        <v>2654.79</v>
      </c>
      <c r="AD334" s="543"/>
      <c r="AE334" s="596"/>
      <c r="AF334" s="1101">
        <v>1914.43</v>
      </c>
      <c r="AG334" s="543"/>
      <c r="AH334" s="596"/>
      <c r="AI334" s="1101">
        <v>7165.58</v>
      </c>
      <c r="AJ334" s="543"/>
      <c r="AK334" s="596"/>
      <c r="AL334" s="1101">
        <v>7567.43</v>
      </c>
      <c r="AM334" s="543"/>
      <c r="AN334" s="596"/>
      <c r="AO334" s="1101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">
      <c r="A335" s="533" t="str">
        <f t="shared" si="33"/>
        <v>PiècesService gratuit 2</v>
      </c>
      <c r="B335" s="1113" t="s">
        <v>119</v>
      </c>
      <c r="C335" s="543"/>
      <c r="D335" s="596"/>
      <c r="E335" s="1080">
        <f t="shared" si="37"/>
        <v>7515.5599999999977</v>
      </c>
      <c r="F335" s="543"/>
      <c r="G335" s="596"/>
      <c r="H335" s="1101">
        <v>140.76999999999899</v>
      </c>
      <c r="I335" s="543"/>
      <c r="J335" s="596"/>
      <c r="K335" s="1101">
        <v>350.3</v>
      </c>
      <c r="L335" s="543"/>
      <c r="M335" s="596"/>
      <c r="N335" s="1101">
        <v>207.35</v>
      </c>
      <c r="O335" s="543"/>
      <c r="P335" s="596"/>
      <c r="Q335" s="1101">
        <v>260.11</v>
      </c>
      <c r="R335" s="543"/>
      <c r="S335" s="596"/>
      <c r="T335" s="1101">
        <v>231.83999999999901</v>
      </c>
      <c r="U335" s="543"/>
      <c r="V335" s="596"/>
      <c r="W335" s="1101">
        <v>447.1</v>
      </c>
      <c r="X335" s="543"/>
      <c r="Y335" s="596"/>
      <c r="Z335" s="1101">
        <v>0</v>
      </c>
      <c r="AA335" s="543"/>
      <c r="AB335" s="596"/>
      <c r="AC335" s="1101">
        <v>631.47</v>
      </c>
      <c r="AD335" s="543"/>
      <c r="AE335" s="596"/>
      <c r="AF335" s="1101">
        <v>371</v>
      </c>
      <c r="AG335" s="543"/>
      <c r="AH335" s="596"/>
      <c r="AI335" s="1101">
        <v>1785.26</v>
      </c>
      <c r="AJ335" s="543"/>
      <c r="AK335" s="596"/>
      <c r="AL335" s="1101">
        <v>3090.3599999999997</v>
      </c>
      <c r="AM335" s="543"/>
      <c r="AN335" s="596"/>
      <c r="AO335" s="1101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">
      <c r="A336" s="533" t="str">
        <f t="shared" si="33"/>
        <v>PiècesFrais véhicules de cie</v>
      </c>
      <c r="B336" s="1114" t="s">
        <v>120</v>
      </c>
      <c r="C336" s="601"/>
      <c r="D336" s="1120"/>
      <c r="E336" s="1103">
        <f t="shared" si="37"/>
        <v>60160.549999999959</v>
      </c>
      <c r="F336" s="601"/>
      <c r="G336" s="1120"/>
      <c r="H336" s="1105">
        <v>2993.2199999999898</v>
      </c>
      <c r="I336" s="601"/>
      <c r="J336" s="1120"/>
      <c r="K336" s="1105">
        <v>5255.7999999999902</v>
      </c>
      <c r="L336" s="601"/>
      <c r="M336" s="1120"/>
      <c r="N336" s="1105">
        <v>5513.44</v>
      </c>
      <c r="O336" s="601"/>
      <c r="P336" s="1120"/>
      <c r="Q336" s="1105">
        <v>5490.18</v>
      </c>
      <c r="R336" s="601"/>
      <c r="S336" s="1120"/>
      <c r="T336" s="1105">
        <v>7331.8699999999899</v>
      </c>
      <c r="U336" s="601"/>
      <c r="V336" s="1120"/>
      <c r="W336" s="1105">
        <v>3862.5299999999902</v>
      </c>
      <c r="X336" s="601"/>
      <c r="Y336" s="1120"/>
      <c r="Z336" s="1105">
        <v>5672.7599999999902</v>
      </c>
      <c r="AA336" s="601"/>
      <c r="AB336" s="1120"/>
      <c r="AC336" s="1105">
        <v>5573.98</v>
      </c>
      <c r="AD336" s="601"/>
      <c r="AE336" s="1120"/>
      <c r="AF336" s="1105">
        <v>4817.5599999999995</v>
      </c>
      <c r="AG336" s="601"/>
      <c r="AH336" s="1120"/>
      <c r="AI336" s="1105">
        <v>4542.76</v>
      </c>
      <c r="AJ336" s="601"/>
      <c r="AK336" s="1120"/>
      <c r="AL336" s="1105">
        <v>6964.09</v>
      </c>
      <c r="AM336" s="601"/>
      <c r="AN336" s="1120"/>
      <c r="AO336" s="1105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">
      <c r="A337" s="533" t="str">
        <f t="shared" si="33"/>
        <v>PiècesInformatique</v>
      </c>
      <c r="B337" s="1113" t="s">
        <v>121</v>
      </c>
      <c r="C337" s="543"/>
      <c r="D337" s="596"/>
      <c r="E337" s="1080">
        <f t="shared" si="37"/>
        <v>22889.45</v>
      </c>
      <c r="F337" s="543"/>
      <c r="G337" s="596"/>
      <c r="H337" s="1101">
        <v>1821.53</v>
      </c>
      <c r="I337" s="543"/>
      <c r="J337" s="596"/>
      <c r="K337" s="1101">
        <v>2222.5500000000002</v>
      </c>
      <c r="L337" s="543"/>
      <c r="M337" s="596"/>
      <c r="N337" s="1101">
        <v>2120.02</v>
      </c>
      <c r="O337" s="543"/>
      <c r="P337" s="596"/>
      <c r="Q337" s="1101">
        <v>1828.98</v>
      </c>
      <c r="R337" s="543"/>
      <c r="S337" s="596"/>
      <c r="T337" s="1101">
        <v>2348.7800000000002</v>
      </c>
      <c r="U337" s="543"/>
      <c r="V337" s="596"/>
      <c r="W337" s="1101">
        <v>1841.62</v>
      </c>
      <c r="X337" s="543"/>
      <c r="Y337" s="596"/>
      <c r="Z337" s="1101">
        <v>2052.11</v>
      </c>
      <c r="AA337" s="543"/>
      <c r="AB337" s="596"/>
      <c r="AC337" s="1101">
        <v>1909.51</v>
      </c>
      <c r="AD337" s="543"/>
      <c r="AE337" s="596"/>
      <c r="AF337" s="1101">
        <v>1487.64</v>
      </c>
      <c r="AG337" s="543"/>
      <c r="AH337" s="596"/>
      <c r="AI337" s="1101">
        <v>1583.43</v>
      </c>
      <c r="AJ337" s="543"/>
      <c r="AK337" s="596"/>
      <c r="AL337" s="1101">
        <v>1786.18</v>
      </c>
      <c r="AM337" s="543"/>
      <c r="AN337" s="596"/>
      <c r="AO337" s="1101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">
      <c r="A338" s="533" t="str">
        <f t="shared" si="33"/>
        <v>PiècesFrais de déplacement</v>
      </c>
      <c r="B338" s="1113" t="s">
        <v>122</v>
      </c>
      <c r="C338" s="543"/>
      <c r="D338" s="596"/>
      <c r="E338" s="1080">
        <f t="shared" si="37"/>
        <v>2507.7499999999995</v>
      </c>
      <c r="F338" s="543"/>
      <c r="G338" s="596"/>
      <c r="H338" s="1101">
        <v>308.83</v>
      </c>
      <c r="I338" s="543"/>
      <c r="J338" s="596"/>
      <c r="K338" s="1101">
        <v>359.03</v>
      </c>
      <c r="L338" s="543"/>
      <c r="M338" s="596"/>
      <c r="N338" s="1101">
        <v>248.38</v>
      </c>
      <c r="O338" s="543"/>
      <c r="P338" s="596"/>
      <c r="Q338" s="1101">
        <v>494</v>
      </c>
      <c r="R338" s="543"/>
      <c r="S338" s="596"/>
      <c r="T338" s="1101">
        <v>220.64</v>
      </c>
      <c r="U338" s="543"/>
      <c r="V338" s="596"/>
      <c r="W338" s="1101">
        <v>190.86</v>
      </c>
      <c r="X338" s="543"/>
      <c r="Y338" s="596"/>
      <c r="Z338" s="1101">
        <v>165.84</v>
      </c>
      <c r="AA338" s="543"/>
      <c r="AB338" s="596"/>
      <c r="AC338" s="1101">
        <v>234.69</v>
      </c>
      <c r="AD338" s="543"/>
      <c r="AE338" s="596"/>
      <c r="AF338" s="1101">
        <v>-149</v>
      </c>
      <c r="AG338" s="543"/>
      <c r="AH338" s="596"/>
      <c r="AI338" s="1101">
        <v>-68.11</v>
      </c>
      <c r="AJ338" s="543"/>
      <c r="AK338" s="596"/>
      <c r="AL338" s="1101">
        <v>400.77</v>
      </c>
      <c r="AM338" s="543"/>
      <c r="AN338" s="596"/>
      <c r="AO338" s="1101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">
      <c r="A339" s="533" t="str">
        <f t="shared" si="33"/>
        <v>PiècesServices extérieurs</v>
      </c>
      <c r="B339" s="1113" t="s">
        <v>123</v>
      </c>
      <c r="C339" s="601"/>
      <c r="D339" s="1120"/>
      <c r="E339" s="1103">
        <f t="shared" si="37"/>
        <v>24919.30999999999</v>
      </c>
      <c r="F339" s="601"/>
      <c r="G339" s="1120"/>
      <c r="H339" s="1105">
        <v>1879.6</v>
      </c>
      <c r="I339" s="601"/>
      <c r="J339" s="1120"/>
      <c r="K339" s="1105">
        <v>2297.83</v>
      </c>
      <c r="L339" s="601"/>
      <c r="M339" s="1120"/>
      <c r="N339" s="1105">
        <v>2174.17</v>
      </c>
      <c r="O339" s="601"/>
      <c r="P339" s="1120"/>
      <c r="Q339" s="1105">
        <v>2944.8199999999902</v>
      </c>
      <c r="R339" s="601"/>
      <c r="S339" s="1120"/>
      <c r="T339" s="1105">
        <v>2261.39</v>
      </c>
      <c r="U339" s="601"/>
      <c r="V339" s="1120"/>
      <c r="W339" s="1105">
        <v>1633.15</v>
      </c>
      <c r="X339" s="601"/>
      <c r="Y339" s="1120"/>
      <c r="Z339" s="1105">
        <v>2035.41</v>
      </c>
      <c r="AA339" s="601"/>
      <c r="AB339" s="1120"/>
      <c r="AC339" s="1105">
        <v>1906.32</v>
      </c>
      <c r="AD339" s="601"/>
      <c r="AE339" s="1120"/>
      <c r="AF339" s="1105">
        <v>1975.6</v>
      </c>
      <c r="AG339" s="601"/>
      <c r="AH339" s="1120"/>
      <c r="AI339" s="1105">
        <v>1258.01</v>
      </c>
      <c r="AJ339" s="601"/>
      <c r="AK339" s="1120"/>
      <c r="AL339" s="1105">
        <v>2344.59</v>
      </c>
      <c r="AM339" s="601"/>
      <c r="AN339" s="1120"/>
      <c r="AO339" s="1105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">
      <c r="A340" s="533" t="str">
        <f t="shared" si="33"/>
        <v>PiècesFournitures d'atelier</v>
      </c>
      <c r="B340" s="1221" t="s">
        <v>350</v>
      </c>
      <c r="C340" s="543"/>
      <c r="D340" s="596"/>
      <c r="E340" s="1080">
        <f t="shared" si="37"/>
        <v>0</v>
      </c>
      <c r="F340" s="543"/>
      <c r="G340" s="596"/>
      <c r="H340" s="1101">
        <v>0</v>
      </c>
      <c r="I340" s="543"/>
      <c r="J340" s="596"/>
      <c r="K340" s="1101">
        <v>0</v>
      </c>
      <c r="L340" s="543"/>
      <c r="M340" s="596"/>
      <c r="N340" s="1101">
        <v>0</v>
      </c>
      <c r="O340" s="543"/>
      <c r="P340" s="596"/>
      <c r="Q340" s="1101">
        <v>0</v>
      </c>
      <c r="R340" s="543"/>
      <c r="S340" s="596"/>
      <c r="T340" s="1101">
        <v>0</v>
      </c>
      <c r="U340" s="543"/>
      <c r="V340" s="596"/>
      <c r="W340" s="1101">
        <v>0</v>
      </c>
      <c r="X340" s="543"/>
      <c r="Y340" s="596"/>
      <c r="Z340" s="1101">
        <v>0</v>
      </c>
      <c r="AA340" s="543"/>
      <c r="AB340" s="596"/>
      <c r="AC340" s="1101">
        <v>0</v>
      </c>
      <c r="AD340" s="543"/>
      <c r="AE340" s="596"/>
      <c r="AF340" s="1101">
        <v>0</v>
      </c>
      <c r="AG340" s="543"/>
      <c r="AH340" s="596"/>
      <c r="AI340" s="1101">
        <v>0</v>
      </c>
      <c r="AJ340" s="543"/>
      <c r="AK340" s="596"/>
      <c r="AL340" s="1101">
        <v>0</v>
      </c>
      <c r="AM340" s="543"/>
      <c r="AN340" s="596"/>
      <c r="AO340" s="1101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">
      <c r="A341" s="533" t="str">
        <f t="shared" si="33"/>
        <v>PiècesFournitures autres</v>
      </c>
      <c r="B341" s="1113" t="s">
        <v>124</v>
      </c>
      <c r="C341" s="543"/>
      <c r="D341" s="596"/>
      <c r="E341" s="1080">
        <f t="shared" si="37"/>
        <v>179.44</v>
      </c>
      <c r="F341" s="543"/>
      <c r="G341" s="596"/>
      <c r="H341" s="1101">
        <v>0</v>
      </c>
      <c r="I341" s="543"/>
      <c r="J341" s="596"/>
      <c r="K341" s="1101">
        <v>2.19</v>
      </c>
      <c r="L341" s="543"/>
      <c r="M341" s="596"/>
      <c r="N341" s="1101">
        <v>1.05</v>
      </c>
      <c r="O341" s="543"/>
      <c r="P341" s="596"/>
      <c r="Q341" s="1101">
        <v>0</v>
      </c>
      <c r="R341" s="543"/>
      <c r="S341" s="596"/>
      <c r="T341" s="1101">
        <v>0</v>
      </c>
      <c r="U341" s="543"/>
      <c r="V341" s="596"/>
      <c r="W341" s="1101">
        <v>61.61</v>
      </c>
      <c r="X341" s="543"/>
      <c r="Y341" s="596"/>
      <c r="Z341" s="1101">
        <v>27.06</v>
      </c>
      <c r="AA341" s="543"/>
      <c r="AB341" s="596"/>
      <c r="AC341" s="1101">
        <v>32.549999999999997</v>
      </c>
      <c r="AD341" s="543"/>
      <c r="AE341" s="596"/>
      <c r="AF341" s="1101">
        <v>49.16</v>
      </c>
      <c r="AG341" s="543"/>
      <c r="AH341" s="596"/>
      <c r="AI341" s="1101">
        <v>0</v>
      </c>
      <c r="AJ341" s="543"/>
      <c r="AK341" s="596"/>
      <c r="AL341" s="1101">
        <v>0</v>
      </c>
      <c r="AM341" s="543"/>
      <c r="AN341" s="596"/>
      <c r="AO341" s="1101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">
      <c r="A342" s="533" t="str">
        <f t="shared" si="33"/>
        <v>PiècesUniformes</v>
      </c>
      <c r="B342" s="1113" t="s">
        <v>125</v>
      </c>
      <c r="C342" s="543"/>
      <c r="D342" s="596"/>
      <c r="E342" s="1080">
        <f t="shared" si="37"/>
        <v>450.40999999999997</v>
      </c>
      <c r="F342" s="543"/>
      <c r="G342" s="596"/>
      <c r="H342" s="1101">
        <v>0</v>
      </c>
      <c r="I342" s="543"/>
      <c r="J342" s="596"/>
      <c r="K342" s="1101">
        <v>0</v>
      </c>
      <c r="L342" s="543"/>
      <c r="M342" s="596"/>
      <c r="N342" s="1101">
        <v>27.96</v>
      </c>
      <c r="O342" s="543"/>
      <c r="P342" s="596"/>
      <c r="Q342" s="1101">
        <v>132</v>
      </c>
      <c r="R342" s="543"/>
      <c r="S342" s="596"/>
      <c r="T342" s="1101">
        <v>0</v>
      </c>
      <c r="U342" s="543"/>
      <c r="V342" s="596"/>
      <c r="W342" s="1101">
        <v>0</v>
      </c>
      <c r="X342" s="543"/>
      <c r="Y342" s="596"/>
      <c r="Z342" s="1101">
        <v>0</v>
      </c>
      <c r="AA342" s="543"/>
      <c r="AB342" s="596"/>
      <c r="AC342" s="1101">
        <v>0</v>
      </c>
      <c r="AD342" s="543"/>
      <c r="AE342" s="596"/>
      <c r="AF342" s="1101">
        <v>0</v>
      </c>
      <c r="AG342" s="543"/>
      <c r="AH342" s="596"/>
      <c r="AI342" s="1101">
        <v>0</v>
      </c>
      <c r="AJ342" s="543"/>
      <c r="AK342" s="596"/>
      <c r="AL342" s="1101">
        <v>290.45</v>
      </c>
      <c r="AM342" s="543"/>
      <c r="AN342" s="596"/>
      <c r="AO342" s="1101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">
      <c r="A343" s="533" t="str">
        <f t="shared" si="33"/>
        <v>PiècesPapeterie</v>
      </c>
      <c r="B343" s="1113" t="s">
        <v>126</v>
      </c>
      <c r="C343" s="543"/>
      <c r="D343" s="596"/>
      <c r="E343" s="1080">
        <f t="shared" si="37"/>
        <v>2924.54</v>
      </c>
      <c r="F343" s="543"/>
      <c r="G343" s="596"/>
      <c r="H343" s="1101">
        <v>118.98</v>
      </c>
      <c r="I343" s="543"/>
      <c r="J343" s="596"/>
      <c r="K343" s="1101">
        <v>229.42</v>
      </c>
      <c r="L343" s="543"/>
      <c r="M343" s="596"/>
      <c r="N343" s="1101">
        <v>212.5</v>
      </c>
      <c r="O343" s="543"/>
      <c r="P343" s="596"/>
      <c r="Q343" s="1101">
        <v>191.75</v>
      </c>
      <c r="R343" s="543"/>
      <c r="S343" s="596"/>
      <c r="T343" s="1101">
        <v>558.59</v>
      </c>
      <c r="U343" s="543"/>
      <c r="V343" s="596"/>
      <c r="W343" s="1101">
        <v>326.68</v>
      </c>
      <c r="X343" s="543"/>
      <c r="Y343" s="596"/>
      <c r="Z343" s="1101">
        <v>149.72</v>
      </c>
      <c r="AA343" s="543"/>
      <c r="AB343" s="596"/>
      <c r="AC343" s="1101">
        <v>290.27999999999997</v>
      </c>
      <c r="AD343" s="543"/>
      <c r="AE343" s="596"/>
      <c r="AF343" s="1101">
        <v>277.62</v>
      </c>
      <c r="AG343" s="543"/>
      <c r="AH343" s="596"/>
      <c r="AI343" s="1101">
        <v>182.31</v>
      </c>
      <c r="AJ343" s="543"/>
      <c r="AK343" s="596"/>
      <c r="AL343" s="1101">
        <v>271.57</v>
      </c>
      <c r="AM343" s="543"/>
      <c r="AN343" s="596"/>
      <c r="AO343" s="1101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">
      <c r="A344" s="533" t="str">
        <f t="shared" si="33"/>
        <v>PiècesTéléphone</v>
      </c>
      <c r="B344" s="1113" t="s">
        <v>127</v>
      </c>
      <c r="C344" s="543"/>
      <c r="D344" s="596"/>
      <c r="E344" s="1080">
        <f t="shared" si="37"/>
        <v>1740.26</v>
      </c>
      <c r="F344" s="543"/>
      <c r="G344" s="596"/>
      <c r="H344" s="1101">
        <v>256.08999999999997</v>
      </c>
      <c r="I344" s="543"/>
      <c r="J344" s="596"/>
      <c r="K344" s="1101">
        <v>162.82</v>
      </c>
      <c r="L344" s="543"/>
      <c r="M344" s="596"/>
      <c r="N344" s="1101">
        <v>267.58999999999997</v>
      </c>
      <c r="O344" s="543"/>
      <c r="P344" s="596"/>
      <c r="Q344" s="1101">
        <v>98.66</v>
      </c>
      <c r="R344" s="543"/>
      <c r="S344" s="596"/>
      <c r="T344" s="1101">
        <v>107.48</v>
      </c>
      <c r="U344" s="543"/>
      <c r="V344" s="596"/>
      <c r="W344" s="1101">
        <v>106.04</v>
      </c>
      <c r="X344" s="543"/>
      <c r="Y344" s="596"/>
      <c r="Z344" s="1101">
        <v>106.82</v>
      </c>
      <c r="AA344" s="543"/>
      <c r="AB344" s="596"/>
      <c r="AC344" s="1101">
        <v>117.28</v>
      </c>
      <c r="AD344" s="543"/>
      <c r="AE344" s="596"/>
      <c r="AF344" s="1101">
        <v>105.23</v>
      </c>
      <c r="AG344" s="543"/>
      <c r="AH344" s="596"/>
      <c r="AI344" s="1101">
        <v>116.31</v>
      </c>
      <c r="AJ344" s="543"/>
      <c r="AK344" s="596"/>
      <c r="AL344" s="1101">
        <v>115.51</v>
      </c>
      <c r="AM344" s="543"/>
      <c r="AN344" s="596"/>
      <c r="AO344" s="1101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">
      <c r="A345" s="533" t="str">
        <f t="shared" si="33"/>
        <v>PiècesFrais postaux</v>
      </c>
      <c r="B345" s="1113" t="s">
        <v>128</v>
      </c>
      <c r="C345" s="543"/>
      <c r="D345" s="596"/>
      <c r="E345" s="1080">
        <f t="shared" si="37"/>
        <v>9268.89</v>
      </c>
      <c r="F345" s="543"/>
      <c r="G345" s="596"/>
      <c r="H345" s="1101">
        <v>1478.93</v>
      </c>
      <c r="I345" s="543"/>
      <c r="J345" s="596"/>
      <c r="K345" s="1101">
        <v>773.71</v>
      </c>
      <c r="L345" s="543"/>
      <c r="M345" s="596"/>
      <c r="N345" s="1101">
        <v>653.91999999999996</v>
      </c>
      <c r="O345" s="543"/>
      <c r="P345" s="596"/>
      <c r="Q345" s="1101">
        <v>966.51</v>
      </c>
      <c r="R345" s="543"/>
      <c r="S345" s="596"/>
      <c r="T345" s="1101">
        <v>530.38</v>
      </c>
      <c r="U345" s="543"/>
      <c r="V345" s="596"/>
      <c r="W345" s="1101">
        <v>480.69</v>
      </c>
      <c r="X345" s="543"/>
      <c r="Y345" s="596"/>
      <c r="Z345" s="1101">
        <v>165.58</v>
      </c>
      <c r="AA345" s="543"/>
      <c r="AB345" s="596"/>
      <c r="AC345" s="1101">
        <v>1895.16</v>
      </c>
      <c r="AD345" s="543"/>
      <c r="AE345" s="596"/>
      <c r="AF345" s="1101">
        <v>394.99</v>
      </c>
      <c r="AG345" s="543"/>
      <c r="AH345" s="596"/>
      <c r="AI345" s="1101">
        <v>526.95000000000005</v>
      </c>
      <c r="AJ345" s="543"/>
      <c r="AK345" s="596"/>
      <c r="AL345" s="1101">
        <v>922.74</v>
      </c>
      <c r="AM345" s="543"/>
      <c r="AN345" s="596"/>
      <c r="AO345" s="1101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">
      <c r="A346" s="533" t="str">
        <f t="shared" si="33"/>
        <v>PiècesDivers</v>
      </c>
      <c r="B346" s="1113" t="s">
        <v>129</v>
      </c>
      <c r="C346" s="543"/>
      <c r="D346" s="596"/>
      <c r="E346" s="1080">
        <f t="shared" si="37"/>
        <v>4191.5299999999988</v>
      </c>
      <c r="F346" s="543"/>
      <c r="G346" s="596"/>
      <c r="H346" s="1101">
        <v>303.2</v>
      </c>
      <c r="I346" s="543"/>
      <c r="J346" s="596"/>
      <c r="K346" s="1101">
        <v>303.2</v>
      </c>
      <c r="L346" s="543"/>
      <c r="M346" s="596"/>
      <c r="N346" s="1101">
        <v>309.08999999999997</v>
      </c>
      <c r="O346" s="543"/>
      <c r="P346" s="596"/>
      <c r="Q346" s="1101">
        <v>303.2</v>
      </c>
      <c r="R346" s="543"/>
      <c r="S346" s="596"/>
      <c r="T346" s="1101">
        <v>385.18999999999897</v>
      </c>
      <c r="U346" s="543"/>
      <c r="V346" s="596"/>
      <c r="W346" s="1101">
        <v>812.2</v>
      </c>
      <c r="X346" s="543"/>
      <c r="Y346" s="596"/>
      <c r="Z346" s="1101">
        <v>385.18999999999897</v>
      </c>
      <c r="AA346" s="543"/>
      <c r="AB346" s="596"/>
      <c r="AC346" s="1101">
        <v>675.71</v>
      </c>
      <c r="AD346" s="543"/>
      <c r="AE346" s="596"/>
      <c r="AF346" s="1101">
        <v>338.44</v>
      </c>
      <c r="AG346" s="543"/>
      <c r="AH346" s="596"/>
      <c r="AI346" s="1101">
        <v>110.61</v>
      </c>
      <c r="AJ346" s="543"/>
      <c r="AK346" s="596"/>
      <c r="AL346" s="1101">
        <v>265.5</v>
      </c>
      <c r="AM346" s="543"/>
      <c r="AN346" s="596"/>
      <c r="AO346" s="1101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">
      <c r="A347" s="533" t="str">
        <f t="shared" si="33"/>
        <v>PiècesFormation</v>
      </c>
      <c r="B347" s="1113" t="s">
        <v>130</v>
      </c>
      <c r="C347" s="543"/>
      <c r="D347" s="596"/>
      <c r="E347" s="1080">
        <f t="shared" si="37"/>
        <v>1469.8600000000001</v>
      </c>
      <c r="F347" s="543"/>
      <c r="G347" s="596"/>
      <c r="H347" s="1101">
        <v>62.77</v>
      </c>
      <c r="I347" s="543"/>
      <c r="J347" s="596"/>
      <c r="K347" s="1101">
        <v>261.94</v>
      </c>
      <c r="L347" s="543"/>
      <c r="M347" s="596"/>
      <c r="N347" s="1101">
        <v>233.26</v>
      </c>
      <c r="O347" s="543"/>
      <c r="P347" s="596"/>
      <c r="Q347" s="1101">
        <v>243.68</v>
      </c>
      <c r="R347" s="543"/>
      <c r="S347" s="596"/>
      <c r="T347" s="1101">
        <v>32.58</v>
      </c>
      <c r="U347" s="543"/>
      <c r="V347" s="596"/>
      <c r="W347" s="1101">
        <v>230.03</v>
      </c>
      <c r="X347" s="543"/>
      <c r="Y347" s="596"/>
      <c r="Z347" s="1101">
        <v>121.42</v>
      </c>
      <c r="AA347" s="543"/>
      <c r="AB347" s="596"/>
      <c r="AC347" s="1101">
        <v>174.04</v>
      </c>
      <c r="AD347" s="543"/>
      <c r="AE347" s="596"/>
      <c r="AF347" s="1101">
        <v>-67.47</v>
      </c>
      <c r="AG347" s="543"/>
      <c r="AH347" s="596"/>
      <c r="AI347" s="1101">
        <v>-712.25</v>
      </c>
      <c r="AJ347" s="543"/>
      <c r="AK347" s="596"/>
      <c r="AL347" s="1101">
        <v>478.51</v>
      </c>
      <c r="AM347" s="543"/>
      <c r="AN347" s="596"/>
      <c r="AO347" s="1101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">
      <c r="A348" s="533" t="str">
        <f t="shared" si="33"/>
        <v>PiècesFrais bancaires</v>
      </c>
      <c r="B348" s="1113" t="s">
        <v>131</v>
      </c>
      <c r="C348" s="543"/>
      <c r="D348" s="596"/>
      <c r="E348" s="1080">
        <f t="shared" si="37"/>
        <v>15523.07</v>
      </c>
      <c r="F348" s="543"/>
      <c r="G348" s="596"/>
      <c r="H348" s="1101">
        <v>871.54</v>
      </c>
      <c r="I348" s="543"/>
      <c r="J348" s="596"/>
      <c r="K348" s="1101">
        <v>684.44</v>
      </c>
      <c r="L348" s="543"/>
      <c r="M348" s="596"/>
      <c r="N348" s="1101">
        <v>1338.34</v>
      </c>
      <c r="O348" s="543"/>
      <c r="P348" s="596"/>
      <c r="Q348" s="1101">
        <v>1989.28</v>
      </c>
      <c r="R348" s="543"/>
      <c r="S348" s="596"/>
      <c r="T348" s="1101">
        <v>1950.43</v>
      </c>
      <c r="U348" s="543"/>
      <c r="V348" s="596"/>
      <c r="W348" s="1101">
        <v>1170.72</v>
      </c>
      <c r="X348" s="543"/>
      <c r="Y348" s="596"/>
      <c r="Z348" s="1101">
        <v>1337.84</v>
      </c>
      <c r="AA348" s="543"/>
      <c r="AB348" s="596"/>
      <c r="AC348" s="1101">
        <v>1260.42</v>
      </c>
      <c r="AD348" s="543"/>
      <c r="AE348" s="596"/>
      <c r="AF348" s="1101">
        <v>676.59</v>
      </c>
      <c r="AG348" s="543"/>
      <c r="AH348" s="596"/>
      <c r="AI348" s="1101">
        <v>1217.23</v>
      </c>
      <c r="AJ348" s="543"/>
      <c r="AK348" s="596"/>
      <c r="AL348" s="1101">
        <v>2003.24</v>
      </c>
      <c r="AM348" s="543"/>
      <c r="AN348" s="596"/>
      <c r="AO348" s="1101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5" hidden="1" customHeight="1">
      <c r="A349" s="533" t="str">
        <f t="shared" si="33"/>
        <v>Pièces[...]</v>
      </c>
      <c r="B349" s="1113" t="s">
        <v>42</v>
      </c>
      <c r="C349" s="543"/>
      <c r="D349" s="596"/>
      <c r="E349" s="1080">
        <f t="shared" si="37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>
        <v>0</v>
      </c>
      <c r="AG349" s="543"/>
      <c r="AH349" s="596"/>
      <c r="AI349" s="1080">
        <v>0</v>
      </c>
      <c r="AJ349" s="543"/>
      <c r="AK349" s="596"/>
      <c r="AL349" s="1080">
        <v>0</v>
      </c>
      <c r="AM349" s="543"/>
      <c r="AN349" s="596"/>
      <c r="AO349" s="1080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5" hidden="1" customHeight="1">
      <c r="A350" s="533" t="str">
        <f t="shared" si="33"/>
        <v>Pièces[...]</v>
      </c>
      <c r="B350" s="1113" t="s">
        <v>42</v>
      </c>
      <c r="C350" s="543"/>
      <c r="D350" s="596"/>
      <c r="E350" s="1080">
        <f t="shared" si="37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>
        <v>0</v>
      </c>
      <c r="AG350" s="543"/>
      <c r="AH350" s="596"/>
      <c r="AI350" s="1080">
        <v>0</v>
      </c>
      <c r="AJ350" s="543"/>
      <c r="AK350" s="596"/>
      <c r="AL350" s="1080">
        <v>0</v>
      </c>
      <c r="AM350" s="543"/>
      <c r="AN350" s="596"/>
      <c r="AO350" s="1080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5" hidden="1" customHeight="1">
      <c r="A351" s="533" t="str">
        <f t="shared" si="33"/>
        <v>Pièces[...]</v>
      </c>
      <c r="B351" s="1113" t="s">
        <v>42</v>
      </c>
      <c r="C351" s="543"/>
      <c r="D351" s="596"/>
      <c r="E351" s="1080">
        <f t="shared" si="37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>
        <v>0</v>
      </c>
      <c r="AG351" s="543"/>
      <c r="AH351" s="596"/>
      <c r="AI351" s="1080">
        <v>0</v>
      </c>
      <c r="AJ351" s="543"/>
      <c r="AK351" s="596"/>
      <c r="AL351" s="1080">
        <v>0</v>
      </c>
      <c r="AM351" s="543"/>
      <c r="AN351" s="596"/>
      <c r="AO351" s="1080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">
      <c r="A352" s="533" t="str">
        <f t="shared" si="33"/>
        <v>PiècesTOTAL SEMI-FIXES</v>
      </c>
      <c r="B352" s="1106" t="s">
        <v>132</v>
      </c>
      <c r="C352" s="1107" t="s">
        <v>108</v>
      </c>
      <c r="D352" s="1108">
        <f>IFERROR(E352/E$317,0)</f>
        <v>0.16695265968728984</v>
      </c>
      <c r="E352" s="1109">
        <f>+SUM(E334:E351)</f>
        <v>195584.55999999997</v>
      </c>
      <c r="F352" s="1110" t="s">
        <v>108</v>
      </c>
      <c r="G352" s="1111">
        <v>0.16731796288295656</v>
      </c>
      <c r="H352" s="1112">
        <v>12718.259999999991</v>
      </c>
      <c r="I352" s="1110" t="s">
        <v>108</v>
      </c>
      <c r="J352" s="1111">
        <v>0.20453251929972638</v>
      </c>
      <c r="K352" s="1112">
        <v>16174.989999999991</v>
      </c>
      <c r="L352" s="1110" t="s">
        <v>108</v>
      </c>
      <c r="M352" s="1111">
        <v>0.18174194850273073</v>
      </c>
      <c r="N352" s="1112">
        <v>16670.819999999996</v>
      </c>
      <c r="O352" s="1110" t="s">
        <v>108</v>
      </c>
      <c r="P352" s="1111">
        <v>0.16601076762504555</v>
      </c>
      <c r="Q352" s="1112">
        <v>19936.169999999991</v>
      </c>
      <c r="R352" s="1110" t="s">
        <v>108</v>
      </c>
      <c r="S352" s="1111">
        <v>0.16057834822622374</v>
      </c>
      <c r="T352" s="1112">
        <v>18945.60999999999</v>
      </c>
      <c r="U352" s="1110" t="s">
        <v>108</v>
      </c>
      <c r="V352" s="1111">
        <v>0.14737359858746482</v>
      </c>
      <c r="W352" s="1112">
        <v>13372.109999999993</v>
      </c>
      <c r="X352" s="1110" t="s">
        <v>108</v>
      </c>
      <c r="Y352" s="1111">
        <v>0.15486856474980881</v>
      </c>
      <c r="Z352" s="1112">
        <v>14641.699999999988</v>
      </c>
      <c r="AA352" s="1110" t="s">
        <v>108</v>
      </c>
      <c r="AB352" s="1111">
        <v>0.19056421553578959</v>
      </c>
      <c r="AC352" s="1112">
        <v>17356.200000000004</v>
      </c>
      <c r="AD352" s="1110" t="s">
        <v>108</v>
      </c>
      <c r="AE352" s="1111">
        <v>0.1235623417818378</v>
      </c>
      <c r="AF352" s="1112">
        <v>12191.79</v>
      </c>
      <c r="AG352" s="1110" t="s">
        <v>108</v>
      </c>
      <c r="AH352" s="1111">
        <v>0.16648413487026711</v>
      </c>
      <c r="AI352" s="1112">
        <v>17708.090000000004</v>
      </c>
      <c r="AJ352" s="1110" t="s">
        <v>108</v>
      </c>
      <c r="AK352" s="1111">
        <v>0.18525153679922704</v>
      </c>
      <c r="AL352" s="1112">
        <v>26500.940000000002</v>
      </c>
      <c r="AM352" s="1110" t="s">
        <v>108</v>
      </c>
      <c r="AN352" s="1111">
        <v>0.15071595823788775</v>
      </c>
      <c r="AO352" s="1112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">
      <c r="A353" s="533" t="str">
        <f t="shared" si="33"/>
        <v>Pièces</v>
      </c>
      <c r="B353" s="747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">
      <c r="A354" s="533" t="str">
        <f t="shared" si="33"/>
        <v>PiècesTOTAL DES DÉPENSES</v>
      </c>
      <c r="B354" s="1125" t="s">
        <v>133</v>
      </c>
      <c r="C354" s="1107" t="s">
        <v>108</v>
      </c>
      <c r="D354" s="1164">
        <f>IFERROR(E354/E$317,0)</f>
        <v>0.47242611232369097</v>
      </c>
      <c r="E354" s="1126">
        <f>E333+E352</f>
        <v>553445.82999999996</v>
      </c>
      <c r="F354" s="1110" t="s">
        <v>108</v>
      </c>
      <c r="G354" s="1166">
        <v>0.53391704419219355</v>
      </c>
      <c r="H354" s="1127">
        <v>40584.37999999999</v>
      </c>
      <c r="I354" s="1110" t="s">
        <v>108</v>
      </c>
      <c r="J354" s="1166">
        <v>0.56314330575082772</v>
      </c>
      <c r="K354" s="1127">
        <v>44534.909999999989</v>
      </c>
      <c r="L354" s="1110" t="s">
        <v>108</v>
      </c>
      <c r="M354" s="1166">
        <v>0.47295715799662941</v>
      </c>
      <c r="N354" s="1127">
        <v>43383.399999999994</v>
      </c>
      <c r="O354" s="1110" t="s">
        <v>108</v>
      </c>
      <c r="P354" s="1166">
        <v>0.40986240109678146</v>
      </c>
      <c r="Q354" s="1127">
        <v>49220.219999999987</v>
      </c>
      <c r="R354" s="1110" t="s">
        <v>108</v>
      </c>
      <c r="S354" s="1166">
        <v>0.37611137277650247</v>
      </c>
      <c r="T354" s="1127">
        <v>44374.969999999987</v>
      </c>
      <c r="U354" s="1110" t="s">
        <v>108</v>
      </c>
      <c r="V354" s="1166">
        <v>0.48431953181163989</v>
      </c>
      <c r="W354" s="1127">
        <v>43945.279999999992</v>
      </c>
      <c r="X354" s="1110" t="s">
        <v>108</v>
      </c>
      <c r="Y354" s="1166">
        <v>0.48185693773451571</v>
      </c>
      <c r="Z354" s="1127">
        <v>45556.079999999885</v>
      </c>
      <c r="AA354" s="1110" t="s">
        <v>108</v>
      </c>
      <c r="AB354" s="1166">
        <v>0.51779706089156974</v>
      </c>
      <c r="AC354" s="1127">
        <v>47159.899999999907</v>
      </c>
      <c r="AD354" s="1110" t="s">
        <v>108</v>
      </c>
      <c r="AE354" s="1166">
        <v>0.47310901868608568</v>
      </c>
      <c r="AF354" s="1127">
        <v>46681.259999999995</v>
      </c>
      <c r="AG354" s="1110" t="s">
        <v>108</v>
      </c>
      <c r="AH354" s="1166">
        <v>0.47723908882458843</v>
      </c>
      <c r="AI354" s="1127">
        <v>50761.55</v>
      </c>
      <c r="AJ354" s="1110" t="s">
        <v>108</v>
      </c>
      <c r="AK354" s="1166">
        <v>0.43107531137581645</v>
      </c>
      <c r="AL354" s="1127">
        <v>61666.97</v>
      </c>
      <c r="AM354" s="1110" t="s">
        <v>108</v>
      </c>
      <c r="AN354" s="1166">
        <v>0.57238223395187515</v>
      </c>
      <c r="AO354" s="1127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">
      <c r="A355" s="533" t="str">
        <f t="shared" si="33"/>
        <v>Pièces</v>
      </c>
      <c r="B355" s="7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33"/>
        <v>PiècesPROFIT DÉPARTEMENTAL</v>
      </c>
      <c r="B356" s="1138" t="s">
        <v>139</v>
      </c>
      <c r="C356" s="1167"/>
      <c r="D356" s="1168"/>
      <c r="E356" s="1141">
        <f>E317-E354</f>
        <v>618051.28999999899</v>
      </c>
      <c r="F356" s="1169"/>
      <c r="G356" s="1170"/>
      <c r="H356" s="1144">
        <v>35428.14</v>
      </c>
      <c r="I356" s="1169"/>
      <c r="J356" s="1170"/>
      <c r="K356" s="1144">
        <v>34547.819999999716</v>
      </c>
      <c r="L356" s="1169"/>
      <c r="M356" s="1170"/>
      <c r="N356" s="1144">
        <v>48344.569999999818</v>
      </c>
      <c r="O356" s="1169"/>
      <c r="P356" s="1170"/>
      <c r="Q356" s="1144">
        <v>70869.39999999982</v>
      </c>
      <c r="R356" s="1169"/>
      <c r="S356" s="1170"/>
      <c r="T356" s="1144">
        <v>73608.619999999893</v>
      </c>
      <c r="U356" s="1169"/>
      <c r="V356" s="1170"/>
      <c r="W356" s="1144">
        <v>46790.849999999795</v>
      </c>
      <c r="X356" s="1169"/>
      <c r="Y356" s="1170"/>
      <c r="Z356" s="1144">
        <v>48986.670000000115</v>
      </c>
      <c r="AA356" s="1169"/>
      <c r="AB356" s="1170"/>
      <c r="AC356" s="1144">
        <v>43918.06</v>
      </c>
      <c r="AD356" s="1169"/>
      <c r="AE356" s="1170"/>
      <c r="AF356" s="1144">
        <v>51987.87999999999</v>
      </c>
      <c r="AG356" s="1169"/>
      <c r="AH356" s="1170"/>
      <c r="AI356" s="1144">
        <v>55603.479999999981</v>
      </c>
      <c r="AJ356" s="1169"/>
      <c r="AK356" s="1170"/>
      <c r="AL356" s="1144">
        <v>81386.850000000006</v>
      </c>
      <c r="AM356" s="1169"/>
      <c r="AN356" s="1170"/>
      <c r="AO356" s="1144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">
      <c r="A357" s="533"/>
      <c r="B357" s="752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">
      <c r="A358" s="533"/>
      <c r="B358" s="752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">
      <c r="A359" s="533"/>
      <c r="B359" s="1146" t="str">
        <f>$B$4</f>
        <v>Réel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7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48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1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5">
        <v>0</v>
      </c>
      <c r="G363" s="1230">
        <v>0</v>
      </c>
      <c r="H363" s="1087">
        <v>0</v>
      </c>
      <c r="I363" s="1085">
        <v>0</v>
      </c>
      <c r="J363" s="1230">
        <v>0</v>
      </c>
      <c r="K363" s="1087">
        <v>0</v>
      </c>
      <c r="L363" s="1085">
        <v>0</v>
      </c>
      <c r="M363" s="1230">
        <v>0</v>
      </c>
      <c r="N363" s="1087">
        <v>0</v>
      </c>
      <c r="O363" s="1085">
        <v>0</v>
      </c>
      <c r="P363" s="1230">
        <v>0</v>
      </c>
      <c r="Q363" s="1087">
        <v>0</v>
      </c>
      <c r="R363" s="1085">
        <v>0</v>
      </c>
      <c r="S363" s="1230">
        <v>0</v>
      </c>
      <c r="T363" s="1087">
        <v>0</v>
      </c>
      <c r="U363" s="1085">
        <v>0</v>
      </c>
      <c r="V363" s="1230">
        <v>0</v>
      </c>
      <c r="W363" s="1087">
        <v>0</v>
      </c>
      <c r="X363" s="1085">
        <v>0</v>
      </c>
      <c r="Y363" s="1230">
        <v>0</v>
      </c>
      <c r="Z363" s="1087">
        <v>0</v>
      </c>
      <c r="AA363" s="1085">
        <v>0</v>
      </c>
      <c r="AB363" s="1230">
        <v>0</v>
      </c>
      <c r="AC363" s="1087">
        <v>0</v>
      </c>
      <c r="AD363" s="1085">
        <v>0</v>
      </c>
      <c r="AE363" s="1230">
        <v>0</v>
      </c>
      <c r="AF363" s="1087">
        <v>0</v>
      </c>
      <c r="AG363" s="1085">
        <v>0</v>
      </c>
      <c r="AH363" s="1230">
        <v>0</v>
      </c>
      <c r="AI363" s="1087">
        <v>0</v>
      </c>
      <c r="AJ363" s="1085">
        <v>0</v>
      </c>
      <c r="AK363" s="1230">
        <v>0</v>
      </c>
      <c r="AL363" s="1087">
        <v>0</v>
      </c>
      <c r="AM363" s="1085"/>
      <c r="AN363" s="1230">
        <v>0</v>
      </c>
      <c r="AO363" s="1087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8">+$C$359&amp;B364</f>
        <v>Boutique</v>
      </c>
      <c r="B364" s="1231"/>
      <c r="C364" s="1232"/>
      <c r="D364" s="1233"/>
      <c r="E364" s="1234"/>
      <c r="F364" s="1235"/>
      <c r="G364" s="1236"/>
      <c r="H364" s="1237"/>
      <c r="I364" s="1235"/>
      <c r="J364" s="1236"/>
      <c r="K364" s="1237"/>
      <c r="L364" s="1235"/>
      <c r="M364" s="1236"/>
      <c r="N364" s="1237"/>
      <c r="O364" s="1235"/>
      <c r="P364" s="1236"/>
      <c r="Q364" s="1237"/>
      <c r="R364" s="1235"/>
      <c r="S364" s="1236"/>
      <c r="T364" s="1237"/>
      <c r="U364" s="1235"/>
      <c r="V364" s="1236"/>
      <c r="W364" s="1237"/>
      <c r="X364" s="1235"/>
      <c r="Y364" s="1236"/>
      <c r="Z364" s="1237"/>
      <c r="AA364" s="1235"/>
      <c r="AB364" s="1236"/>
      <c r="AC364" s="1237"/>
      <c r="AD364" s="1235"/>
      <c r="AE364" s="1236"/>
      <c r="AF364" s="1237"/>
      <c r="AG364" s="1235"/>
      <c r="AH364" s="1236"/>
      <c r="AI364" s="1237"/>
      <c r="AJ364" s="1235"/>
      <c r="AK364" s="1236"/>
      <c r="AL364" s="1237"/>
      <c r="AM364" s="1235"/>
      <c r="AN364" s="1236"/>
      <c r="AO364" s="1237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8"/>
        <v>BoutiqueTotal Dépt. Boutique</v>
      </c>
      <c r="B365" s="746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185">
        <v>0</v>
      </c>
      <c r="G365" s="1186">
        <v>0</v>
      </c>
      <c r="H365" s="1137">
        <v>0</v>
      </c>
      <c r="I365" s="1185">
        <v>0</v>
      </c>
      <c r="J365" s="1186">
        <v>0</v>
      </c>
      <c r="K365" s="1137">
        <v>0</v>
      </c>
      <c r="L365" s="1185">
        <v>0</v>
      </c>
      <c r="M365" s="1186">
        <v>0</v>
      </c>
      <c r="N365" s="1137">
        <v>0</v>
      </c>
      <c r="O365" s="1185">
        <v>0</v>
      </c>
      <c r="P365" s="1186">
        <v>0</v>
      </c>
      <c r="Q365" s="1137">
        <v>0</v>
      </c>
      <c r="R365" s="1185">
        <v>0</v>
      </c>
      <c r="S365" s="1186">
        <v>0</v>
      </c>
      <c r="T365" s="1137">
        <v>0</v>
      </c>
      <c r="U365" s="1185">
        <v>0</v>
      </c>
      <c r="V365" s="1186">
        <v>0</v>
      </c>
      <c r="W365" s="1137">
        <v>0</v>
      </c>
      <c r="X365" s="1185">
        <v>0</v>
      </c>
      <c r="Y365" s="1186">
        <v>0</v>
      </c>
      <c r="Z365" s="1137">
        <v>0</v>
      </c>
      <c r="AA365" s="1185">
        <v>0</v>
      </c>
      <c r="AB365" s="1186">
        <v>0</v>
      </c>
      <c r="AC365" s="1137">
        <v>0</v>
      </c>
      <c r="AD365" s="1185">
        <v>0</v>
      </c>
      <c r="AE365" s="1186">
        <v>0</v>
      </c>
      <c r="AF365" s="1137">
        <v>0</v>
      </c>
      <c r="AG365" s="1185">
        <v>0</v>
      </c>
      <c r="AH365" s="1186">
        <v>0</v>
      </c>
      <c r="AI365" s="1137">
        <v>0</v>
      </c>
      <c r="AJ365" s="1185">
        <v>0</v>
      </c>
      <c r="AK365" s="1186">
        <v>0</v>
      </c>
      <c r="AL365" s="1137">
        <v>0</v>
      </c>
      <c r="AM365" s="1185">
        <v>0</v>
      </c>
      <c r="AN365" s="1186">
        <v>0</v>
      </c>
      <c r="AO365" s="1137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">
      <c r="A366" s="533" t="str">
        <f t="shared" si="38"/>
        <v>Boutique</v>
      </c>
      <c r="B366" s="1096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">
      <c r="A367" s="533" t="str">
        <f t="shared" si="38"/>
        <v>BoutiqueDEPENSES</v>
      </c>
      <c r="B367" s="1096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">
      <c r="A368" s="533" t="str">
        <f t="shared" si="38"/>
        <v>BoutiqueSalaires cadres</v>
      </c>
      <c r="B368" s="1113" t="s">
        <v>109</v>
      </c>
      <c r="C368" s="543"/>
      <c r="D368" s="596"/>
      <c r="E368" s="1080">
        <f t="shared" ref="E368:E397" si="39">+SUM(H368,K368,N368,Q368,T368,W368,Z368,AC368,AF368,AI368,AL368,AO368)</f>
        <v>0</v>
      </c>
      <c r="F368" s="543"/>
      <c r="G368" s="596"/>
      <c r="H368" s="1101">
        <v>0</v>
      </c>
      <c r="I368" s="543"/>
      <c r="J368" s="596"/>
      <c r="K368" s="1101">
        <v>0</v>
      </c>
      <c r="L368" s="543"/>
      <c r="M368" s="596"/>
      <c r="N368" s="1101">
        <v>0</v>
      </c>
      <c r="O368" s="543"/>
      <c r="P368" s="596"/>
      <c r="Q368" s="1101">
        <v>0</v>
      </c>
      <c r="R368" s="543"/>
      <c r="S368" s="596"/>
      <c r="T368" s="1101">
        <v>0</v>
      </c>
      <c r="U368" s="543"/>
      <c r="V368" s="596"/>
      <c r="W368" s="1101">
        <v>0</v>
      </c>
      <c r="X368" s="543"/>
      <c r="Y368" s="596"/>
      <c r="Z368" s="1101">
        <v>0</v>
      </c>
      <c r="AA368" s="543"/>
      <c r="AB368" s="596"/>
      <c r="AC368" s="1101">
        <v>0</v>
      </c>
      <c r="AD368" s="543"/>
      <c r="AE368" s="596"/>
      <c r="AF368" s="1101">
        <v>0</v>
      </c>
      <c r="AG368" s="543"/>
      <c r="AH368" s="596"/>
      <c r="AI368" s="1101">
        <v>0</v>
      </c>
      <c r="AJ368" s="543"/>
      <c r="AK368" s="596"/>
      <c r="AL368" s="1101">
        <v>0</v>
      </c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">
      <c r="A369" s="533" t="str">
        <f t="shared" si="38"/>
        <v>BoutiqueSalaires commis</v>
      </c>
      <c r="B369" s="1114" t="s">
        <v>110</v>
      </c>
      <c r="C369" s="543"/>
      <c r="D369" s="596"/>
      <c r="E369" s="1080">
        <f t="shared" si="39"/>
        <v>0</v>
      </c>
      <c r="F369" s="543"/>
      <c r="G369" s="596"/>
      <c r="H369" s="1101">
        <v>0</v>
      </c>
      <c r="I369" s="543"/>
      <c r="J369" s="596"/>
      <c r="K369" s="1101">
        <v>0</v>
      </c>
      <c r="L369" s="543"/>
      <c r="M369" s="596"/>
      <c r="N369" s="1101">
        <v>0</v>
      </c>
      <c r="O369" s="543"/>
      <c r="P369" s="596"/>
      <c r="Q369" s="1101">
        <v>0</v>
      </c>
      <c r="R369" s="543"/>
      <c r="S369" s="596"/>
      <c r="T369" s="1101">
        <v>0</v>
      </c>
      <c r="U369" s="543"/>
      <c r="V369" s="596"/>
      <c r="W369" s="1101">
        <v>0</v>
      </c>
      <c r="X369" s="543"/>
      <c r="Y369" s="596"/>
      <c r="Z369" s="1101">
        <v>0</v>
      </c>
      <c r="AA369" s="543"/>
      <c r="AB369" s="596"/>
      <c r="AC369" s="1101">
        <v>0</v>
      </c>
      <c r="AD369" s="543"/>
      <c r="AE369" s="596"/>
      <c r="AF369" s="1101">
        <v>0</v>
      </c>
      <c r="AG369" s="543"/>
      <c r="AH369" s="596"/>
      <c r="AI369" s="1101">
        <v>0</v>
      </c>
      <c r="AJ369" s="543"/>
      <c r="AK369" s="596"/>
      <c r="AL369" s="1101">
        <v>0</v>
      </c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">
      <c r="A370" s="533" t="str">
        <f t="shared" si="38"/>
        <v>BoutiqueSalaires autres</v>
      </c>
      <c r="B370" s="1113" t="s">
        <v>111</v>
      </c>
      <c r="C370" s="1115"/>
      <c r="D370" s="1116"/>
      <c r="E370" s="1117">
        <f t="shared" si="39"/>
        <v>0</v>
      </c>
      <c r="F370" s="1115"/>
      <c r="G370" s="1116"/>
      <c r="H370" s="1118">
        <v>0</v>
      </c>
      <c r="I370" s="1115"/>
      <c r="J370" s="1116"/>
      <c r="K370" s="1118">
        <v>0</v>
      </c>
      <c r="L370" s="1115"/>
      <c r="M370" s="1116"/>
      <c r="N370" s="1118">
        <v>0</v>
      </c>
      <c r="O370" s="1115"/>
      <c r="P370" s="1116"/>
      <c r="Q370" s="1118">
        <v>0</v>
      </c>
      <c r="R370" s="1115"/>
      <c r="S370" s="1116"/>
      <c r="T370" s="1118">
        <v>0</v>
      </c>
      <c r="U370" s="1115"/>
      <c r="V370" s="1116"/>
      <c r="W370" s="1118">
        <v>0</v>
      </c>
      <c r="X370" s="1115"/>
      <c r="Y370" s="1116"/>
      <c r="Z370" s="1118">
        <v>0</v>
      </c>
      <c r="AA370" s="1115"/>
      <c r="AB370" s="1116"/>
      <c r="AC370" s="1118">
        <v>0</v>
      </c>
      <c r="AD370" s="1115"/>
      <c r="AE370" s="1116"/>
      <c r="AF370" s="1118">
        <v>0</v>
      </c>
      <c r="AG370" s="1115"/>
      <c r="AH370" s="1116"/>
      <c r="AI370" s="1118">
        <v>0</v>
      </c>
      <c r="AJ370" s="1115"/>
      <c r="AK370" s="1116"/>
      <c r="AL370" s="1118">
        <v>0</v>
      </c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">
      <c r="A371" s="533" t="str">
        <f t="shared" si="38"/>
        <v>BoutiqueSalaires spécialistes</v>
      </c>
      <c r="B371" s="1113" t="s">
        <v>112</v>
      </c>
      <c r="C371" s="543"/>
      <c r="D371" s="596"/>
      <c r="E371" s="1080">
        <f t="shared" si="39"/>
        <v>0</v>
      </c>
      <c r="F371" s="543"/>
      <c r="G371" s="596"/>
      <c r="H371" s="1101">
        <v>0</v>
      </c>
      <c r="I371" s="543"/>
      <c r="J371" s="596"/>
      <c r="K371" s="1101">
        <v>0</v>
      </c>
      <c r="L371" s="543"/>
      <c r="M371" s="596"/>
      <c r="N371" s="1101">
        <v>0</v>
      </c>
      <c r="O371" s="543"/>
      <c r="P371" s="596"/>
      <c r="Q371" s="1101">
        <v>0</v>
      </c>
      <c r="R371" s="543"/>
      <c r="S371" s="596"/>
      <c r="T371" s="1101">
        <v>0</v>
      </c>
      <c r="U371" s="543"/>
      <c r="V371" s="596"/>
      <c r="W371" s="1101">
        <v>0</v>
      </c>
      <c r="X371" s="543"/>
      <c r="Y371" s="596"/>
      <c r="Z371" s="1101">
        <v>0</v>
      </c>
      <c r="AA371" s="543"/>
      <c r="AB371" s="596"/>
      <c r="AC371" s="1101">
        <v>0</v>
      </c>
      <c r="AD371" s="543"/>
      <c r="AE371" s="596"/>
      <c r="AF371" s="1101">
        <v>0</v>
      </c>
      <c r="AG371" s="543"/>
      <c r="AH371" s="596"/>
      <c r="AI371" s="1101">
        <v>0</v>
      </c>
      <c r="AJ371" s="543"/>
      <c r="AK371" s="596"/>
      <c r="AL371" s="1101">
        <v>0</v>
      </c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5" hidden="1" customHeight="1">
      <c r="A372" s="533" t="str">
        <f t="shared" si="38"/>
        <v>Boutique[...]</v>
      </c>
      <c r="B372" s="743" t="s">
        <v>42</v>
      </c>
      <c r="C372" s="543"/>
      <c r="D372" s="596"/>
      <c r="E372" s="1080">
        <f t="shared" si="39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>
        <v>0</v>
      </c>
      <c r="AG372" s="543"/>
      <c r="AH372" s="596"/>
      <c r="AI372" s="1101">
        <v>0</v>
      </c>
      <c r="AJ372" s="543"/>
      <c r="AK372" s="596"/>
      <c r="AL372" s="1101">
        <v>0</v>
      </c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5" hidden="1" customHeight="1">
      <c r="A373" s="533" t="str">
        <f t="shared" si="38"/>
        <v>Boutique[...]</v>
      </c>
      <c r="B373" s="743" t="s">
        <v>42</v>
      </c>
      <c r="C373" s="543"/>
      <c r="D373" s="596"/>
      <c r="E373" s="1080">
        <f t="shared" si="39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>
        <v>0</v>
      </c>
      <c r="AG373" s="543"/>
      <c r="AH373" s="596"/>
      <c r="AI373" s="1101">
        <v>0</v>
      </c>
      <c r="AJ373" s="543"/>
      <c r="AK373" s="596"/>
      <c r="AL373" s="1101">
        <v>0</v>
      </c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5" hidden="1" customHeight="1">
      <c r="A374" s="533" t="str">
        <f t="shared" si="38"/>
        <v>Boutique[...]</v>
      </c>
      <c r="B374" s="743" t="s">
        <v>42</v>
      </c>
      <c r="C374" s="543"/>
      <c r="D374" s="596"/>
      <c r="E374" s="1080">
        <f t="shared" si="39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>
        <v>0</v>
      </c>
      <c r="AG374" s="543"/>
      <c r="AH374" s="596"/>
      <c r="AI374" s="1101">
        <v>0</v>
      </c>
      <c r="AJ374" s="543"/>
      <c r="AK374" s="596"/>
      <c r="AL374" s="1101">
        <v>0</v>
      </c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">
      <c r="A375" s="533" t="str">
        <f t="shared" si="38"/>
        <v>BoutiqueSalaires en absences</v>
      </c>
      <c r="B375" s="1114" t="s">
        <v>113</v>
      </c>
      <c r="C375" s="543"/>
      <c r="D375" s="596"/>
      <c r="E375" s="1080">
        <f t="shared" si="39"/>
        <v>0</v>
      </c>
      <c r="F375" s="543"/>
      <c r="G375" s="596"/>
      <c r="H375" s="1101">
        <v>0</v>
      </c>
      <c r="I375" s="543"/>
      <c r="J375" s="596"/>
      <c r="K375" s="1101">
        <v>0</v>
      </c>
      <c r="L375" s="543"/>
      <c r="M375" s="596"/>
      <c r="N375" s="1101">
        <v>0</v>
      </c>
      <c r="O375" s="543"/>
      <c r="P375" s="596"/>
      <c r="Q375" s="1101">
        <v>0</v>
      </c>
      <c r="R375" s="543"/>
      <c r="S375" s="596"/>
      <c r="T375" s="1101">
        <v>0</v>
      </c>
      <c r="U375" s="543"/>
      <c r="V375" s="596"/>
      <c r="W375" s="1101">
        <v>0</v>
      </c>
      <c r="X375" s="543"/>
      <c r="Y375" s="596"/>
      <c r="Z375" s="1101">
        <v>0</v>
      </c>
      <c r="AA375" s="543"/>
      <c r="AB375" s="596"/>
      <c r="AC375" s="1101">
        <v>0</v>
      </c>
      <c r="AD375" s="543"/>
      <c r="AE375" s="596"/>
      <c r="AF375" s="1101">
        <v>0</v>
      </c>
      <c r="AG375" s="543"/>
      <c r="AH375" s="596"/>
      <c r="AI375" s="1101">
        <v>0</v>
      </c>
      <c r="AJ375" s="543"/>
      <c r="AK375" s="596"/>
      <c r="AL375" s="1101">
        <v>0</v>
      </c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">
      <c r="A376" s="533" t="str">
        <f t="shared" si="38"/>
        <v>BoutiqueDéduction à la source</v>
      </c>
      <c r="B376" s="1113" t="s">
        <v>114</v>
      </c>
      <c r="C376" s="1115"/>
      <c r="D376" s="1116"/>
      <c r="E376" s="1117">
        <f t="shared" si="39"/>
        <v>0</v>
      </c>
      <c r="F376" s="1115"/>
      <c r="G376" s="1116"/>
      <c r="H376" s="1118">
        <v>0</v>
      </c>
      <c r="I376" s="1115"/>
      <c r="J376" s="1116"/>
      <c r="K376" s="1118">
        <v>0</v>
      </c>
      <c r="L376" s="1115"/>
      <c r="M376" s="1116"/>
      <c r="N376" s="1118">
        <v>0</v>
      </c>
      <c r="O376" s="1115"/>
      <c r="P376" s="1116"/>
      <c r="Q376" s="1118">
        <v>0</v>
      </c>
      <c r="R376" s="1115"/>
      <c r="S376" s="1116"/>
      <c r="T376" s="1118">
        <v>0</v>
      </c>
      <c r="U376" s="1115"/>
      <c r="V376" s="1116"/>
      <c r="W376" s="1118">
        <v>0</v>
      </c>
      <c r="X376" s="1115"/>
      <c r="Y376" s="1116"/>
      <c r="Z376" s="1118">
        <v>0</v>
      </c>
      <c r="AA376" s="1115"/>
      <c r="AB376" s="1116"/>
      <c r="AC376" s="1118">
        <v>0</v>
      </c>
      <c r="AD376" s="1115"/>
      <c r="AE376" s="1116"/>
      <c r="AF376" s="1118">
        <v>0</v>
      </c>
      <c r="AG376" s="1115"/>
      <c r="AH376" s="1116"/>
      <c r="AI376" s="1118">
        <v>0</v>
      </c>
      <c r="AJ376" s="1115"/>
      <c r="AK376" s="1116"/>
      <c r="AL376" s="1118">
        <v>0</v>
      </c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">
      <c r="A377" s="533" t="str">
        <f t="shared" si="38"/>
        <v>BoutiqueBénéfices marginaux</v>
      </c>
      <c r="B377" s="1119" t="s">
        <v>115</v>
      </c>
      <c r="C377" s="543"/>
      <c r="D377" s="596"/>
      <c r="E377" s="1080">
        <f t="shared" si="39"/>
        <v>0</v>
      </c>
      <c r="F377" s="543"/>
      <c r="G377" s="596"/>
      <c r="H377" s="1101">
        <v>0</v>
      </c>
      <c r="I377" s="543"/>
      <c r="J377" s="596"/>
      <c r="K377" s="1101">
        <v>0</v>
      </c>
      <c r="L377" s="543"/>
      <c r="M377" s="596"/>
      <c r="N377" s="1101">
        <v>0</v>
      </c>
      <c r="O377" s="543"/>
      <c r="P377" s="596"/>
      <c r="Q377" s="1101">
        <v>0</v>
      </c>
      <c r="R377" s="543"/>
      <c r="S377" s="596"/>
      <c r="T377" s="1101">
        <v>0</v>
      </c>
      <c r="U377" s="543"/>
      <c r="V377" s="596"/>
      <c r="W377" s="1101">
        <v>0</v>
      </c>
      <c r="X377" s="543"/>
      <c r="Y377" s="596"/>
      <c r="Z377" s="1101">
        <v>0</v>
      </c>
      <c r="AA377" s="543"/>
      <c r="AB377" s="596"/>
      <c r="AC377" s="1101">
        <v>0</v>
      </c>
      <c r="AD377" s="543"/>
      <c r="AE377" s="596"/>
      <c r="AF377" s="1101">
        <v>0</v>
      </c>
      <c r="AG377" s="543"/>
      <c r="AH377" s="596"/>
      <c r="AI377" s="1101">
        <v>0</v>
      </c>
      <c r="AJ377" s="543"/>
      <c r="AK377" s="596"/>
      <c r="AL377" s="1101">
        <v>0</v>
      </c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">
      <c r="A378" s="533" t="str">
        <f t="shared" si="38"/>
        <v>BoutiqueCsst</v>
      </c>
      <c r="B378" s="1113" t="s">
        <v>116</v>
      </c>
      <c r="C378" s="543"/>
      <c r="D378" s="596"/>
      <c r="E378" s="1080">
        <f t="shared" si="39"/>
        <v>0</v>
      </c>
      <c r="F378" s="543"/>
      <c r="G378" s="596"/>
      <c r="H378" s="1101">
        <v>0</v>
      </c>
      <c r="I378" s="543"/>
      <c r="J378" s="596"/>
      <c r="K378" s="1101">
        <v>0</v>
      </c>
      <c r="L378" s="543"/>
      <c r="M378" s="596"/>
      <c r="N378" s="1101">
        <v>0</v>
      </c>
      <c r="O378" s="543"/>
      <c r="P378" s="596"/>
      <c r="Q378" s="1101">
        <v>0</v>
      </c>
      <c r="R378" s="543"/>
      <c r="S378" s="596"/>
      <c r="T378" s="1101">
        <v>0</v>
      </c>
      <c r="U378" s="543"/>
      <c r="V378" s="596"/>
      <c r="W378" s="1101">
        <v>0</v>
      </c>
      <c r="X378" s="543"/>
      <c r="Y378" s="596"/>
      <c r="Z378" s="1101">
        <v>0</v>
      </c>
      <c r="AA378" s="543"/>
      <c r="AB378" s="596"/>
      <c r="AC378" s="1101">
        <v>0</v>
      </c>
      <c r="AD378" s="543"/>
      <c r="AE378" s="596"/>
      <c r="AF378" s="1101">
        <v>0</v>
      </c>
      <c r="AG378" s="543"/>
      <c r="AH378" s="596"/>
      <c r="AI378" s="1101">
        <v>0</v>
      </c>
      <c r="AJ378" s="543"/>
      <c r="AK378" s="596"/>
      <c r="AL378" s="1101">
        <v>0</v>
      </c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5" hidden="1" customHeight="1">
      <c r="A379" s="533" t="str">
        <f t="shared" si="38"/>
        <v>Boutique[...]</v>
      </c>
      <c r="B379" s="743" t="s">
        <v>42</v>
      </c>
      <c r="C379" s="601"/>
      <c r="D379" s="1120"/>
      <c r="E379" s="1103">
        <f t="shared" si="39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 t="s">
        <v>108</v>
      </c>
      <c r="AE379" s="1120">
        <v>0</v>
      </c>
      <c r="AF379" s="1103">
        <v>0</v>
      </c>
      <c r="AG379" s="601" t="s">
        <v>108</v>
      </c>
      <c r="AH379" s="1120">
        <v>0</v>
      </c>
      <c r="AI379" s="1103">
        <v>0</v>
      </c>
      <c r="AJ379" s="601"/>
      <c r="AK379" s="1120"/>
      <c r="AL379" s="1103">
        <v>0</v>
      </c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">
      <c r="A380" s="533" t="str">
        <f t="shared" si="38"/>
        <v>BoutiqueTOTAL PERSONNEL</v>
      </c>
      <c r="B380" s="110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10"/>
      <c r="G380" s="1111"/>
      <c r="H380" s="1112">
        <v>0</v>
      </c>
      <c r="I380" s="1110"/>
      <c r="J380" s="1111"/>
      <c r="K380" s="1112">
        <v>0</v>
      </c>
      <c r="L380" s="1110"/>
      <c r="M380" s="1111"/>
      <c r="N380" s="1112">
        <v>0</v>
      </c>
      <c r="O380" s="1110"/>
      <c r="P380" s="1111"/>
      <c r="Q380" s="1112">
        <v>0</v>
      </c>
      <c r="R380" s="1110"/>
      <c r="S380" s="1111"/>
      <c r="T380" s="1112">
        <v>0</v>
      </c>
      <c r="U380" s="1110"/>
      <c r="V380" s="1111"/>
      <c r="W380" s="1112">
        <v>0</v>
      </c>
      <c r="X380" s="1110"/>
      <c r="Y380" s="1111"/>
      <c r="Z380" s="1112">
        <v>0</v>
      </c>
      <c r="AA380" s="1110"/>
      <c r="AB380" s="1111"/>
      <c r="AC380" s="1112">
        <v>0</v>
      </c>
      <c r="AD380" s="1110"/>
      <c r="AE380" s="1111"/>
      <c r="AF380" s="1112">
        <v>0</v>
      </c>
      <c r="AG380" s="1110"/>
      <c r="AH380" s="1111"/>
      <c r="AI380" s="1112">
        <v>0</v>
      </c>
      <c r="AJ380" s="1110" t="s">
        <v>108</v>
      </c>
      <c r="AK380" s="1111">
        <v>0</v>
      </c>
      <c r="AL380" s="1112">
        <v>0</v>
      </c>
      <c r="AM380" s="1110" t="s">
        <v>108</v>
      </c>
      <c r="AN380" s="1111">
        <v>0</v>
      </c>
      <c r="AO380" s="1112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">
      <c r="A381" s="533" t="str">
        <f t="shared" si="38"/>
        <v>BoutiquePublicité 2</v>
      </c>
      <c r="B381" s="1220" t="s">
        <v>118</v>
      </c>
      <c r="C381" s="543"/>
      <c r="D381" s="596"/>
      <c r="E381" s="1080">
        <f t="shared" si="39"/>
        <v>0</v>
      </c>
      <c r="F381" s="543"/>
      <c r="G381" s="596"/>
      <c r="H381" s="1101">
        <v>0</v>
      </c>
      <c r="I381" s="543"/>
      <c r="J381" s="596"/>
      <c r="K381" s="1101">
        <v>0</v>
      </c>
      <c r="L381" s="543"/>
      <c r="M381" s="596"/>
      <c r="N381" s="1101">
        <v>0</v>
      </c>
      <c r="O381" s="543"/>
      <c r="P381" s="596"/>
      <c r="Q381" s="1101">
        <v>0</v>
      </c>
      <c r="R381" s="543"/>
      <c r="S381" s="596"/>
      <c r="T381" s="1101">
        <v>0</v>
      </c>
      <c r="U381" s="543"/>
      <c r="V381" s="596"/>
      <c r="W381" s="1101">
        <v>0</v>
      </c>
      <c r="X381" s="543"/>
      <c r="Y381" s="596"/>
      <c r="Z381" s="1101">
        <v>0</v>
      </c>
      <c r="AA381" s="543"/>
      <c r="AB381" s="596"/>
      <c r="AC381" s="1101">
        <v>0</v>
      </c>
      <c r="AD381" s="543"/>
      <c r="AE381" s="596"/>
      <c r="AF381" s="1101">
        <v>0</v>
      </c>
      <c r="AG381" s="543"/>
      <c r="AH381" s="596"/>
      <c r="AI381" s="1101">
        <v>0</v>
      </c>
      <c r="AJ381" s="543"/>
      <c r="AK381" s="596"/>
      <c r="AL381" s="1101">
        <v>0</v>
      </c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">
      <c r="A382" s="533" t="str">
        <f t="shared" si="38"/>
        <v>BoutiqueService gratuit 2</v>
      </c>
      <c r="B382" s="1113" t="s">
        <v>119</v>
      </c>
      <c r="C382" s="543"/>
      <c r="D382" s="596"/>
      <c r="E382" s="1080">
        <f t="shared" si="39"/>
        <v>0</v>
      </c>
      <c r="F382" s="543"/>
      <c r="G382" s="596"/>
      <c r="H382" s="1101">
        <v>0</v>
      </c>
      <c r="I382" s="543"/>
      <c r="J382" s="596"/>
      <c r="K382" s="1101">
        <v>0</v>
      </c>
      <c r="L382" s="543"/>
      <c r="M382" s="596"/>
      <c r="N382" s="1101">
        <v>0</v>
      </c>
      <c r="O382" s="543"/>
      <c r="P382" s="596"/>
      <c r="Q382" s="1101">
        <v>0</v>
      </c>
      <c r="R382" s="543"/>
      <c r="S382" s="596"/>
      <c r="T382" s="1101">
        <v>0</v>
      </c>
      <c r="U382" s="543"/>
      <c r="V382" s="596"/>
      <c r="W382" s="1101">
        <v>0</v>
      </c>
      <c r="X382" s="543"/>
      <c r="Y382" s="596"/>
      <c r="Z382" s="1101">
        <v>0</v>
      </c>
      <c r="AA382" s="543"/>
      <c r="AB382" s="596"/>
      <c r="AC382" s="1101">
        <v>0</v>
      </c>
      <c r="AD382" s="543"/>
      <c r="AE382" s="596"/>
      <c r="AF382" s="1101">
        <v>0</v>
      </c>
      <c r="AG382" s="543"/>
      <c r="AH382" s="596"/>
      <c r="AI382" s="1101">
        <v>0</v>
      </c>
      <c r="AJ382" s="543"/>
      <c r="AK382" s="596"/>
      <c r="AL382" s="1101">
        <v>0</v>
      </c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">
      <c r="A383" s="533" t="str">
        <f t="shared" si="38"/>
        <v>BoutiqueFrais véhicules de cie</v>
      </c>
      <c r="B383" s="1114" t="s">
        <v>120</v>
      </c>
      <c r="C383" s="601"/>
      <c r="D383" s="1120"/>
      <c r="E383" s="1103">
        <f t="shared" si="39"/>
        <v>0</v>
      </c>
      <c r="F383" s="601"/>
      <c r="G383" s="1120"/>
      <c r="H383" s="1105">
        <v>0</v>
      </c>
      <c r="I383" s="601"/>
      <c r="J383" s="1120"/>
      <c r="K383" s="1105">
        <v>0</v>
      </c>
      <c r="L383" s="601"/>
      <c r="M383" s="1120"/>
      <c r="N383" s="1105">
        <v>0</v>
      </c>
      <c r="O383" s="601"/>
      <c r="P383" s="1120"/>
      <c r="Q383" s="1105">
        <v>0</v>
      </c>
      <c r="R383" s="601"/>
      <c r="S383" s="1120"/>
      <c r="T383" s="1105">
        <v>0</v>
      </c>
      <c r="U383" s="601"/>
      <c r="V383" s="1120"/>
      <c r="W383" s="1105">
        <v>0</v>
      </c>
      <c r="X383" s="601"/>
      <c r="Y383" s="1120"/>
      <c r="Z383" s="1105">
        <v>0</v>
      </c>
      <c r="AA383" s="601"/>
      <c r="AB383" s="1120"/>
      <c r="AC383" s="1105">
        <v>0</v>
      </c>
      <c r="AD383" s="601"/>
      <c r="AE383" s="1120"/>
      <c r="AF383" s="1105">
        <v>0</v>
      </c>
      <c r="AG383" s="601"/>
      <c r="AH383" s="1120"/>
      <c r="AI383" s="1105">
        <v>0</v>
      </c>
      <c r="AJ383" s="601"/>
      <c r="AK383" s="1120"/>
      <c r="AL383" s="1105">
        <v>0</v>
      </c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">
      <c r="A384" s="533" t="str">
        <f t="shared" si="38"/>
        <v>BoutiqueInformatique</v>
      </c>
      <c r="B384" s="1113" t="s">
        <v>121</v>
      </c>
      <c r="C384" s="543"/>
      <c r="D384" s="596"/>
      <c r="E384" s="1080">
        <f t="shared" si="39"/>
        <v>0</v>
      </c>
      <c r="F384" s="543"/>
      <c r="G384" s="596"/>
      <c r="H384" s="1101">
        <v>0</v>
      </c>
      <c r="I384" s="543"/>
      <c r="J384" s="596"/>
      <c r="K384" s="1101">
        <v>0</v>
      </c>
      <c r="L384" s="543"/>
      <c r="M384" s="596"/>
      <c r="N384" s="1101">
        <v>0</v>
      </c>
      <c r="O384" s="543"/>
      <c r="P384" s="596"/>
      <c r="Q384" s="1101">
        <v>0</v>
      </c>
      <c r="R384" s="543"/>
      <c r="S384" s="596"/>
      <c r="T384" s="1101">
        <v>0</v>
      </c>
      <c r="U384" s="543"/>
      <c r="V384" s="596"/>
      <c r="W384" s="1101">
        <v>0</v>
      </c>
      <c r="X384" s="543"/>
      <c r="Y384" s="596"/>
      <c r="Z384" s="1101">
        <v>0</v>
      </c>
      <c r="AA384" s="543"/>
      <c r="AB384" s="596"/>
      <c r="AC384" s="1101">
        <v>0</v>
      </c>
      <c r="AD384" s="543"/>
      <c r="AE384" s="596"/>
      <c r="AF384" s="1101">
        <v>0</v>
      </c>
      <c r="AG384" s="543"/>
      <c r="AH384" s="596"/>
      <c r="AI384" s="1101">
        <v>0</v>
      </c>
      <c r="AJ384" s="543"/>
      <c r="AK384" s="596"/>
      <c r="AL384" s="1101">
        <v>0</v>
      </c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">
      <c r="A385" s="533" t="str">
        <f t="shared" si="38"/>
        <v>BoutiqueFrais de déplacement</v>
      </c>
      <c r="B385" s="1113" t="s">
        <v>122</v>
      </c>
      <c r="C385" s="543"/>
      <c r="D385" s="596"/>
      <c r="E385" s="1080">
        <f t="shared" si="39"/>
        <v>0</v>
      </c>
      <c r="F385" s="543"/>
      <c r="G385" s="596"/>
      <c r="H385" s="1101">
        <v>0</v>
      </c>
      <c r="I385" s="543"/>
      <c r="J385" s="596"/>
      <c r="K385" s="1101">
        <v>0</v>
      </c>
      <c r="L385" s="543"/>
      <c r="M385" s="596"/>
      <c r="N385" s="1101">
        <v>0</v>
      </c>
      <c r="O385" s="543"/>
      <c r="P385" s="596"/>
      <c r="Q385" s="1101">
        <v>0</v>
      </c>
      <c r="R385" s="543"/>
      <c r="S385" s="596"/>
      <c r="T385" s="1101">
        <v>0</v>
      </c>
      <c r="U385" s="543"/>
      <c r="V385" s="596"/>
      <c r="W385" s="1101">
        <v>0</v>
      </c>
      <c r="X385" s="543"/>
      <c r="Y385" s="596"/>
      <c r="Z385" s="1101">
        <v>0</v>
      </c>
      <c r="AA385" s="543"/>
      <c r="AB385" s="596"/>
      <c r="AC385" s="1101">
        <v>0</v>
      </c>
      <c r="AD385" s="543"/>
      <c r="AE385" s="596"/>
      <c r="AF385" s="1101">
        <v>0</v>
      </c>
      <c r="AG385" s="543"/>
      <c r="AH385" s="596"/>
      <c r="AI385" s="1101">
        <v>0</v>
      </c>
      <c r="AJ385" s="543"/>
      <c r="AK385" s="596"/>
      <c r="AL385" s="1101">
        <v>0</v>
      </c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">
      <c r="A386" s="533" t="str">
        <f t="shared" si="38"/>
        <v>BoutiqueServices extérieurs</v>
      </c>
      <c r="B386" s="1113" t="s">
        <v>123</v>
      </c>
      <c r="C386" s="601"/>
      <c r="D386" s="1120"/>
      <c r="E386" s="1103">
        <f t="shared" si="39"/>
        <v>0</v>
      </c>
      <c r="F386" s="601"/>
      <c r="G386" s="1120"/>
      <c r="H386" s="1105">
        <v>0</v>
      </c>
      <c r="I386" s="601"/>
      <c r="J386" s="1120"/>
      <c r="K386" s="1105">
        <v>0</v>
      </c>
      <c r="L386" s="601"/>
      <c r="M386" s="1120"/>
      <c r="N386" s="1105">
        <v>0</v>
      </c>
      <c r="O386" s="601"/>
      <c r="P386" s="1120"/>
      <c r="Q386" s="1105">
        <v>0</v>
      </c>
      <c r="R386" s="601"/>
      <c r="S386" s="1120"/>
      <c r="T386" s="1105">
        <v>0</v>
      </c>
      <c r="U386" s="601"/>
      <c r="V386" s="1120"/>
      <c r="W386" s="1105">
        <v>0</v>
      </c>
      <c r="X386" s="601"/>
      <c r="Y386" s="1120"/>
      <c r="Z386" s="1105">
        <v>0</v>
      </c>
      <c r="AA386" s="601"/>
      <c r="AB386" s="1120"/>
      <c r="AC386" s="1105">
        <v>0</v>
      </c>
      <c r="AD386" s="601"/>
      <c r="AE386" s="1120"/>
      <c r="AF386" s="1105">
        <v>0</v>
      </c>
      <c r="AG386" s="601"/>
      <c r="AH386" s="1120"/>
      <c r="AI386" s="1105">
        <v>0</v>
      </c>
      <c r="AJ386" s="601"/>
      <c r="AK386" s="1120"/>
      <c r="AL386" s="1105">
        <v>0</v>
      </c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1" t="s">
        <v>124</v>
      </c>
      <c r="C387" s="543"/>
      <c r="D387" s="596"/>
      <c r="E387" s="1080">
        <f t="shared" si="39"/>
        <v>0</v>
      </c>
      <c r="F387" s="543"/>
      <c r="G387" s="596"/>
      <c r="H387" s="1101">
        <v>0</v>
      </c>
      <c r="I387" s="543"/>
      <c r="J387" s="596"/>
      <c r="K387" s="1101">
        <v>0</v>
      </c>
      <c r="L387" s="543"/>
      <c r="M387" s="596"/>
      <c r="N387" s="1101">
        <v>0</v>
      </c>
      <c r="O387" s="543"/>
      <c r="P387" s="596"/>
      <c r="Q387" s="1101">
        <v>0</v>
      </c>
      <c r="R387" s="543"/>
      <c r="S387" s="596"/>
      <c r="T387" s="1101">
        <v>0</v>
      </c>
      <c r="U387" s="543"/>
      <c r="V387" s="596"/>
      <c r="W387" s="1101">
        <v>0</v>
      </c>
      <c r="X387" s="543"/>
      <c r="Y387" s="596"/>
      <c r="Z387" s="1101">
        <v>0</v>
      </c>
      <c r="AA387" s="543"/>
      <c r="AB387" s="596"/>
      <c r="AC387" s="1101">
        <v>0</v>
      </c>
      <c r="AD387" s="543"/>
      <c r="AE387" s="596"/>
      <c r="AF387" s="1101">
        <v>0</v>
      </c>
      <c r="AG387" s="543"/>
      <c r="AH387" s="596"/>
      <c r="AI387" s="1101">
        <v>0</v>
      </c>
      <c r="AJ387" s="543"/>
      <c r="AK387" s="596"/>
      <c r="AL387" s="1101">
        <v>0</v>
      </c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3" t="s">
        <v>125</v>
      </c>
      <c r="C388" s="543"/>
      <c r="D388" s="596"/>
      <c r="E388" s="1080">
        <f t="shared" si="39"/>
        <v>0</v>
      </c>
      <c r="F388" s="543"/>
      <c r="G388" s="596"/>
      <c r="H388" s="1101">
        <v>0</v>
      </c>
      <c r="I388" s="543"/>
      <c r="J388" s="596"/>
      <c r="K388" s="1101">
        <v>0</v>
      </c>
      <c r="L388" s="543"/>
      <c r="M388" s="596"/>
      <c r="N388" s="1101">
        <v>0</v>
      </c>
      <c r="O388" s="543"/>
      <c r="P388" s="596"/>
      <c r="Q388" s="1101">
        <v>0</v>
      </c>
      <c r="R388" s="543"/>
      <c r="S388" s="596"/>
      <c r="T388" s="1101">
        <v>0</v>
      </c>
      <c r="U388" s="543"/>
      <c r="V388" s="596"/>
      <c r="W388" s="1101">
        <v>0</v>
      </c>
      <c r="X388" s="543"/>
      <c r="Y388" s="596"/>
      <c r="Z388" s="1101">
        <v>0</v>
      </c>
      <c r="AA388" s="543"/>
      <c r="AB388" s="596"/>
      <c r="AC388" s="1101">
        <v>0</v>
      </c>
      <c r="AD388" s="543"/>
      <c r="AE388" s="596"/>
      <c r="AF388" s="1101">
        <v>0</v>
      </c>
      <c r="AG388" s="543"/>
      <c r="AH388" s="596"/>
      <c r="AI388" s="1101">
        <v>0</v>
      </c>
      <c r="AJ388" s="543"/>
      <c r="AK388" s="596"/>
      <c r="AL388" s="1101">
        <v>0</v>
      </c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3" t="s">
        <v>126</v>
      </c>
      <c r="C389" s="543"/>
      <c r="D389" s="596"/>
      <c r="E389" s="1080">
        <f t="shared" si="39"/>
        <v>0</v>
      </c>
      <c r="F389" s="543"/>
      <c r="G389" s="596"/>
      <c r="H389" s="1101">
        <v>0</v>
      </c>
      <c r="I389" s="543"/>
      <c r="J389" s="596"/>
      <c r="K389" s="1101">
        <v>0</v>
      </c>
      <c r="L389" s="543"/>
      <c r="M389" s="596"/>
      <c r="N389" s="1101">
        <v>0</v>
      </c>
      <c r="O389" s="543"/>
      <c r="P389" s="596"/>
      <c r="Q389" s="1101">
        <v>0</v>
      </c>
      <c r="R389" s="543"/>
      <c r="S389" s="596"/>
      <c r="T389" s="1101">
        <v>0</v>
      </c>
      <c r="U389" s="543"/>
      <c r="V389" s="596"/>
      <c r="W389" s="1101">
        <v>0</v>
      </c>
      <c r="X389" s="543"/>
      <c r="Y389" s="596"/>
      <c r="Z389" s="1101">
        <v>0</v>
      </c>
      <c r="AA389" s="543"/>
      <c r="AB389" s="596"/>
      <c r="AC389" s="1101">
        <v>0</v>
      </c>
      <c r="AD389" s="543"/>
      <c r="AE389" s="596"/>
      <c r="AF389" s="1101">
        <v>0</v>
      </c>
      <c r="AG389" s="543"/>
      <c r="AH389" s="596"/>
      <c r="AI389" s="1101">
        <v>0</v>
      </c>
      <c r="AJ389" s="543"/>
      <c r="AK389" s="596"/>
      <c r="AL389" s="1101">
        <v>0</v>
      </c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3" t="s">
        <v>127</v>
      </c>
      <c r="C390" s="543"/>
      <c r="D390" s="596"/>
      <c r="E390" s="1080">
        <f t="shared" si="39"/>
        <v>0</v>
      </c>
      <c r="F390" s="543"/>
      <c r="G390" s="596"/>
      <c r="H390" s="1101">
        <v>0</v>
      </c>
      <c r="I390" s="543"/>
      <c r="J390" s="596"/>
      <c r="K390" s="1101">
        <v>0</v>
      </c>
      <c r="L390" s="543"/>
      <c r="M390" s="596"/>
      <c r="N390" s="1101">
        <v>0</v>
      </c>
      <c r="O390" s="543"/>
      <c r="P390" s="596"/>
      <c r="Q390" s="1101">
        <v>0</v>
      </c>
      <c r="R390" s="543"/>
      <c r="S390" s="596"/>
      <c r="T390" s="1101">
        <v>0</v>
      </c>
      <c r="U390" s="543"/>
      <c r="V390" s="596"/>
      <c r="W390" s="1101">
        <v>0</v>
      </c>
      <c r="X390" s="543"/>
      <c r="Y390" s="596"/>
      <c r="Z390" s="1101">
        <v>0</v>
      </c>
      <c r="AA390" s="543"/>
      <c r="AB390" s="596"/>
      <c r="AC390" s="1101">
        <v>0</v>
      </c>
      <c r="AD390" s="543"/>
      <c r="AE390" s="596"/>
      <c r="AF390" s="1101">
        <v>0</v>
      </c>
      <c r="AG390" s="543"/>
      <c r="AH390" s="596"/>
      <c r="AI390" s="1101">
        <v>0</v>
      </c>
      <c r="AJ390" s="543"/>
      <c r="AK390" s="596"/>
      <c r="AL390" s="1101">
        <v>0</v>
      </c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3" t="s">
        <v>128</v>
      </c>
      <c r="C391" s="543"/>
      <c r="D391" s="596"/>
      <c r="E391" s="1080">
        <f t="shared" si="39"/>
        <v>0</v>
      </c>
      <c r="F391" s="543"/>
      <c r="G391" s="596"/>
      <c r="H391" s="1101">
        <v>0</v>
      </c>
      <c r="I391" s="543"/>
      <c r="J391" s="596"/>
      <c r="K391" s="1101">
        <v>0</v>
      </c>
      <c r="L391" s="543"/>
      <c r="M391" s="596"/>
      <c r="N391" s="1101">
        <v>0</v>
      </c>
      <c r="O391" s="543"/>
      <c r="P391" s="596"/>
      <c r="Q391" s="1101">
        <v>0</v>
      </c>
      <c r="R391" s="543"/>
      <c r="S391" s="596"/>
      <c r="T391" s="1101">
        <v>0</v>
      </c>
      <c r="U391" s="543"/>
      <c r="V391" s="596"/>
      <c r="W391" s="1101">
        <v>0</v>
      </c>
      <c r="X391" s="543"/>
      <c r="Y391" s="596"/>
      <c r="Z391" s="1101">
        <v>0</v>
      </c>
      <c r="AA391" s="543"/>
      <c r="AB391" s="596"/>
      <c r="AC391" s="1101">
        <v>0</v>
      </c>
      <c r="AD391" s="543"/>
      <c r="AE391" s="596"/>
      <c r="AF391" s="1101">
        <v>0</v>
      </c>
      <c r="AG391" s="543"/>
      <c r="AH391" s="596"/>
      <c r="AI391" s="1101">
        <v>0</v>
      </c>
      <c r="AJ391" s="543"/>
      <c r="AK391" s="596"/>
      <c r="AL391" s="1101">
        <v>0</v>
      </c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3" t="s">
        <v>129</v>
      </c>
      <c r="C392" s="543"/>
      <c r="D392" s="596"/>
      <c r="E392" s="1080">
        <f t="shared" si="39"/>
        <v>0</v>
      </c>
      <c r="F392" s="543"/>
      <c r="G392" s="596"/>
      <c r="H392" s="1101">
        <v>0</v>
      </c>
      <c r="I392" s="543"/>
      <c r="J392" s="596"/>
      <c r="K392" s="1101">
        <v>0</v>
      </c>
      <c r="L392" s="543"/>
      <c r="M392" s="596"/>
      <c r="N392" s="1101">
        <v>0</v>
      </c>
      <c r="O392" s="543"/>
      <c r="P392" s="596"/>
      <c r="Q392" s="1101">
        <v>0</v>
      </c>
      <c r="R392" s="543"/>
      <c r="S392" s="596"/>
      <c r="T392" s="1101">
        <v>0</v>
      </c>
      <c r="U392" s="543"/>
      <c r="V392" s="596"/>
      <c r="W392" s="1101">
        <v>0</v>
      </c>
      <c r="X392" s="543"/>
      <c r="Y392" s="596"/>
      <c r="Z392" s="1101">
        <v>0</v>
      </c>
      <c r="AA392" s="543"/>
      <c r="AB392" s="596"/>
      <c r="AC392" s="1101">
        <v>0</v>
      </c>
      <c r="AD392" s="543"/>
      <c r="AE392" s="596"/>
      <c r="AF392" s="1101">
        <v>0</v>
      </c>
      <c r="AG392" s="543"/>
      <c r="AH392" s="596"/>
      <c r="AI392" s="1101">
        <v>0</v>
      </c>
      <c r="AJ392" s="543"/>
      <c r="AK392" s="596"/>
      <c r="AL392" s="1101">
        <v>0</v>
      </c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3" t="s">
        <v>130</v>
      </c>
      <c r="C393" s="543"/>
      <c r="D393" s="596"/>
      <c r="E393" s="1080">
        <f t="shared" si="39"/>
        <v>0</v>
      </c>
      <c r="F393" s="543"/>
      <c r="G393" s="596"/>
      <c r="H393" s="1101">
        <v>0</v>
      </c>
      <c r="I393" s="543"/>
      <c r="J393" s="596"/>
      <c r="K393" s="1101">
        <v>0</v>
      </c>
      <c r="L393" s="543"/>
      <c r="M393" s="596"/>
      <c r="N393" s="1101">
        <v>0</v>
      </c>
      <c r="O393" s="543"/>
      <c r="P393" s="596"/>
      <c r="Q393" s="1101">
        <v>0</v>
      </c>
      <c r="R393" s="543"/>
      <c r="S393" s="596"/>
      <c r="T393" s="1101">
        <v>0</v>
      </c>
      <c r="U393" s="543"/>
      <c r="V393" s="596"/>
      <c r="W393" s="1101">
        <v>0</v>
      </c>
      <c r="X393" s="543"/>
      <c r="Y393" s="596"/>
      <c r="Z393" s="1101">
        <v>0</v>
      </c>
      <c r="AA393" s="543"/>
      <c r="AB393" s="596"/>
      <c r="AC393" s="1101">
        <v>0</v>
      </c>
      <c r="AD393" s="543"/>
      <c r="AE393" s="596"/>
      <c r="AF393" s="1101">
        <v>0</v>
      </c>
      <c r="AG393" s="543"/>
      <c r="AH393" s="596"/>
      <c r="AI393" s="1101">
        <v>0</v>
      </c>
      <c r="AJ393" s="543"/>
      <c r="AK393" s="596"/>
      <c r="AL393" s="1101">
        <v>0</v>
      </c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3" t="s">
        <v>131</v>
      </c>
      <c r="C394" s="543"/>
      <c r="D394" s="596"/>
      <c r="E394" s="1080">
        <f t="shared" si="39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>
        <v>0</v>
      </c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5" hidden="1" customHeight="1">
      <c r="A395" s="533" t="str">
        <f t="shared" si="38"/>
        <v>Boutique[...]</v>
      </c>
      <c r="B395" s="1113" t="s">
        <v>42</v>
      </c>
      <c r="C395" s="543"/>
      <c r="D395" s="596"/>
      <c r="E395" s="1080">
        <f t="shared" si="39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5" hidden="1" customHeight="1">
      <c r="A396" s="533" t="str">
        <f t="shared" si="38"/>
        <v>Boutique[...]</v>
      </c>
      <c r="B396" s="1113" t="s">
        <v>42</v>
      </c>
      <c r="C396" s="543"/>
      <c r="D396" s="596"/>
      <c r="E396" s="1080">
        <f t="shared" si="39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5" hidden="1" customHeight="1">
      <c r="A397" s="533" t="str">
        <f t="shared" si="38"/>
        <v>Boutique[...]</v>
      </c>
      <c r="B397" s="1113" t="s">
        <v>42</v>
      </c>
      <c r="C397" s="601"/>
      <c r="D397" s="1120"/>
      <c r="E397" s="1080">
        <f t="shared" si="39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">
      <c r="A398" s="533" t="str">
        <f t="shared" si="38"/>
        <v>BoutiqueTOTAL SEMI-FIXES</v>
      </c>
      <c r="B398" s="110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10" t="s">
        <v>108</v>
      </c>
      <c r="G398" s="1111">
        <v>0</v>
      </c>
      <c r="H398" s="1112">
        <v>0</v>
      </c>
      <c r="I398" s="1110" t="s">
        <v>108</v>
      </c>
      <c r="J398" s="1111">
        <v>0</v>
      </c>
      <c r="K398" s="1112">
        <v>0</v>
      </c>
      <c r="L398" s="1110" t="s">
        <v>108</v>
      </c>
      <c r="M398" s="1111">
        <v>0</v>
      </c>
      <c r="N398" s="1112">
        <v>0</v>
      </c>
      <c r="O398" s="1110" t="s">
        <v>108</v>
      </c>
      <c r="P398" s="1111">
        <v>0</v>
      </c>
      <c r="Q398" s="1112">
        <v>0</v>
      </c>
      <c r="R398" s="1110" t="s">
        <v>108</v>
      </c>
      <c r="S398" s="1111">
        <v>0</v>
      </c>
      <c r="T398" s="1112">
        <v>0</v>
      </c>
      <c r="U398" s="1110" t="s">
        <v>108</v>
      </c>
      <c r="V398" s="1111">
        <v>0</v>
      </c>
      <c r="W398" s="1112">
        <v>0</v>
      </c>
      <c r="X398" s="1110" t="s">
        <v>108</v>
      </c>
      <c r="Y398" s="1111">
        <v>0</v>
      </c>
      <c r="Z398" s="1112">
        <v>0</v>
      </c>
      <c r="AA398" s="1110" t="s">
        <v>108</v>
      </c>
      <c r="AB398" s="1111">
        <v>0</v>
      </c>
      <c r="AC398" s="1112">
        <v>0</v>
      </c>
      <c r="AD398" s="1110" t="s">
        <v>108</v>
      </c>
      <c r="AE398" s="1111">
        <v>0</v>
      </c>
      <c r="AF398" s="1112">
        <v>0</v>
      </c>
      <c r="AG398" s="1110" t="s">
        <v>108</v>
      </c>
      <c r="AH398" s="1111">
        <v>0</v>
      </c>
      <c r="AI398" s="1112">
        <v>0</v>
      </c>
      <c r="AJ398" s="1110" t="s">
        <v>108</v>
      </c>
      <c r="AK398" s="1111">
        <v>0</v>
      </c>
      <c r="AL398" s="1112">
        <v>0</v>
      </c>
      <c r="AM398" s="1110" t="s">
        <v>108</v>
      </c>
      <c r="AN398" s="1111">
        <v>0</v>
      </c>
      <c r="AO398" s="1112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">
      <c r="A399" s="533" t="str">
        <f t="shared" si="38"/>
        <v>Boutique</v>
      </c>
      <c r="B399" s="7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">
      <c r="A400" s="533" t="str">
        <f t="shared" si="38"/>
        <v>BoutiqueTOTAL DES DÉPENSES</v>
      </c>
      <c r="B400" s="110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10" t="s">
        <v>108</v>
      </c>
      <c r="G400" s="1111">
        <v>0</v>
      </c>
      <c r="H400" s="1112">
        <v>0</v>
      </c>
      <c r="I400" s="1110" t="s">
        <v>108</v>
      </c>
      <c r="J400" s="1111">
        <v>0</v>
      </c>
      <c r="K400" s="1112">
        <v>0</v>
      </c>
      <c r="L400" s="1110" t="s">
        <v>108</v>
      </c>
      <c r="M400" s="1111">
        <v>0</v>
      </c>
      <c r="N400" s="1112">
        <v>0</v>
      </c>
      <c r="O400" s="1110" t="s">
        <v>108</v>
      </c>
      <c r="P400" s="1111">
        <v>0</v>
      </c>
      <c r="Q400" s="1112">
        <v>0</v>
      </c>
      <c r="R400" s="1110" t="s">
        <v>108</v>
      </c>
      <c r="S400" s="1111">
        <v>0</v>
      </c>
      <c r="T400" s="1112">
        <v>0</v>
      </c>
      <c r="U400" s="1110" t="s">
        <v>108</v>
      </c>
      <c r="V400" s="1111">
        <v>0</v>
      </c>
      <c r="W400" s="1112">
        <v>0</v>
      </c>
      <c r="X400" s="1110" t="s">
        <v>108</v>
      </c>
      <c r="Y400" s="1111">
        <v>0</v>
      </c>
      <c r="Z400" s="1112">
        <v>0</v>
      </c>
      <c r="AA400" s="1110" t="s">
        <v>108</v>
      </c>
      <c r="AB400" s="1111">
        <v>0</v>
      </c>
      <c r="AC400" s="1112">
        <v>0</v>
      </c>
      <c r="AD400" s="1110" t="s">
        <v>108</v>
      </c>
      <c r="AE400" s="1111">
        <v>0</v>
      </c>
      <c r="AF400" s="1112">
        <v>0</v>
      </c>
      <c r="AG400" s="1110" t="s">
        <v>108</v>
      </c>
      <c r="AH400" s="1111">
        <v>0</v>
      </c>
      <c r="AI400" s="1112">
        <v>0</v>
      </c>
      <c r="AJ400" s="1110" t="s">
        <v>108</v>
      </c>
      <c r="AK400" s="1111">
        <v>0</v>
      </c>
      <c r="AL400" s="1112">
        <v>0</v>
      </c>
      <c r="AM400" s="1110" t="s">
        <v>108</v>
      </c>
      <c r="AN400" s="1111">
        <v>0</v>
      </c>
      <c r="AO400" s="1112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2" thickTop="1" thickBot="1">
      <c r="A402" s="533" t="str">
        <f t="shared" si="38"/>
        <v>BoutiquePROFIT DÉPARTEMENTAL</v>
      </c>
      <c r="B402" s="1242" t="s">
        <v>139</v>
      </c>
      <c r="C402" s="1243"/>
      <c r="D402" s="1244"/>
      <c r="E402" s="1245">
        <f>E365-E400</f>
        <v>0</v>
      </c>
      <c r="F402" s="1246"/>
      <c r="G402" s="1247"/>
      <c r="H402" s="1248">
        <v>0</v>
      </c>
      <c r="I402" s="1246"/>
      <c r="J402" s="1247"/>
      <c r="K402" s="1248">
        <v>0</v>
      </c>
      <c r="L402" s="1246"/>
      <c r="M402" s="1247"/>
      <c r="N402" s="1248">
        <v>0</v>
      </c>
      <c r="O402" s="1246"/>
      <c r="P402" s="1247"/>
      <c r="Q402" s="1248">
        <v>0</v>
      </c>
      <c r="R402" s="1246"/>
      <c r="S402" s="1247"/>
      <c r="T402" s="1248">
        <v>0</v>
      </c>
      <c r="U402" s="1246"/>
      <c r="V402" s="1247"/>
      <c r="W402" s="1248">
        <v>0</v>
      </c>
      <c r="X402" s="1246"/>
      <c r="Y402" s="1247"/>
      <c r="Z402" s="1248">
        <v>0</v>
      </c>
      <c r="AA402" s="1246"/>
      <c r="AB402" s="1247"/>
      <c r="AC402" s="1248">
        <v>0</v>
      </c>
      <c r="AD402" s="1246"/>
      <c r="AE402" s="1247"/>
      <c r="AF402" s="1248">
        <v>0</v>
      </c>
      <c r="AG402" s="1246"/>
      <c r="AH402" s="1247"/>
      <c r="AI402" s="1248">
        <v>0</v>
      </c>
      <c r="AJ402" s="1246"/>
      <c r="AK402" s="1247"/>
      <c r="AL402" s="1248">
        <v>0</v>
      </c>
      <c r="AM402" s="1246"/>
      <c r="AN402" s="1247"/>
      <c r="AO402" s="1248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2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">
      <c r="A404" s="532"/>
      <c r="B404" s="744"/>
      <c r="C404" s="596"/>
      <c r="D404" s="596"/>
      <c r="E404" s="1099"/>
      <c r="F404" s="596"/>
      <c r="G404" s="596"/>
      <c r="H404" s="1099">
        <v>0</v>
      </c>
      <c r="I404" s="596"/>
      <c r="J404" s="596"/>
      <c r="K404" s="1099">
        <v>0</v>
      </c>
      <c r="L404" s="596"/>
      <c r="M404" s="596"/>
      <c r="N404" s="1099">
        <v>0</v>
      </c>
      <c r="O404" s="596"/>
      <c r="P404" s="596"/>
      <c r="Q404" s="1099">
        <v>0</v>
      </c>
      <c r="R404" s="596"/>
      <c r="S404" s="596"/>
      <c r="T404" s="1099">
        <v>0</v>
      </c>
      <c r="U404" s="596"/>
      <c r="V404" s="596"/>
      <c r="W404" s="1099">
        <v>0</v>
      </c>
      <c r="X404" s="596"/>
      <c r="Y404" s="596"/>
      <c r="Z404" s="1099">
        <v>0</v>
      </c>
      <c r="AA404" s="596"/>
      <c r="AB404" s="596"/>
      <c r="AC404" s="1099">
        <v>0</v>
      </c>
      <c r="AD404" s="596"/>
      <c r="AE404" s="596"/>
      <c r="AF404" s="1099">
        <v>0</v>
      </c>
      <c r="AG404" s="596"/>
      <c r="AH404" s="596"/>
      <c r="AI404" s="1099">
        <v>0</v>
      </c>
      <c r="AJ404" s="596"/>
      <c r="AK404" s="596"/>
      <c r="AL404" s="1099">
        <v>0</v>
      </c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">
      <c r="A405" s="532"/>
      <c r="B405" s="1146" t="str">
        <f>$B$4</f>
        <v>Réel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49"/>
      <c r="C406" s="1046"/>
      <c r="D406" s="1046"/>
      <c r="E406" s="1046"/>
      <c r="F406" s="1250"/>
      <c r="G406" s="1250"/>
      <c r="H406" s="1251"/>
      <c r="I406" s="1250"/>
      <c r="J406" s="1250"/>
      <c r="K406" s="1251"/>
      <c r="L406" s="1250"/>
      <c r="M406" s="1250"/>
      <c r="N406" s="1251"/>
      <c r="O406" s="1250"/>
      <c r="P406" s="1250"/>
      <c r="Q406" s="1251"/>
      <c r="R406" s="1250"/>
      <c r="S406" s="1250"/>
      <c r="T406" s="1251"/>
      <c r="U406" s="1250"/>
      <c r="V406" s="1250"/>
      <c r="W406" s="1251"/>
      <c r="X406" s="1250"/>
      <c r="Y406" s="1250"/>
      <c r="Z406" s="1251"/>
      <c r="AA406" s="1250"/>
      <c r="AB406" s="1250"/>
      <c r="AC406" s="1251"/>
      <c r="AD406" s="1250"/>
      <c r="AE406" s="1250"/>
      <c r="AF406" s="1251">
        <v>5281290.8870769497</v>
      </c>
      <c r="AG406" s="1250"/>
      <c r="AH406" s="1250"/>
      <c r="AI406" s="1251">
        <v>5281290.8870769497</v>
      </c>
      <c r="AJ406" s="1250"/>
      <c r="AK406" s="1250"/>
      <c r="AL406" s="1251">
        <v>3573970.449556808</v>
      </c>
      <c r="AM406" s="1250"/>
      <c r="AN406" s="1250"/>
      <c r="AO406" s="1251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2" t="s">
        <v>293</v>
      </c>
      <c r="C407" s="1253" t="s">
        <v>2999</v>
      </c>
      <c r="D407" s="1254"/>
      <c r="E407" s="1255"/>
      <c r="F407" s="1049" t="s">
        <v>294</v>
      </c>
      <c r="G407" s="1050"/>
      <c r="H407" s="1051"/>
      <c r="I407" s="1049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635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">
      <c r="A408" s="532"/>
      <c r="B408" s="1256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7" t="s">
        <v>189</v>
      </c>
      <c r="J408" s="1258" t="s">
        <v>190</v>
      </c>
      <c r="K408" s="1259" t="s">
        <v>191</v>
      </c>
      <c r="L408" s="1257" t="s">
        <v>189</v>
      </c>
      <c r="M408" s="1258" t="s">
        <v>190</v>
      </c>
      <c r="N408" s="1259" t="s">
        <v>191</v>
      </c>
      <c r="O408" s="1257" t="s">
        <v>189</v>
      </c>
      <c r="P408" s="1258" t="s">
        <v>190</v>
      </c>
      <c r="Q408" s="1259" t="s">
        <v>191</v>
      </c>
      <c r="R408" s="1257" t="s">
        <v>189</v>
      </c>
      <c r="S408" s="1258" t="s">
        <v>190</v>
      </c>
      <c r="T408" s="1259" t="s">
        <v>191</v>
      </c>
      <c r="U408" s="1257" t="s">
        <v>189</v>
      </c>
      <c r="V408" s="1258" t="s">
        <v>190</v>
      </c>
      <c r="W408" s="1259" t="s">
        <v>191</v>
      </c>
      <c r="X408" s="1257" t="s">
        <v>189</v>
      </c>
      <c r="Y408" s="1258" t="s">
        <v>190</v>
      </c>
      <c r="Z408" s="1259" t="s">
        <v>191</v>
      </c>
      <c r="AA408" s="1257" t="s">
        <v>189</v>
      </c>
      <c r="AB408" s="1258" t="s">
        <v>190</v>
      </c>
      <c r="AC408" s="1259" t="s">
        <v>191</v>
      </c>
      <c r="AD408" s="1257" t="s">
        <v>189</v>
      </c>
      <c r="AE408" s="1258" t="s">
        <v>190</v>
      </c>
      <c r="AF408" s="1259" t="s">
        <v>191</v>
      </c>
      <c r="AG408" s="1257" t="s">
        <v>189</v>
      </c>
      <c r="AH408" s="1258" t="s">
        <v>190</v>
      </c>
      <c r="AI408" s="1259" t="s">
        <v>191</v>
      </c>
      <c r="AJ408" s="1257" t="s">
        <v>189</v>
      </c>
      <c r="AK408" s="1258" t="s">
        <v>190</v>
      </c>
      <c r="AL408" s="1259" t="s">
        <v>191</v>
      </c>
      <c r="AM408" s="1257" t="s">
        <v>189</v>
      </c>
      <c r="AN408" s="1258" t="s">
        <v>190</v>
      </c>
      <c r="AO408" s="125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">
      <c r="A409" s="532" t="str">
        <f>B409</f>
        <v>Ventes nettes</v>
      </c>
      <c r="B409" s="754" t="s">
        <v>85</v>
      </c>
      <c r="C409" s="1260"/>
      <c r="D409" s="1261"/>
      <c r="E409" s="1262">
        <f>+SUM(H409,K409,N409,Q409,T409,W409,Z409,AC409,AF409,AI409,AL409,AO409)</f>
        <v>43431073.489999965</v>
      </c>
      <c r="F409" s="1260"/>
      <c r="G409" s="1261"/>
      <c r="H409" s="1262">
        <v>2321643.5699999891</v>
      </c>
      <c r="I409" s="1260"/>
      <c r="J409" s="1261"/>
      <c r="K409" s="1262">
        <v>2099807.2699999996</v>
      </c>
      <c r="L409" s="1260"/>
      <c r="M409" s="1261"/>
      <c r="N409" s="1262">
        <v>4129529.3</v>
      </c>
      <c r="O409" s="1260"/>
      <c r="P409" s="1261"/>
      <c r="Q409" s="1262">
        <v>4784256.5199999996</v>
      </c>
      <c r="R409" s="1260"/>
      <c r="S409" s="1261"/>
      <c r="T409" s="1262">
        <v>6366734.2599999905</v>
      </c>
      <c r="U409" s="1260"/>
      <c r="V409" s="1261"/>
      <c r="W409" s="1262">
        <v>3813571.54999999</v>
      </c>
      <c r="X409" s="1260"/>
      <c r="Y409" s="1261"/>
      <c r="Z409" s="1262">
        <v>3552385.36</v>
      </c>
      <c r="AA409" s="1260"/>
      <c r="AB409" s="1261"/>
      <c r="AC409" s="1262">
        <v>3709615.7899999898</v>
      </c>
      <c r="AD409" s="1260"/>
      <c r="AE409" s="1261"/>
      <c r="AF409" s="1262">
        <v>2670881.0499999998</v>
      </c>
      <c r="AG409" s="1260"/>
      <c r="AH409" s="1261"/>
      <c r="AI409" s="1262">
        <v>4464713.04</v>
      </c>
      <c r="AJ409" s="1260"/>
      <c r="AK409" s="1261"/>
      <c r="AL409" s="1262">
        <v>3548065.4500000007</v>
      </c>
      <c r="AM409" s="1260"/>
      <c r="AN409" s="1261"/>
      <c r="AO409" s="1262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">
      <c r="A410" s="532" t="str">
        <f t="shared" ref="A410:A474" si="40">B410</f>
        <v>Profit brut</v>
      </c>
      <c r="B410" s="1263" t="s">
        <v>195</v>
      </c>
      <c r="C410" s="1264"/>
      <c r="D410" s="1265"/>
      <c r="E410" s="1266">
        <f>E29+E111+E197+E253+E317+E365</f>
        <v>4832642.3299999963</v>
      </c>
      <c r="F410" s="1267"/>
      <c r="G410" s="1268"/>
      <c r="H410" s="1269">
        <v>244374.04999999961</v>
      </c>
      <c r="I410" s="1267"/>
      <c r="J410" s="1268"/>
      <c r="K410" s="1269">
        <v>269433.89999999944</v>
      </c>
      <c r="L410" s="1267"/>
      <c r="M410" s="1268"/>
      <c r="N410" s="1269">
        <v>423054.1499999995</v>
      </c>
      <c r="O410" s="1267"/>
      <c r="P410" s="1268"/>
      <c r="Q410" s="1269">
        <v>587240.1399999992</v>
      </c>
      <c r="R410" s="1267"/>
      <c r="S410" s="1268"/>
      <c r="T410" s="1269">
        <v>656700.21999999916</v>
      </c>
      <c r="U410" s="1267"/>
      <c r="V410" s="1268"/>
      <c r="W410" s="1269">
        <v>460556.28999999969</v>
      </c>
      <c r="X410" s="1267"/>
      <c r="Y410" s="1268"/>
      <c r="Z410" s="1269">
        <v>417243.54999999958</v>
      </c>
      <c r="AA410" s="1267"/>
      <c r="AB410" s="1268"/>
      <c r="AC410" s="1269">
        <v>382783.6499999995</v>
      </c>
      <c r="AD410" s="1267"/>
      <c r="AE410" s="1268"/>
      <c r="AF410" s="1269">
        <v>318622.23</v>
      </c>
      <c r="AG410" s="1267"/>
      <c r="AH410" s="1268"/>
      <c r="AI410" s="1269">
        <v>438441.95</v>
      </c>
      <c r="AJ410" s="1267"/>
      <c r="AK410" s="1268"/>
      <c r="AL410" s="1269">
        <v>428298.9200000001</v>
      </c>
      <c r="AM410" s="1267"/>
      <c r="AN410" s="1268"/>
      <c r="AO410" s="1269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">
      <c r="A411" s="532" t="str">
        <f t="shared" si="40"/>
        <v>DÉPENSES</v>
      </c>
      <c r="B411" s="1270" t="s">
        <v>196</v>
      </c>
      <c r="C411" s="1271"/>
      <c r="D411" s="1272"/>
      <c r="E411" s="1273"/>
      <c r="F411" s="1271"/>
      <c r="G411" s="1272">
        <v>0</v>
      </c>
      <c r="H411" s="1273"/>
      <c r="I411" s="1271"/>
      <c r="J411" s="1272">
        <v>0</v>
      </c>
      <c r="K411" s="1273"/>
      <c r="L411" s="1271"/>
      <c r="M411" s="1272">
        <v>0</v>
      </c>
      <c r="N411" s="1273"/>
      <c r="O411" s="1271"/>
      <c r="P411" s="1272">
        <v>0</v>
      </c>
      <c r="Q411" s="1273"/>
      <c r="R411" s="1271"/>
      <c r="S411" s="1272">
        <v>0</v>
      </c>
      <c r="T411" s="1273"/>
      <c r="U411" s="1271"/>
      <c r="V411" s="1272">
        <v>0</v>
      </c>
      <c r="W411" s="1273"/>
      <c r="X411" s="1271"/>
      <c r="Y411" s="1272">
        <v>0</v>
      </c>
      <c r="Z411" s="1273"/>
      <c r="AA411" s="1271"/>
      <c r="AB411" s="1272">
        <v>0</v>
      </c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">
      <c r="A412" s="532" t="str">
        <f t="shared" si="40"/>
        <v>Comm. vendeurs</v>
      </c>
      <c r="B412" s="753" t="s">
        <v>100</v>
      </c>
      <c r="C412" s="1274">
        <f>E412/(E16+E18+E99)</f>
        <v>0.27718057895132353</v>
      </c>
      <c r="D412" s="1275">
        <f t="shared" ref="D412:D418" si="41">IF(E412=0,0,E412/(C$16+C$99))</f>
        <v>933.0934871794874</v>
      </c>
      <c r="E412" s="1273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5">
        <v>1223.3087499999999</v>
      </c>
      <c r="H412" s="1273">
        <v>19572.939999999999</v>
      </c>
      <c r="I412" s="621">
        <f>K412/(K16+K18+K99)</f>
        <v>0.25290915232577887</v>
      </c>
      <c r="J412" s="1275">
        <v>1902.5633333333333</v>
      </c>
      <c r="K412" s="1273">
        <v>17123.07</v>
      </c>
      <c r="L412" s="621">
        <f>N412/(N16+N18+N99)</f>
        <v>0.27292964280965376</v>
      </c>
      <c r="M412" s="1275">
        <v>1184.6191428571428</v>
      </c>
      <c r="N412" s="1273">
        <v>41461.67</v>
      </c>
      <c r="O412" s="621">
        <f>Q412/(Q16+Q18+Q99)</f>
        <v>0.26495976833382129</v>
      </c>
      <c r="P412" s="1275">
        <v>1778.2811538461538</v>
      </c>
      <c r="Q412" s="1273">
        <v>46235.31</v>
      </c>
      <c r="R412" s="621">
        <f>T412/(T16+T18+T99)</f>
        <v>0.26911836139953899</v>
      </c>
      <c r="S412" s="1275">
        <v>1322.3148837209303</v>
      </c>
      <c r="T412" s="1273">
        <v>56859.54</v>
      </c>
      <c r="U412" s="621">
        <f>W412/(W16+W18+W99)</f>
        <v>0.29846729497891333</v>
      </c>
      <c r="V412" s="1275">
        <v>1811.0022727272728</v>
      </c>
      <c r="W412" s="1273">
        <v>39842.050000000003</v>
      </c>
      <c r="X412" s="621">
        <f>Z412/(Z16+Z18+Z99)</f>
        <v>0.28589936826855167</v>
      </c>
      <c r="Y412" s="1275">
        <v>1466.5478947368422</v>
      </c>
      <c r="Z412" s="1273">
        <v>27864.41</v>
      </c>
      <c r="AA412" s="621">
        <f>AC412/(AC16+AC18+AC99)</f>
        <v>0.28832592438106486</v>
      </c>
      <c r="AB412" s="1275">
        <v>1087.5548148148148</v>
      </c>
      <c r="AC412" s="1273">
        <v>29363.98</v>
      </c>
      <c r="AD412" s="621"/>
      <c r="AE412" s="1275">
        <v>928.61954545454546</v>
      </c>
      <c r="AF412" s="1273">
        <v>20429.63</v>
      </c>
      <c r="AG412" s="621"/>
      <c r="AH412" s="1275">
        <v>764.84263157894736</v>
      </c>
      <c r="AI412" s="1273">
        <v>29064.02</v>
      </c>
      <c r="AJ412" s="621"/>
      <c r="AK412" s="1275">
        <v>851.1648148148148</v>
      </c>
      <c r="AL412" s="1273">
        <v>22981.45</v>
      </c>
      <c r="AM412" s="621"/>
      <c r="AN412" s="1275">
        <v>1008.3376923076924</v>
      </c>
      <c r="AO412" s="1273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">
      <c r="A413" s="532" t="str">
        <f t="shared" si="40"/>
        <v>Comm. F&amp;I</v>
      </c>
      <c r="B413" s="754" t="s">
        <v>101</v>
      </c>
      <c r="C413" s="1276">
        <f>E413/(E26+E108)</f>
        <v>0.28109780455679978</v>
      </c>
      <c r="D413" s="1277">
        <f t="shared" si="41"/>
        <v>556.92879487179493</v>
      </c>
      <c r="E413" s="1262">
        <f t="shared" si="42"/>
        <v>217202.23</v>
      </c>
      <c r="F413" s="618">
        <f>H413/(H26+H108)</f>
        <v>0.24662437631455558</v>
      </c>
      <c r="G413" s="1277">
        <v>512.484375</v>
      </c>
      <c r="H413" s="1262">
        <v>8199.75</v>
      </c>
      <c r="I413" s="618">
        <f>K413/(K26+K108)</f>
        <v>0.25474269615061251</v>
      </c>
      <c r="J413" s="1277">
        <v>887.10888888888883</v>
      </c>
      <c r="K413" s="1262">
        <v>7983.98</v>
      </c>
      <c r="L413" s="618">
        <f>N413/(N26+N108)</f>
        <v>0.19160302117756225</v>
      </c>
      <c r="M413" s="1277">
        <v>314.80228571428569</v>
      </c>
      <c r="N413" s="1262">
        <v>11018.08</v>
      </c>
      <c r="O413" s="618">
        <f>Q413/(Q26+Q108)</f>
        <v>0.3109336283125626</v>
      </c>
      <c r="P413" s="1277">
        <v>1493.883846153846</v>
      </c>
      <c r="Q413" s="1262">
        <v>38840.979999999996</v>
      </c>
      <c r="R413" s="618">
        <f>T413/(T26+T108)</f>
        <v>0.30523244793131926</v>
      </c>
      <c r="S413" s="1277">
        <v>1014.8202325581397</v>
      </c>
      <c r="T413" s="1262">
        <v>43637.270000000004</v>
      </c>
      <c r="U413" s="618">
        <f>W413/(W26+W108)</f>
        <v>0.30380959604046059</v>
      </c>
      <c r="V413" s="1277">
        <v>1229.0513636363637</v>
      </c>
      <c r="W413" s="1262">
        <v>27039.13</v>
      </c>
      <c r="X413" s="618">
        <f>Z413/(Z26+Z108)</f>
        <v>0.32567226542998728</v>
      </c>
      <c r="Y413" s="1277">
        <v>1300.5684210526317</v>
      </c>
      <c r="Z413" s="1262">
        <v>24710.800000000003</v>
      </c>
      <c r="AA413" s="618">
        <f>AC413/(AC26+AC108)</f>
        <v>0.16879021474540981</v>
      </c>
      <c r="AB413" s="1277">
        <v>364.01185185185182</v>
      </c>
      <c r="AC413" s="1262">
        <v>9828.32</v>
      </c>
      <c r="AD413" s="618"/>
      <c r="AE413" s="1277">
        <v>477.0559090909091</v>
      </c>
      <c r="AF413" s="1262">
        <v>10495.23</v>
      </c>
      <c r="AG413" s="618"/>
      <c r="AH413" s="1277">
        <v>452.55394736842101</v>
      </c>
      <c r="AI413" s="1262">
        <v>17197.05</v>
      </c>
      <c r="AJ413" s="618"/>
      <c r="AK413" s="1277">
        <v>306.2166666666667</v>
      </c>
      <c r="AL413" s="1262">
        <v>8267.85</v>
      </c>
      <c r="AM413" s="618"/>
      <c r="AN413" s="1277">
        <v>767.98384615384623</v>
      </c>
      <c r="AO413" s="1262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">
      <c r="A414" s="532" t="str">
        <f t="shared" si="40"/>
        <v>Frais de livraison</v>
      </c>
      <c r="B414" s="753" t="s">
        <v>102</v>
      </c>
      <c r="C414" s="621"/>
      <c r="D414" s="1275">
        <f t="shared" si="41"/>
        <v>112.20479487179487</v>
      </c>
      <c r="E414" s="1273">
        <f t="shared" si="42"/>
        <v>43759.87</v>
      </c>
      <c r="F414" s="621"/>
      <c r="G414" s="1275">
        <v>13.334375000000001</v>
      </c>
      <c r="H414" s="1273">
        <v>213.35000000000002</v>
      </c>
      <c r="I414" s="621"/>
      <c r="J414" s="1275">
        <v>244.49777777777777</v>
      </c>
      <c r="K414" s="1273">
        <v>2200.48</v>
      </c>
      <c r="L414" s="621"/>
      <c r="M414" s="1275">
        <v>99.214857142857156</v>
      </c>
      <c r="N414" s="1273">
        <v>3472.5200000000004</v>
      </c>
      <c r="O414" s="621"/>
      <c r="P414" s="1275">
        <v>216.13230769230768</v>
      </c>
      <c r="Q414" s="1273">
        <v>5619.44</v>
      </c>
      <c r="R414" s="621"/>
      <c r="S414" s="1275">
        <v>122.82023255813955</v>
      </c>
      <c r="T414" s="1273">
        <v>5281.27</v>
      </c>
      <c r="U414" s="621"/>
      <c r="V414" s="1275">
        <v>257.78181818181821</v>
      </c>
      <c r="W414" s="1273">
        <v>5671.2000000000007</v>
      </c>
      <c r="X414" s="621"/>
      <c r="Y414" s="1275">
        <v>235.26210526315788</v>
      </c>
      <c r="Z414" s="1273">
        <v>4469.9799999999996</v>
      </c>
      <c r="AA414" s="621"/>
      <c r="AB414" s="1275">
        <v>223.42370370370369</v>
      </c>
      <c r="AC414" s="1273">
        <v>6032.44</v>
      </c>
      <c r="AD414" s="621"/>
      <c r="AE414" s="1275">
        <v>223.70136363636365</v>
      </c>
      <c r="AF414" s="1273">
        <v>4921.43</v>
      </c>
      <c r="AG414" s="621"/>
      <c r="AH414" s="1275">
        <v>65.517894736842095</v>
      </c>
      <c r="AI414" s="1273">
        <v>2489.6799999999998</v>
      </c>
      <c r="AJ414" s="621"/>
      <c r="AK414" s="1275">
        <v>107.88222222222221</v>
      </c>
      <c r="AL414" s="1273">
        <v>2912.8199999999997</v>
      </c>
      <c r="AM414" s="621"/>
      <c r="AN414" s="1275">
        <v>36.558461538461536</v>
      </c>
      <c r="AO414" s="1273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">
      <c r="A415" s="532" t="str">
        <f t="shared" si="40"/>
        <v>Service gratuit 1</v>
      </c>
      <c r="B415" s="753" t="s">
        <v>103</v>
      </c>
      <c r="C415" s="621"/>
      <c r="D415" s="1275">
        <f t="shared" si="41"/>
        <v>51.948179487179488</v>
      </c>
      <c r="E415" s="1273">
        <f t="shared" si="42"/>
        <v>20259.79</v>
      </c>
      <c r="F415" s="621"/>
      <c r="G415" s="1275">
        <v>75.850624999999994</v>
      </c>
      <c r="H415" s="1273">
        <v>1213.6099999999999</v>
      </c>
      <c r="I415" s="621"/>
      <c r="J415" s="1275">
        <v>145.22333333333333</v>
      </c>
      <c r="K415" s="1273">
        <v>1307.01</v>
      </c>
      <c r="L415" s="621"/>
      <c r="M415" s="1275">
        <v>9.257142857142858</v>
      </c>
      <c r="N415" s="1273">
        <v>324</v>
      </c>
      <c r="O415" s="621"/>
      <c r="P415" s="1275">
        <v>102.06730769230769</v>
      </c>
      <c r="Q415" s="1273">
        <v>2653.75</v>
      </c>
      <c r="R415" s="621"/>
      <c r="S415" s="1275">
        <v>66.07093023255814</v>
      </c>
      <c r="T415" s="1273">
        <v>2841.05</v>
      </c>
      <c r="U415" s="621"/>
      <c r="V415" s="1275">
        <v>90.36</v>
      </c>
      <c r="W415" s="1273">
        <v>1987.92</v>
      </c>
      <c r="X415" s="621"/>
      <c r="Y415" s="1275">
        <v>91.081052631578942</v>
      </c>
      <c r="Z415" s="1273">
        <v>1730.54</v>
      </c>
      <c r="AA415" s="621"/>
      <c r="AB415" s="1275">
        <v>67.470370370370375</v>
      </c>
      <c r="AC415" s="1273">
        <v>1821.7</v>
      </c>
      <c r="AD415" s="621"/>
      <c r="AE415" s="1275">
        <v>6.6300000000000008</v>
      </c>
      <c r="AF415" s="1273">
        <v>145.86000000000001</v>
      </c>
      <c r="AG415" s="621"/>
      <c r="AH415" s="1275">
        <v>41.896842105263154</v>
      </c>
      <c r="AI415" s="1273">
        <v>1592.08</v>
      </c>
      <c r="AJ415" s="621"/>
      <c r="AK415" s="1275">
        <v>164.8248148148148</v>
      </c>
      <c r="AL415" s="1273">
        <v>4450.2699999999995</v>
      </c>
      <c r="AM415" s="621"/>
      <c r="AN415" s="1275">
        <v>14.76923076923077</v>
      </c>
      <c r="AO415" s="1273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">
      <c r="A416" s="532" t="str">
        <f t="shared" si="40"/>
        <v>Entretien stock</v>
      </c>
      <c r="B416" s="754" t="s">
        <v>104</v>
      </c>
      <c r="C416" s="618"/>
      <c r="D416" s="1277">
        <f t="shared" si="41"/>
        <v>143.51348717948719</v>
      </c>
      <c r="E416" s="1262">
        <f t="shared" si="42"/>
        <v>55970.26</v>
      </c>
      <c r="F416" s="618"/>
      <c r="G416" s="1277">
        <v>262.04312500000003</v>
      </c>
      <c r="H416" s="1262">
        <v>4192.6900000000005</v>
      </c>
      <c r="I416" s="618"/>
      <c r="J416" s="1277">
        <v>477.51888888888891</v>
      </c>
      <c r="K416" s="1262">
        <v>4297.67</v>
      </c>
      <c r="L416" s="618"/>
      <c r="M416" s="1277">
        <v>102.37914285714285</v>
      </c>
      <c r="N416" s="1262">
        <v>3583.27</v>
      </c>
      <c r="O416" s="618"/>
      <c r="P416" s="1277">
        <v>136.71615384615384</v>
      </c>
      <c r="Q416" s="1262">
        <v>3554.62</v>
      </c>
      <c r="R416" s="618"/>
      <c r="S416" s="1277">
        <v>96.001162790697663</v>
      </c>
      <c r="T416" s="1262">
        <v>4128.0499999999993</v>
      </c>
      <c r="U416" s="618"/>
      <c r="V416" s="1277">
        <v>240.46863636363634</v>
      </c>
      <c r="W416" s="1262">
        <v>5290.3099999999995</v>
      </c>
      <c r="X416" s="618"/>
      <c r="Y416" s="1277">
        <v>441.80421052631584</v>
      </c>
      <c r="Z416" s="1262">
        <v>8394.2800000000007</v>
      </c>
      <c r="AA416" s="618"/>
      <c r="AB416" s="1277">
        <v>180.51407407407407</v>
      </c>
      <c r="AC416" s="1262">
        <v>4873.88</v>
      </c>
      <c r="AD416" s="618"/>
      <c r="AE416" s="1277">
        <v>227.27272727272728</v>
      </c>
      <c r="AF416" s="1262">
        <v>5000</v>
      </c>
      <c r="AG416" s="618"/>
      <c r="AH416" s="1277">
        <v>78.353421052631589</v>
      </c>
      <c r="AI416" s="1262">
        <v>2977.4300000000003</v>
      </c>
      <c r="AJ416" s="618"/>
      <c r="AK416" s="1277">
        <v>177.5137037037037</v>
      </c>
      <c r="AL416" s="1262">
        <v>4792.87</v>
      </c>
      <c r="AM416" s="618"/>
      <c r="AN416" s="1277">
        <v>375.78384615384613</v>
      </c>
      <c r="AO416" s="1262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">
      <c r="A417" s="532" t="str">
        <f t="shared" si="40"/>
        <v>Publicité 1</v>
      </c>
      <c r="B417" s="753" t="s">
        <v>105</v>
      </c>
      <c r="C417" s="621"/>
      <c r="D417" s="1275">
        <f t="shared" si="41"/>
        <v>555.2681794871794</v>
      </c>
      <c r="E417" s="1273">
        <f t="shared" si="42"/>
        <v>216554.58999999997</v>
      </c>
      <c r="F417" s="621"/>
      <c r="G417" s="1275">
        <v>996.87625000000003</v>
      </c>
      <c r="H417" s="1273">
        <v>15950.02</v>
      </c>
      <c r="I417" s="621"/>
      <c r="J417" s="1275">
        <v>1675.4099999999999</v>
      </c>
      <c r="K417" s="1273">
        <v>15078.689999999999</v>
      </c>
      <c r="L417" s="621"/>
      <c r="M417" s="1275">
        <v>588.99114285714279</v>
      </c>
      <c r="N417" s="1273">
        <v>20614.689999999999</v>
      </c>
      <c r="O417" s="621"/>
      <c r="P417" s="1275">
        <v>854.81346153846141</v>
      </c>
      <c r="Q417" s="1273">
        <v>22225.149999999998</v>
      </c>
      <c r="R417" s="621"/>
      <c r="S417" s="1275">
        <v>588.23465116279067</v>
      </c>
      <c r="T417" s="1273">
        <v>25294.09</v>
      </c>
      <c r="U417" s="621"/>
      <c r="V417" s="1275">
        <v>770.06136363636358</v>
      </c>
      <c r="W417" s="1273">
        <v>16941.349999999999</v>
      </c>
      <c r="X417" s="621"/>
      <c r="Y417" s="1275">
        <v>776.70789473684215</v>
      </c>
      <c r="Z417" s="1273">
        <v>14757.45</v>
      </c>
      <c r="AA417" s="621"/>
      <c r="AB417" s="1275">
        <v>672.21148148148143</v>
      </c>
      <c r="AC417" s="1273">
        <v>18149.71</v>
      </c>
      <c r="AD417" s="621"/>
      <c r="AE417" s="1275">
        <v>688.22727272727275</v>
      </c>
      <c r="AF417" s="1273">
        <v>15141</v>
      </c>
      <c r="AG417" s="621"/>
      <c r="AH417" s="1275">
        <v>693.96789473684203</v>
      </c>
      <c r="AI417" s="1273">
        <v>26370.78</v>
      </c>
      <c r="AJ417" s="621"/>
      <c r="AK417" s="1275">
        <v>577.05962962962963</v>
      </c>
      <c r="AL417" s="1273">
        <v>15580.61</v>
      </c>
      <c r="AM417" s="621"/>
      <c r="AN417" s="1275">
        <v>803.926923076923</v>
      </c>
      <c r="AO417" s="1273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">
      <c r="A418" s="532" t="str">
        <f t="shared" si="40"/>
        <v>Intérêt de gros</v>
      </c>
      <c r="B418" s="753" t="s">
        <v>106</v>
      </c>
      <c r="C418" s="621"/>
      <c r="D418" s="1275">
        <f t="shared" si="41"/>
        <v>835.0740512820513</v>
      </c>
      <c r="E418" s="1273">
        <f t="shared" si="42"/>
        <v>325678.88</v>
      </c>
      <c r="F418" s="621"/>
      <c r="G418" s="1275"/>
      <c r="H418" s="1273">
        <v>27832.129999999997</v>
      </c>
      <c r="I418" s="621"/>
      <c r="J418" s="1275"/>
      <c r="K418" s="1273">
        <v>23856.71</v>
      </c>
      <c r="L418" s="621"/>
      <c r="M418" s="1275"/>
      <c r="N418" s="1273">
        <v>29678.17</v>
      </c>
      <c r="O418" s="621"/>
      <c r="P418" s="1275"/>
      <c r="Q418" s="1273">
        <v>28976.94</v>
      </c>
      <c r="R418" s="621"/>
      <c r="S418" s="1275"/>
      <c r="T418" s="1273">
        <v>31088</v>
      </c>
      <c r="U418" s="621"/>
      <c r="V418" s="1275"/>
      <c r="W418" s="1273">
        <v>28645.27</v>
      </c>
      <c r="X418" s="621"/>
      <c r="Y418" s="1275"/>
      <c r="Z418" s="1273">
        <v>26667.22</v>
      </c>
      <c r="AA418" s="621"/>
      <c r="AB418" s="1275"/>
      <c r="AC418" s="1273">
        <v>25234.58</v>
      </c>
      <c r="AD418" s="621"/>
      <c r="AE418" s="1275">
        <v>1045.4775</v>
      </c>
      <c r="AF418" s="1273">
        <v>25091.46</v>
      </c>
      <c r="AG418" s="621"/>
      <c r="AH418" s="1275">
        <v>582.50354166666671</v>
      </c>
      <c r="AI418" s="1273">
        <v>27960.170000000002</v>
      </c>
      <c r="AJ418" s="621"/>
      <c r="AK418" s="1275">
        <v>1449.9466666666667</v>
      </c>
      <c r="AL418" s="1273">
        <v>26099.040000000001</v>
      </c>
      <c r="AM418" s="621"/>
      <c r="AN418" s="1275">
        <v>1534.3243749999999</v>
      </c>
      <c r="AO418" s="1273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5" hidden="1" customHeight="1">
      <c r="A419" s="532"/>
      <c r="B419" s="758" t="s">
        <v>42</v>
      </c>
      <c r="C419" s="621"/>
      <c r="D419" s="1275"/>
      <c r="E419" s="1273">
        <f t="shared" si="42"/>
        <v>0</v>
      </c>
      <c r="F419" s="621"/>
      <c r="G419" s="1275"/>
      <c r="H419" s="1273"/>
      <c r="I419" s="621"/>
      <c r="J419" s="1275"/>
      <c r="K419" s="1273"/>
      <c r="L419" s="621"/>
      <c r="M419" s="1275"/>
      <c r="N419" s="1273"/>
      <c r="O419" s="621"/>
      <c r="P419" s="1275"/>
      <c r="Q419" s="1273"/>
      <c r="R419" s="621"/>
      <c r="S419" s="1275"/>
      <c r="T419" s="1273"/>
      <c r="U419" s="621"/>
      <c r="V419" s="1275"/>
      <c r="W419" s="1273"/>
      <c r="X419" s="621"/>
      <c r="Y419" s="1275"/>
      <c r="Z419" s="1273"/>
      <c r="AA419" s="621"/>
      <c r="AB419" s="1275"/>
      <c r="AC419" s="1273"/>
      <c r="AD419" s="621"/>
      <c r="AE419" s="1275">
        <v>0</v>
      </c>
      <c r="AF419" s="1273">
        <v>0</v>
      </c>
      <c r="AG419" s="621"/>
      <c r="AH419" s="1275">
        <v>0</v>
      </c>
      <c r="AI419" s="1273">
        <v>0</v>
      </c>
      <c r="AJ419" s="621"/>
      <c r="AK419" s="1275">
        <v>0</v>
      </c>
      <c r="AL419" s="1273">
        <v>0</v>
      </c>
      <c r="AM419" s="621"/>
      <c r="AN419" s="1275">
        <v>0</v>
      </c>
      <c r="AO419" s="1273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5" hidden="1" customHeight="1">
      <c r="A420" s="532"/>
      <c r="B420" s="758" t="s">
        <v>42</v>
      </c>
      <c r="C420" s="621"/>
      <c r="D420" s="1275"/>
      <c r="E420" s="1273">
        <f t="shared" si="42"/>
        <v>0</v>
      </c>
      <c r="F420" s="621"/>
      <c r="G420" s="1275"/>
      <c r="H420" s="1273"/>
      <c r="I420" s="621"/>
      <c r="J420" s="1275"/>
      <c r="K420" s="1273"/>
      <c r="L420" s="621"/>
      <c r="M420" s="1275"/>
      <c r="N420" s="1273"/>
      <c r="O420" s="621"/>
      <c r="P420" s="1275"/>
      <c r="Q420" s="1273"/>
      <c r="R420" s="621"/>
      <c r="S420" s="1275"/>
      <c r="T420" s="1273"/>
      <c r="U420" s="621"/>
      <c r="V420" s="1275"/>
      <c r="W420" s="1273"/>
      <c r="X420" s="621"/>
      <c r="Y420" s="1275"/>
      <c r="Z420" s="1273"/>
      <c r="AA420" s="621"/>
      <c r="AB420" s="1275"/>
      <c r="AC420" s="1273"/>
      <c r="AD420" s="621"/>
      <c r="AE420" s="1275">
        <v>0</v>
      </c>
      <c r="AF420" s="1273">
        <v>0</v>
      </c>
      <c r="AG420" s="621"/>
      <c r="AH420" s="1275">
        <v>0</v>
      </c>
      <c r="AI420" s="1273">
        <v>0</v>
      </c>
      <c r="AJ420" s="621"/>
      <c r="AK420" s="1275">
        <v>0</v>
      </c>
      <c r="AL420" s="1273">
        <v>0</v>
      </c>
      <c r="AM420" s="621"/>
      <c r="AN420" s="1275">
        <v>0</v>
      </c>
      <c r="AO420" s="1273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5" hidden="1" customHeight="1">
      <c r="A421" s="532"/>
      <c r="B421" s="1256" t="s">
        <v>42</v>
      </c>
      <c r="C421" s="621"/>
      <c r="D421" s="1275"/>
      <c r="E421" s="1273">
        <f t="shared" si="42"/>
        <v>0</v>
      </c>
      <c r="F421" s="621"/>
      <c r="G421" s="1275"/>
      <c r="H421" s="1273"/>
      <c r="I421" s="621"/>
      <c r="J421" s="1275"/>
      <c r="K421" s="1273"/>
      <c r="L421" s="621"/>
      <c r="M421" s="1275"/>
      <c r="N421" s="1273"/>
      <c r="O421" s="621"/>
      <c r="P421" s="1275"/>
      <c r="Q421" s="1273"/>
      <c r="R421" s="621"/>
      <c r="S421" s="1275"/>
      <c r="T421" s="1273"/>
      <c r="U421" s="621"/>
      <c r="V421" s="1275"/>
      <c r="W421" s="1273"/>
      <c r="X421" s="621"/>
      <c r="Y421" s="1275"/>
      <c r="Z421" s="1273"/>
      <c r="AA421" s="621"/>
      <c r="AB421" s="1275"/>
      <c r="AC421" s="1273"/>
      <c r="AD421" s="621"/>
      <c r="AE421" s="1275">
        <v>0</v>
      </c>
      <c r="AF421" s="1273">
        <v>0</v>
      </c>
      <c r="AG421" s="621"/>
      <c r="AH421" s="1275">
        <v>0</v>
      </c>
      <c r="AI421" s="1273">
        <v>0</v>
      </c>
      <c r="AJ421" s="621"/>
      <c r="AK421" s="1275">
        <v>0</v>
      </c>
      <c r="AL421" s="1273">
        <v>0</v>
      </c>
      <c r="AM421" s="621"/>
      <c r="AN421" s="1275">
        <v>0</v>
      </c>
      <c r="AO421" s="1273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">
      <c r="A422" s="532" t="str">
        <f t="shared" si="40"/>
        <v>TOTAL VARIABLES</v>
      </c>
      <c r="B422" s="1278" t="s">
        <v>107</v>
      </c>
      <c r="C422" s="1279">
        <f>IFERROR(E422/E410,0)</f>
        <v>0.257277902045774</v>
      </c>
      <c r="D422" s="1280"/>
      <c r="E422" s="1281">
        <f>SUM(E412:E418)</f>
        <v>1243332.08</v>
      </c>
      <c r="F422" s="1282"/>
      <c r="G422" s="1283"/>
      <c r="H422" s="1284">
        <v>77174.489999999903</v>
      </c>
      <c r="I422" s="1282"/>
      <c r="J422" s="1283"/>
      <c r="K422" s="1284">
        <v>71847.609999999899</v>
      </c>
      <c r="L422" s="1282"/>
      <c r="M422" s="1283"/>
      <c r="N422" s="1284">
        <v>110152.4</v>
      </c>
      <c r="O422" s="1282"/>
      <c r="P422" s="1283"/>
      <c r="Q422" s="1284">
        <v>148106.18999999901</v>
      </c>
      <c r="R422" s="1282"/>
      <c r="S422" s="1283"/>
      <c r="T422" s="1284">
        <v>169129.27</v>
      </c>
      <c r="U422" s="1282"/>
      <c r="V422" s="1283"/>
      <c r="W422" s="1284">
        <v>125417.23</v>
      </c>
      <c r="X422" s="1282"/>
      <c r="Y422" s="1283"/>
      <c r="Z422" s="1284">
        <v>108594.68</v>
      </c>
      <c r="AA422" s="1282"/>
      <c r="AB422" s="1283"/>
      <c r="AC422" s="1284">
        <v>95304.61</v>
      </c>
      <c r="AD422" s="1282">
        <v>0.25492449161503894</v>
      </c>
      <c r="AE422" s="1283"/>
      <c r="AF422" s="1284">
        <v>81224.61</v>
      </c>
      <c r="AG422" s="1282">
        <v>0.24553127272607014</v>
      </c>
      <c r="AH422" s="1283"/>
      <c r="AI422" s="1284">
        <v>107651.21</v>
      </c>
      <c r="AJ422" s="1282">
        <v>0.19865777387437722</v>
      </c>
      <c r="AK422" s="1283"/>
      <c r="AL422" s="1284">
        <v>85084.91</v>
      </c>
      <c r="AM422" s="1282">
        <v>0.30911581961295664</v>
      </c>
      <c r="AN422" s="1283"/>
      <c r="AO422" s="1284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">
      <c r="A423" s="532" t="str">
        <f t="shared" si="40"/>
        <v>Salaires propriétaire</v>
      </c>
      <c r="B423" s="753" t="s">
        <v>203</v>
      </c>
      <c r="C423" s="621"/>
      <c r="D423" s="1275"/>
      <c r="E423" s="1273">
        <f t="shared" ref="E423:E468" si="43">+SUM(H423,K423,N423,Q423,T423,W423,Z423,AC423,AF423,AI423,AL423,AO423)</f>
        <v>177787.4899999999</v>
      </c>
      <c r="F423" s="621"/>
      <c r="G423" s="1275"/>
      <c r="H423" s="1285">
        <v>14940.02</v>
      </c>
      <c r="I423" s="621"/>
      <c r="J423" s="1275"/>
      <c r="K423" s="1285">
        <v>14643.31</v>
      </c>
      <c r="L423" s="621"/>
      <c r="M423" s="1275"/>
      <c r="N423" s="1285">
        <v>13051.16</v>
      </c>
      <c r="O423" s="621"/>
      <c r="P423" s="1275"/>
      <c r="Q423" s="1285">
        <v>15867.17</v>
      </c>
      <c r="R423" s="621"/>
      <c r="S423" s="1275"/>
      <c r="T423" s="1285">
        <v>15867.1699999999</v>
      </c>
      <c r="U423" s="621"/>
      <c r="V423" s="1275"/>
      <c r="W423" s="1285">
        <v>13693.94</v>
      </c>
      <c r="X423" s="621"/>
      <c r="Y423" s="1275"/>
      <c r="Z423" s="1285">
        <v>13081.7</v>
      </c>
      <c r="AA423" s="621"/>
      <c r="AB423" s="1275"/>
      <c r="AC423" s="1285">
        <v>12500.18</v>
      </c>
      <c r="AD423" s="621"/>
      <c r="AE423" s="1275"/>
      <c r="AF423" s="1285">
        <v>15408.03</v>
      </c>
      <c r="AG423" s="621"/>
      <c r="AH423" s="1275"/>
      <c r="AI423" s="1285">
        <v>24481.5</v>
      </c>
      <c r="AJ423" s="621"/>
      <c r="AK423" s="1275"/>
      <c r="AL423" s="1285">
        <v>9774.1</v>
      </c>
      <c r="AM423" s="621"/>
      <c r="AN423" s="1275"/>
      <c r="AO423" s="1285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">
      <c r="A424" s="532" t="str">
        <f t="shared" si="40"/>
        <v>Salaires cadres</v>
      </c>
      <c r="B424" s="753" t="s">
        <v>109</v>
      </c>
      <c r="C424" s="621"/>
      <c r="D424" s="1275"/>
      <c r="E424" s="1273">
        <f t="shared" si="43"/>
        <v>393964.34999999992</v>
      </c>
      <c r="F424" s="621"/>
      <c r="G424" s="1275"/>
      <c r="H424" s="1273">
        <v>33672.29</v>
      </c>
      <c r="I424" s="621"/>
      <c r="J424" s="1275"/>
      <c r="K424" s="1273">
        <v>28504.73</v>
      </c>
      <c r="L424" s="621"/>
      <c r="M424" s="1275"/>
      <c r="N424" s="1273">
        <v>37749</v>
      </c>
      <c r="O424" s="621"/>
      <c r="P424" s="1275"/>
      <c r="Q424" s="1273">
        <v>34021.32</v>
      </c>
      <c r="R424" s="621"/>
      <c r="S424" s="1275"/>
      <c r="T424" s="1273">
        <v>34438.83</v>
      </c>
      <c r="U424" s="621"/>
      <c r="V424" s="1275"/>
      <c r="W424" s="1273">
        <v>34371.800000000003</v>
      </c>
      <c r="X424" s="1286"/>
      <c r="Y424" s="1275"/>
      <c r="Z424" s="1273">
        <v>31689.3999999999</v>
      </c>
      <c r="AA424" s="621"/>
      <c r="AB424" s="1275"/>
      <c r="AC424" s="1273">
        <v>32100.7</v>
      </c>
      <c r="AD424" s="621"/>
      <c r="AE424" s="1275"/>
      <c r="AF424" s="1273">
        <v>28708.019999999997</v>
      </c>
      <c r="AG424" s="621"/>
      <c r="AH424" s="1275"/>
      <c r="AI424" s="1273">
        <v>35361.869999999995</v>
      </c>
      <c r="AJ424" s="621"/>
      <c r="AK424" s="1275"/>
      <c r="AL424" s="1273">
        <v>32970.15</v>
      </c>
      <c r="AM424" s="621"/>
      <c r="AN424" s="1275"/>
      <c r="AO424" s="1273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">
      <c r="A425" s="532" t="str">
        <f t="shared" si="40"/>
        <v>Salaires commis</v>
      </c>
      <c r="B425" s="754" t="s">
        <v>110</v>
      </c>
      <c r="C425" s="618"/>
      <c r="D425" s="1277"/>
      <c r="E425" s="1262">
        <f t="shared" si="43"/>
        <v>235790.70999999982</v>
      </c>
      <c r="F425" s="618"/>
      <c r="G425" s="1277"/>
      <c r="H425" s="1262">
        <v>23130.28</v>
      </c>
      <c r="I425" s="618"/>
      <c r="J425" s="1277"/>
      <c r="K425" s="1262">
        <v>20116.949999999899</v>
      </c>
      <c r="L425" s="618"/>
      <c r="M425" s="1277"/>
      <c r="N425" s="1262">
        <v>18404.269999999899</v>
      </c>
      <c r="O425" s="618"/>
      <c r="P425" s="1277"/>
      <c r="Q425" s="1262">
        <v>19029.84</v>
      </c>
      <c r="R425" s="618"/>
      <c r="S425" s="1277"/>
      <c r="T425" s="1262">
        <v>22482.82</v>
      </c>
      <c r="U425" s="618"/>
      <c r="V425" s="1277"/>
      <c r="W425" s="1262">
        <v>19836.55</v>
      </c>
      <c r="X425" s="1287"/>
      <c r="Y425" s="1277"/>
      <c r="Z425" s="1262">
        <v>18496.57</v>
      </c>
      <c r="AA425" s="618"/>
      <c r="AB425" s="1277"/>
      <c r="AC425" s="1262">
        <v>19887.689999999999</v>
      </c>
      <c r="AD425" s="618"/>
      <c r="AE425" s="1277"/>
      <c r="AF425" s="1262">
        <v>20684.649999999998</v>
      </c>
      <c r="AG425" s="618"/>
      <c r="AH425" s="1277"/>
      <c r="AI425" s="1262">
        <v>21826.450000000004</v>
      </c>
      <c r="AJ425" s="618"/>
      <c r="AK425" s="1277"/>
      <c r="AL425" s="1262">
        <v>17818.32</v>
      </c>
      <c r="AM425" s="618"/>
      <c r="AN425" s="1277"/>
      <c r="AO425" s="1262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">
      <c r="A426" s="532" t="str">
        <f t="shared" si="40"/>
        <v>Salaires autres</v>
      </c>
      <c r="B426" s="753" t="s">
        <v>111</v>
      </c>
      <c r="C426" s="621"/>
      <c r="D426" s="1275"/>
      <c r="E426" s="1273">
        <f t="shared" si="43"/>
        <v>296971.89</v>
      </c>
      <c r="F426" s="621"/>
      <c r="G426" s="1275"/>
      <c r="H426" s="1273">
        <v>20388.66</v>
      </c>
      <c r="I426" s="621"/>
      <c r="J426" s="1275"/>
      <c r="K426" s="1273">
        <v>24840.54</v>
      </c>
      <c r="L426" s="621"/>
      <c r="M426" s="1275"/>
      <c r="N426" s="1273">
        <v>25528.560000000001</v>
      </c>
      <c r="O426" s="621"/>
      <c r="P426" s="1275"/>
      <c r="Q426" s="1273">
        <v>29255.18</v>
      </c>
      <c r="R426" s="621"/>
      <c r="S426" s="1275"/>
      <c r="T426" s="1273">
        <v>25512.58</v>
      </c>
      <c r="U426" s="621"/>
      <c r="V426" s="1275"/>
      <c r="W426" s="1273">
        <v>26611.56</v>
      </c>
      <c r="X426" s="1288"/>
      <c r="Y426" s="1275"/>
      <c r="Z426" s="1273">
        <v>21781.87</v>
      </c>
      <c r="AA426" s="621"/>
      <c r="AB426" s="1275"/>
      <c r="AC426" s="1273">
        <v>21364.25</v>
      </c>
      <c r="AD426" s="621"/>
      <c r="AE426" s="1275"/>
      <c r="AF426" s="1273">
        <v>21629.5</v>
      </c>
      <c r="AG426" s="621"/>
      <c r="AH426" s="1275"/>
      <c r="AI426" s="1273">
        <v>24984.16</v>
      </c>
      <c r="AJ426" s="621"/>
      <c r="AK426" s="1275"/>
      <c r="AL426" s="1273">
        <v>35652.32</v>
      </c>
      <c r="AM426" s="621"/>
      <c r="AN426" s="1275"/>
      <c r="AO426" s="1273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">
      <c r="A427" s="532" t="str">
        <f t="shared" si="40"/>
        <v>Salaires spécialistes</v>
      </c>
      <c r="B427" s="753" t="s">
        <v>112</v>
      </c>
      <c r="C427" s="621"/>
      <c r="D427" s="1275"/>
      <c r="E427" s="1273">
        <f t="shared" si="43"/>
        <v>174720.71000000002</v>
      </c>
      <c r="F427" s="621"/>
      <c r="G427" s="1275"/>
      <c r="H427" s="1273">
        <v>10355.39</v>
      </c>
      <c r="I427" s="621"/>
      <c r="J427" s="1275"/>
      <c r="K427" s="1273">
        <v>13794.78</v>
      </c>
      <c r="L427" s="621"/>
      <c r="M427" s="1275"/>
      <c r="N427" s="1273">
        <v>13379.33</v>
      </c>
      <c r="O427" s="621"/>
      <c r="P427" s="1275"/>
      <c r="Q427" s="1273">
        <v>16301.36</v>
      </c>
      <c r="R427" s="621"/>
      <c r="S427" s="1275"/>
      <c r="T427" s="1273">
        <v>16151.34</v>
      </c>
      <c r="U427" s="621"/>
      <c r="V427" s="1275"/>
      <c r="W427" s="1273">
        <v>12665.43</v>
      </c>
      <c r="X427" s="1288"/>
      <c r="Y427" s="1275"/>
      <c r="Z427" s="1273">
        <v>14553.25</v>
      </c>
      <c r="AA427" s="621"/>
      <c r="AB427" s="1275"/>
      <c r="AC427" s="1273">
        <v>13870.82</v>
      </c>
      <c r="AD427" s="621"/>
      <c r="AE427" s="1275"/>
      <c r="AF427" s="1273">
        <v>14362.52</v>
      </c>
      <c r="AG427" s="621"/>
      <c r="AH427" s="1275"/>
      <c r="AI427" s="1273">
        <v>18459.82</v>
      </c>
      <c r="AJ427" s="621"/>
      <c r="AK427" s="1275"/>
      <c r="AL427" s="1273">
        <v>18518</v>
      </c>
      <c r="AM427" s="621"/>
      <c r="AN427" s="1275"/>
      <c r="AO427" s="1273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5" hidden="1" customHeight="1">
      <c r="A428" s="532" t="str">
        <f t="shared" si="40"/>
        <v>[...]</v>
      </c>
      <c r="B428" s="758" t="s">
        <v>42</v>
      </c>
      <c r="C428" s="621"/>
      <c r="D428" s="1275"/>
      <c r="E428" s="1273">
        <f t="shared" si="43"/>
        <v>0</v>
      </c>
      <c r="F428" s="621"/>
      <c r="G428" s="1275"/>
      <c r="H428" s="1273"/>
      <c r="I428" s="621"/>
      <c r="J428" s="1275"/>
      <c r="K428" s="1273"/>
      <c r="L428" s="621"/>
      <c r="M428" s="1275"/>
      <c r="N428" s="1273"/>
      <c r="O428" s="621"/>
      <c r="P428" s="1275"/>
      <c r="Q428" s="1273"/>
      <c r="R428" s="621"/>
      <c r="S428" s="1275"/>
      <c r="T428" s="1273"/>
      <c r="U428" s="621"/>
      <c r="V428" s="1275"/>
      <c r="W428" s="1273"/>
      <c r="X428" s="1288"/>
      <c r="Y428" s="1275"/>
      <c r="Z428" s="1273"/>
      <c r="AA428" s="621"/>
      <c r="AB428" s="1275"/>
      <c r="AC428" s="1273"/>
      <c r="AD428" s="621"/>
      <c r="AE428" s="1275"/>
      <c r="AF428" s="1273">
        <v>0</v>
      </c>
      <c r="AG428" s="621"/>
      <c r="AH428" s="1275"/>
      <c r="AI428" s="1273">
        <v>0</v>
      </c>
      <c r="AJ428" s="621"/>
      <c r="AK428" s="1275"/>
      <c r="AL428" s="1273">
        <v>0</v>
      </c>
      <c r="AM428" s="621"/>
      <c r="AN428" s="1275"/>
      <c r="AO428" s="1273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5" hidden="1" customHeight="1">
      <c r="A429" s="532" t="str">
        <f t="shared" si="40"/>
        <v>[...]</v>
      </c>
      <c r="B429" s="758" t="s">
        <v>42</v>
      </c>
      <c r="C429" s="621"/>
      <c r="D429" s="1275"/>
      <c r="E429" s="1273">
        <f t="shared" si="43"/>
        <v>0</v>
      </c>
      <c r="F429" s="621"/>
      <c r="G429" s="1275"/>
      <c r="H429" s="1273"/>
      <c r="I429" s="621"/>
      <c r="J429" s="1275"/>
      <c r="K429" s="1273"/>
      <c r="L429" s="621"/>
      <c r="M429" s="1275"/>
      <c r="N429" s="1273"/>
      <c r="O429" s="621"/>
      <c r="P429" s="1275"/>
      <c r="Q429" s="1273"/>
      <c r="R429" s="621"/>
      <c r="S429" s="1275"/>
      <c r="T429" s="1273"/>
      <c r="U429" s="621"/>
      <c r="V429" s="1275"/>
      <c r="W429" s="1273"/>
      <c r="X429" s="1288"/>
      <c r="Y429" s="1275"/>
      <c r="Z429" s="1273"/>
      <c r="AA429" s="621"/>
      <c r="AB429" s="1275"/>
      <c r="AC429" s="1273"/>
      <c r="AD429" s="621"/>
      <c r="AE429" s="1275"/>
      <c r="AF429" s="1273">
        <v>0</v>
      </c>
      <c r="AG429" s="621"/>
      <c r="AH429" s="1275"/>
      <c r="AI429" s="1273">
        <v>0</v>
      </c>
      <c r="AJ429" s="621"/>
      <c r="AK429" s="1275"/>
      <c r="AL429" s="1273">
        <v>0</v>
      </c>
      <c r="AM429" s="621"/>
      <c r="AN429" s="1275"/>
      <c r="AO429" s="1273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5" hidden="1" customHeight="1">
      <c r="A430" s="532" t="str">
        <f t="shared" si="40"/>
        <v>[...]</v>
      </c>
      <c r="B430" s="758" t="s">
        <v>42</v>
      </c>
      <c r="C430" s="621"/>
      <c r="D430" s="1275"/>
      <c r="E430" s="1273">
        <f t="shared" si="43"/>
        <v>0</v>
      </c>
      <c r="F430" s="621"/>
      <c r="G430" s="1275"/>
      <c r="H430" s="1273"/>
      <c r="I430" s="621"/>
      <c r="J430" s="1275"/>
      <c r="K430" s="1273"/>
      <c r="L430" s="621"/>
      <c r="M430" s="1275"/>
      <c r="N430" s="1273"/>
      <c r="O430" s="621"/>
      <c r="P430" s="1275"/>
      <c r="Q430" s="1273"/>
      <c r="R430" s="621"/>
      <c r="S430" s="1275"/>
      <c r="T430" s="1273"/>
      <c r="U430" s="621"/>
      <c r="V430" s="1275"/>
      <c r="W430" s="1273"/>
      <c r="X430" s="1288"/>
      <c r="Y430" s="1275"/>
      <c r="Z430" s="1273"/>
      <c r="AA430" s="621"/>
      <c r="AB430" s="1275"/>
      <c r="AC430" s="1273"/>
      <c r="AD430" s="621"/>
      <c r="AE430" s="1275"/>
      <c r="AF430" s="1273">
        <v>0</v>
      </c>
      <c r="AG430" s="621"/>
      <c r="AH430" s="1275"/>
      <c r="AI430" s="1273">
        <v>0</v>
      </c>
      <c r="AJ430" s="621"/>
      <c r="AK430" s="1275"/>
      <c r="AL430" s="1273">
        <v>0</v>
      </c>
      <c r="AM430" s="621"/>
      <c r="AN430" s="1275"/>
      <c r="AO430" s="1273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">
      <c r="A431" s="532" t="str">
        <f t="shared" si="40"/>
        <v>Salaires en absences</v>
      </c>
      <c r="B431" s="754" t="s">
        <v>113</v>
      </c>
      <c r="C431" s="618"/>
      <c r="D431" s="1277"/>
      <c r="E431" s="1262">
        <f t="shared" si="43"/>
        <v>279524.40000000008</v>
      </c>
      <c r="F431" s="618"/>
      <c r="G431" s="1289">
        <v>0.17357559889766289</v>
      </c>
      <c r="H431" s="1262">
        <v>32784.730000000003</v>
      </c>
      <c r="I431" s="618"/>
      <c r="J431" s="1289">
        <v>9.2830764787658462E-2</v>
      </c>
      <c r="K431" s="1262">
        <v>16438.12</v>
      </c>
      <c r="L431" s="618"/>
      <c r="M431" s="1289">
        <v>7.3440535478686078E-2</v>
      </c>
      <c r="N431" s="1262">
        <v>18091.86</v>
      </c>
      <c r="O431" s="618"/>
      <c r="P431" s="1289">
        <v>9.2192397238008705E-2</v>
      </c>
      <c r="Q431" s="1262">
        <v>26967.66</v>
      </c>
      <c r="R431" s="618"/>
      <c r="S431" s="1289">
        <v>8.0185121838861576E-2</v>
      </c>
      <c r="T431" s="1262">
        <v>26003.25</v>
      </c>
      <c r="U431" s="618"/>
      <c r="V431" s="1289">
        <v>0.11917629817987721</v>
      </c>
      <c r="W431" s="1262">
        <v>30958.799999999999</v>
      </c>
      <c r="X431" s="1287"/>
      <c r="Y431" s="1289">
        <v>0.15041590027440474</v>
      </c>
      <c r="Z431" s="1262">
        <v>33318.42</v>
      </c>
      <c r="AA431" s="618"/>
      <c r="AB431" s="1289">
        <v>9.3857152106286937E-2</v>
      </c>
      <c r="AC431" s="1262">
        <v>19758.939999999999</v>
      </c>
      <c r="AD431" s="618"/>
      <c r="AE431" s="1289"/>
      <c r="AF431" s="1262">
        <v>23886.720000000001</v>
      </c>
      <c r="AG431" s="618"/>
      <c r="AH431" s="1289"/>
      <c r="AI431" s="1262">
        <v>21008.36</v>
      </c>
      <c r="AJ431" s="618"/>
      <c r="AK431" s="1289"/>
      <c r="AL431" s="1262">
        <v>16779.2</v>
      </c>
      <c r="AM431" s="618"/>
      <c r="AN431" s="1289"/>
      <c r="AO431" s="1262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">
      <c r="A432" s="532" t="str">
        <f t="shared" si="40"/>
        <v>Déduction à la source</v>
      </c>
      <c r="B432" s="753" t="s">
        <v>114</v>
      </c>
      <c r="C432" s="621"/>
      <c r="D432" s="1275"/>
      <c r="E432" s="1273">
        <f t="shared" si="43"/>
        <v>349018.60999999975</v>
      </c>
      <c r="F432" s="621"/>
      <c r="G432" s="1290">
        <v>0.18620190484177471</v>
      </c>
      <c r="H432" s="1273">
        <v>35169.57</v>
      </c>
      <c r="I432" s="621"/>
      <c r="J432" s="1290">
        <v>0.15370314284454148</v>
      </c>
      <c r="K432" s="1273">
        <v>27217.17</v>
      </c>
      <c r="L432" s="621"/>
      <c r="M432" s="1290">
        <v>0.10996088201742701</v>
      </c>
      <c r="N432" s="1273">
        <v>27088.54</v>
      </c>
      <c r="O432" s="621"/>
      <c r="P432" s="1290">
        <v>0.11759447831412179</v>
      </c>
      <c r="Q432" s="1273">
        <v>34398.15</v>
      </c>
      <c r="R432" s="621"/>
      <c r="S432" s="1290">
        <v>0.12310732414647982</v>
      </c>
      <c r="T432" s="1273">
        <v>39922.5</v>
      </c>
      <c r="U432" s="621"/>
      <c r="V432" s="1290">
        <v>0.13268781879018784</v>
      </c>
      <c r="W432" s="1273">
        <v>34468.729999999901</v>
      </c>
      <c r="X432" s="1288"/>
      <c r="Y432" s="1290">
        <v>0.14193699812056945</v>
      </c>
      <c r="Z432" s="1273">
        <v>31440.269999999899</v>
      </c>
      <c r="AA432" s="621"/>
      <c r="AB432" s="1290">
        <v>0.13023558981483163</v>
      </c>
      <c r="AC432" s="1273">
        <v>27417.38</v>
      </c>
      <c r="AD432" s="621"/>
      <c r="AE432" s="1290"/>
      <c r="AF432" s="1273">
        <v>24666.699999999997</v>
      </c>
      <c r="AG432" s="621"/>
      <c r="AH432" s="1290"/>
      <c r="AI432" s="1273">
        <v>26631.599999999999</v>
      </c>
      <c r="AJ432" s="621"/>
      <c r="AK432" s="1290"/>
      <c r="AL432" s="1273">
        <v>16474.370000000003</v>
      </c>
      <c r="AM432" s="621"/>
      <c r="AN432" s="1290"/>
      <c r="AO432" s="1273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">
      <c r="A433" s="532" t="str">
        <f t="shared" si="40"/>
        <v>Bénéfices marginaux</v>
      </c>
      <c r="B433" s="1291" t="s">
        <v>115</v>
      </c>
      <c r="C433" s="621"/>
      <c r="D433" s="1275"/>
      <c r="E433" s="1273">
        <f t="shared" si="43"/>
        <v>174835.9599999999</v>
      </c>
      <c r="F433" s="621"/>
      <c r="G433" s="1290">
        <v>8.3590641357722359E-2</v>
      </c>
      <c r="H433" s="1273">
        <v>15788.49</v>
      </c>
      <c r="I433" s="621"/>
      <c r="J433" s="1290">
        <v>6.6879847947954235E-2</v>
      </c>
      <c r="K433" s="1273">
        <v>11842.83</v>
      </c>
      <c r="L433" s="621"/>
      <c r="M433" s="1290">
        <v>4.8725241535255204E-2</v>
      </c>
      <c r="N433" s="1273">
        <v>12003.32</v>
      </c>
      <c r="O433" s="621"/>
      <c r="P433" s="1290">
        <v>5.0951949440133169E-2</v>
      </c>
      <c r="Q433" s="1273">
        <v>14904.21</v>
      </c>
      <c r="R433" s="621"/>
      <c r="S433" s="1290">
        <v>4.9234973821750599E-2</v>
      </c>
      <c r="T433" s="1273">
        <v>15966.42</v>
      </c>
      <c r="U433" s="621"/>
      <c r="V433" s="1290">
        <v>5.5623882269886432E-2</v>
      </c>
      <c r="W433" s="1273">
        <v>14449.5899999999</v>
      </c>
      <c r="X433" s="1288"/>
      <c r="Y433" s="1290">
        <v>8.0636451952233221E-2</v>
      </c>
      <c r="Z433" s="1273">
        <v>17861.669999999998</v>
      </c>
      <c r="AA433" s="621"/>
      <c r="AB433" s="1290">
        <v>7.5020778171683331E-2</v>
      </c>
      <c r="AC433" s="1273">
        <v>15793.48</v>
      </c>
      <c r="AD433" s="621"/>
      <c r="AE433" s="1290"/>
      <c r="AF433" s="1273">
        <v>14496.53</v>
      </c>
      <c r="AG433" s="621"/>
      <c r="AH433" s="1290"/>
      <c r="AI433" s="1273">
        <v>15723.45</v>
      </c>
      <c r="AJ433" s="621"/>
      <c r="AK433" s="1290"/>
      <c r="AL433" s="1273">
        <v>13559.96</v>
      </c>
      <c r="AM433" s="621"/>
      <c r="AN433" s="1290"/>
      <c r="AO433" s="1273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">
      <c r="A434" s="532" t="str">
        <f t="shared" si="40"/>
        <v>Csst</v>
      </c>
      <c r="B434" s="753" t="s">
        <v>116</v>
      </c>
      <c r="C434" s="621"/>
      <c r="D434" s="1275"/>
      <c r="E434" s="1273">
        <f t="shared" si="43"/>
        <v>56744.070000000007</v>
      </c>
      <c r="F434" s="621"/>
      <c r="G434" s="1290"/>
      <c r="H434" s="1273">
        <v>5006.51</v>
      </c>
      <c r="I434" s="621"/>
      <c r="J434" s="1290"/>
      <c r="K434" s="1273">
        <v>3504.8200000000006</v>
      </c>
      <c r="L434" s="621"/>
      <c r="M434" s="1290"/>
      <c r="N434" s="1273">
        <v>3998.2699999999995</v>
      </c>
      <c r="O434" s="621"/>
      <c r="P434" s="1290"/>
      <c r="Q434" s="1273">
        <v>5756.7199999999993</v>
      </c>
      <c r="R434" s="621"/>
      <c r="S434" s="1290"/>
      <c r="T434" s="1273">
        <v>5644.18</v>
      </c>
      <c r="U434" s="621"/>
      <c r="V434" s="1290"/>
      <c r="W434" s="1273">
        <v>8122.6</v>
      </c>
      <c r="X434" s="1288"/>
      <c r="Y434" s="1290"/>
      <c r="Z434" s="1273">
        <v>6436.9299999999994</v>
      </c>
      <c r="AA434" s="621"/>
      <c r="AB434" s="1290"/>
      <c r="AC434" s="1273">
        <v>3496.05</v>
      </c>
      <c r="AD434" s="621"/>
      <c r="AE434" s="1290"/>
      <c r="AF434" s="1273">
        <v>3228.44</v>
      </c>
      <c r="AG434" s="621"/>
      <c r="AH434" s="1290"/>
      <c r="AI434" s="1273">
        <v>3249.1099999999997</v>
      </c>
      <c r="AJ434" s="621"/>
      <c r="AK434" s="1290"/>
      <c r="AL434" s="1273">
        <v>2950.44</v>
      </c>
      <c r="AM434" s="621"/>
      <c r="AN434" s="1290"/>
      <c r="AO434" s="1273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5" hidden="1" customHeight="1">
      <c r="A435" s="532"/>
      <c r="B435" s="758" t="s">
        <v>42</v>
      </c>
      <c r="C435" s="621"/>
      <c r="D435" s="1275"/>
      <c r="E435" s="1273">
        <f t="shared" si="43"/>
        <v>0</v>
      </c>
      <c r="F435" s="621"/>
      <c r="G435" s="1275"/>
      <c r="H435" s="1273"/>
      <c r="I435" s="621"/>
      <c r="J435" s="1275"/>
      <c r="K435" s="1273"/>
      <c r="L435" s="621"/>
      <c r="M435" s="1275"/>
      <c r="N435" s="1273"/>
      <c r="O435" s="621"/>
      <c r="P435" s="1275"/>
      <c r="Q435" s="1273"/>
      <c r="R435" s="621"/>
      <c r="S435" s="1275"/>
      <c r="T435" s="1273"/>
      <c r="U435" s="621"/>
      <c r="V435" s="1275"/>
      <c r="W435" s="1273"/>
      <c r="X435" s="621"/>
      <c r="Y435" s="1275"/>
      <c r="Z435" s="1273"/>
      <c r="AA435" s="621"/>
      <c r="AB435" s="1275"/>
      <c r="AC435" s="1273"/>
      <c r="AD435" s="621"/>
      <c r="AE435" s="1275"/>
      <c r="AF435" s="1273">
        <v>0</v>
      </c>
      <c r="AG435" s="621"/>
      <c r="AH435" s="1275"/>
      <c r="AI435" s="1273">
        <v>0</v>
      </c>
      <c r="AJ435" s="621"/>
      <c r="AK435" s="1275"/>
      <c r="AL435" s="1273">
        <v>0</v>
      </c>
      <c r="AM435" s="621"/>
      <c r="AN435" s="1275"/>
      <c r="AO435" s="1273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">
      <c r="A436" s="532" t="str">
        <f t="shared" si="40"/>
        <v>TOTAL PERSONNEL</v>
      </c>
      <c r="B436" s="1278" t="s">
        <v>117</v>
      </c>
      <c r="C436" s="1279">
        <f>IFERROR(E436/E410,0)</f>
        <v>0.44268912199839983</v>
      </c>
      <c r="D436" s="1292"/>
      <c r="E436" s="1281">
        <f>SUM(E423:E434)</f>
        <v>2139358.1899999995</v>
      </c>
      <c r="F436" s="1282"/>
      <c r="G436" s="1293"/>
      <c r="H436" s="1284">
        <v>191235.94</v>
      </c>
      <c r="I436" s="1282"/>
      <c r="J436" s="1293"/>
      <c r="K436" s="1284">
        <v>160903.24999999901</v>
      </c>
      <c r="L436" s="1282"/>
      <c r="M436" s="1293"/>
      <c r="N436" s="1284">
        <v>169294.31</v>
      </c>
      <c r="O436" s="1282"/>
      <c r="P436" s="1293"/>
      <c r="Q436" s="1284">
        <v>196501.61</v>
      </c>
      <c r="R436" s="1282"/>
      <c r="S436" s="1293"/>
      <c r="T436" s="1284">
        <v>201989.09</v>
      </c>
      <c r="U436" s="1282"/>
      <c r="V436" s="1293"/>
      <c r="W436" s="1284">
        <v>195179</v>
      </c>
      <c r="X436" s="1282"/>
      <c r="Y436" s="1293"/>
      <c r="Z436" s="1284">
        <v>188660.079999999</v>
      </c>
      <c r="AA436" s="1282"/>
      <c r="AB436" s="1293"/>
      <c r="AC436" s="1284">
        <v>166189.49</v>
      </c>
      <c r="AD436" s="1282">
        <v>0.5243548449208959</v>
      </c>
      <c r="AE436" s="1293"/>
      <c r="AF436" s="1284">
        <v>167071.11000000002</v>
      </c>
      <c r="AG436" s="1282">
        <v>0.43729009051255252</v>
      </c>
      <c r="AH436" s="1293"/>
      <c r="AI436" s="1284">
        <v>191726.32000000004</v>
      </c>
      <c r="AJ436" s="1282">
        <v>0.38407021899564897</v>
      </c>
      <c r="AK436" s="1293"/>
      <c r="AL436" s="1284">
        <v>164496.85999999999</v>
      </c>
      <c r="AM436" s="1282">
        <v>0.7096449675288089</v>
      </c>
      <c r="AN436" s="1293"/>
      <c r="AO436" s="1284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">
      <c r="A437" s="532" t="str">
        <f t="shared" si="40"/>
        <v>Publicité 2</v>
      </c>
      <c r="B437" s="1294" t="s">
        <v>118</v>
      </c>
      <c r="C437" s="1295"/>
      <c r="D437" s="1296"/>
      <c r="E437" s="1297">
        <f t="shared" si="43"/>
        <v>123625.3</v>
      </c>
      <c r="F437" s="1295"/>
      <c r="G437" s="1296"/>
      <c r="H437" s="1297">
        <v>7287.09</v>
      </c>
      <c r="I437" s="1295"/>
      <c r="J437" s="1296"/>
      <c r="K437" s="1297">
        <v>9730.48</v>
      </c>
      <c r="L437" s="1295"/>
      <c r="M437" s="1296"/>
      <c r="N437" s="1297">
        <v>10049.41</v>
      </c>
      <c r="O437" s="1295"/>
      <c r="P437" s="1296"/>
      <c r="Q437" s="1297">
        <v>14387.91</v>
      </c>
      <c r="R437" s="1295"/>
      <c r="S437" s="1296"/>
      <c r="T437" s="1297">
        <v>8939.15</v>
      </c>
      <c r="U437" s="1295"/>
      <c r="V437" s="1296"/>
      <c r="W437" s="1297">
        <v>6637.49</v>
      </c>
      <c r="X437" s="1295"/>
      <c r="Y437" s="1296"/>
      <c r="Z437" s="1297">
        <v>7114.8</v>
      </c>
      <c r="AA437" s="1295"/>
      <c r="AB437" s="1296"/>
      <c r="AC437" s="1297">
        <v>7841.44</v>
      </c>
      <c r="AD437" s="1295"/>
      <c r="AE437" s="1296"/>
      <c r="AF437" s="1297">
        <v>5561.41</v>
      </c>
      <c r="AG437" s="1295"/>
      <c r="AH437" s="1296"/>
      <c r="AI437" s="1297">
        <v>21218.35</v>
      </c>
      <c r="AJ437" s="1295"/>
      <c r="AK437" s="1296"/>
      <c r="AL437" s="1297">
        <v>22662.58</v>
      </c>
      <c r="AM437" s="1295"/>
      <c r="AN437" s="1296"/>
      <c r="AO437" s="1297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">
      <c r="A438" s="532" t="str">
        <f t="shared" si="40"/>
        <v>Service gratuit 2</v>
      </c>
      <c r="B438" s="753" t="s">
        <v>119</v>
      </c>
      <c r="C438" s="621"/>
      <c r="D438" s="1275"/>
      <c r="E438" s="1273">
        <f t="shared" si="43"/>
        <v>45553.04</v>
      </c>
      <c r="F438" s="621"/>
      <c r="G438" s="1275"/>
      <c r="H438" s="1273">
        <v>1148.19</v>
      </c>
      <c r="I438" s="621"/>
      <c r="J438" s="1275"/>
      <c r="K438" s="1273">
        <v>3048.06</v>
      </c>
      <c r="L438" s="621"/>
      <c r="M438" s="1275"/>
      <c r="N438" s="1273">
        <v>2975.74</v>
      </c>
      <c r="O438" s="621"/>
      <c r="P438" s="1275"/>
      <c r="Q438" s="1273">
        <v>3510.22</v>
      </c>
      <c r="R438" s="621"/>
      <c r="S438" s="1275"/>
      <c r="T438" s="1273">
        <v>3427.25</v>
      </c>
      <c r="U438" s="621"/>
      <c r="V438" s="1275"/>
      <c r="W438" s="1273">
        <v>6808.14</v>
      </c>
      <c r="X438" s="621"/>
      <c r="Y438" s="1275"/>
      <c r="Z438" s="1273">
        <v>4203.25</v>
      </c>
      <c r="AA438" s="621"/>
      <c r="AB438" s="1275"/>
      <c r="AC438" s="1273">
        <v>3624.73</v>
      </c>
      <c r="AD438" s="621"/>
      <c r="AE438" s="1275"/>
      <c r="AF438" s="1273">
        <v>3210.97</v>
      </c>
      <c r="AG438" s="621"/>
      <c r="AH438" s="1275"/>
      <c r="AI438" s="1273">
        <v>3957.51</v>
      </c>
      <c r="AJ438" s="621"/>
      <c r="AK438" s="1275"/>
      <c r="AL438" s="1273">
        <v>8563.75</v>
      </c>
      <c r="AM438" s="621"/>
      <c r="AN438" s="1275"/>
      <c r="AO438" s="1273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">
      <c r="A439" s="532" t="str">
        <f t="shared" si="40"/>
        <v>Frais véhicules de cie</v>
      </c>
      <c r="B439" s="754" t="s">
        <v>120</v>
      </c>
      <c r="C439" s="618"/>
      <c r="D439" s="1277"/>
      <c r="E439" s="1262">
        <f t="shared" si="43"/>
        <v>233681.13</v>
      </c>
      <c r="F439" s="618"/>
      <c r="G439" s="1277"/>
      <c r="H439" s="1262">
        <v>13566.3</v>
      </c>
      <c r="I439" s="618"/>
      <c r="J439" s="1277"/>
      <c r="K439" s="1262">
        <v>18341.68</v>
      </c>
      <c r="L439" s="618"/>
      <c r="M439" s="1277"/>
      <c r="N439" s="1262">
        <v>22041.68</v>
      </c>
      <c r="O439" s="618"/>
      <c r="P439" s="1277"/>
      <c r="Q439" s="1262">
        <v>20725.349999999999</v>
      </c>
      <c r="R439" s="618"/>
      <c r="S439" s="1277"/>
      <c r="T439" s="1262">
        <v>26263.68</v>
      </c>
      <c r="U439" s="618"/>
      <c r="V439" s="1277"/>
      <c r="W439" s="1262">
        <v>19032.78</v>
      </c>
      <c r="X439" s="618"/>
      <c r="Y439" s="1277"/>
      <c r="Z439" s="1262">
        <v>23145.16</v>
      </c>
      <c r="AA439" s="618"/>
      <c r="AB439" s="1277"/>
      <c r="AC439" s="1262">
        <v>21230.83</v>
      </c>
      <c r="AD439" s="618"/>
      <c r="AE439" s="1277"/>
      <c r="AF439" s="1262">
        <v>17882.82</v>
      </c>
      <c r="AG439" s="618"/>
      <c r="AH439" s="1277"/>
      <c r="AI439" s="1262">
        <v>19592.5</v>
      </c>
      <c r="AJ439" s="618"/>
      <c r="AK439" s="1277"/>
      <c r="AL439" s="1262">
        <v>24582.52</v>
      </c>
      <c r="AM439" s="618"/>
      <c r="AN439" s="1277"/>
      <c r="AO439" s="1262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">
      <c r="A440" s="532" t="str">
        <f t="shared" si="40"/>
        <v>Informatique</v>
      </c>
      <c r="B440" s="753" t="s">
        <v>121</v>
      </c>
      <c r="C440" s="621"/>
      <c r="D440" s="1275"/>
      <c r="E440" s="1273">
        <f t="shared" si="43"/>
        <v>174646.2499999998</v>
      </c>
      <c r="F440" s="621"/>
      <c r="G440" s="1275"/>
      <c r="H440" s="1273">
        <v>13936.69</v>
      </c>
      <c r="I440" s="621"/>
      <c r="J440" s="1275"/>
      <c r="K440" s="1273">
        <v>16830.3999999999</v>
      </c>
      <c r="L440" s="621"/>
      <c r="M440" s="1275"/>
      <c r="N440" s="1273">
        <v>14742.19</v>
      </c>
      <c r="O440" s="621"/>
      <c r="P440" s="1275"/>
      <c r="Q440" s="1273">
        <v>14042.93</v>
      </c>
      <c r="R440" s="621"/>
      <c r="S440" s="1275"/>
      <c r="T440" s="1273">
        <v>16188.25</v>
      </c>
      <c r="U440" s="621"/>
      <c r="V440" s="1275"/>
      <c r="W440" s="1273">
        <v>14106.1899999999</v>
      </c>
      <c r="X440" s="621"/>
      <c r="Y440" s="1275"/>
      <c r="Z440" s="1273">
        <v>14355.36</v>
      </c>
      <c r="AA440" s="621"/>
      <c r="AB440" s="1275"/>
      <c r="AC440" s="1273">
        <v>15117.2</v>
      </c>
      <c r="AD440" s="621"/>
      <c r="AE440" s="1275"/>
      <c r="AF440" s="1273">
        <v>13089.75</v>
      </c>
      <c r="AG440" s="621"/>
      <c r="AH440" s="1275"/>
      <c r="AI440" s="1273">
        <v>13160.600000000002</v>
      </c>
      <c r="AJ440" s="621"/>
      <c r="AK440" s="1275"/>
      <c r="AL440" s="1273">
        <v>13829.100000000002</v>
      </c>
      <c r="AM440" s="621"/>
      <c r="AN440" s="1275"/>
      <c r="AO440" s="1273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">
      <c r="A441" s="532" t="str">
        <f t="shared" si="40"/>
        <v>Frais de déplacement</v>
      </c>
      <c r="B441" s="753" t="s">
        <v>122</v>
      </c>
      <c r="C441" s="621"/>
      <c r="D441" s="1275"/>
      <c r="E441" s="1273">
        <f t="shared" si="43"/>
        <v>23022.479999999989</v>
      </c>
      <c r="F441" s="621"/>
      <c r="G441" s="1275"/>
      <c r="H441" s="1273">
        <v>1583.3799999999901</v>
      </c>
      <c r="I441" s="621"/>
      <c r="J441" s="1275"/>
      <c r="K441" s="1273">
        <v>2690.26</v>
      </c>
      <c r="L441" s="621"/>
      <c r="M441" s="1275"/>
      <c r="N441" s="1273">
        <v>6639.72</v>
      </c>
      <c r="O441" s="621"/>
      <c r="P441" s="1275"/>
      <c r="Q441" s="1273">
        <v>2768.18</v>
      </c>
      <c r="R441" s="621"/>
      <c r="S441" s="1275"/>
      <c r="T441" s="1273">
        <v>1747.9</v>
      </c>
      <c r="U441" s="621"/>
      <c r="V441" s="1275"/>
      <c r="W441" s="1273">
        <v>1040.1300000000001</v>
      </c>
      <c r="X441" s="621"/>
      <c r="Y441" s="1275"/>
      <c r="Z441" s="1273">
        <v>2153.08</v>
      </c>
      <c r="AA441" s="621"/>
      <c r="AB441" s="1275"/>
      <c r="AC441" s="1273">
        <v>1173.47</v>
      </c>
      <c r="AD441" s="621"/>
      <c r="AE441" s="1275"/>
      <c r="AF441" s="1273">
        <v>-203.68</v>
      </c>
      <c r="AG441" s="621"/>
      <c r="AH441" s="1275"/>
      <c r="AI441" s="1273">
        <v>-2.3400000000000176</v>
      </c>
      <c r="AJ441" s="621"/>
      <c r="AK441" s="1275"/>
      <c r="AL441" s="1273">
        <v>2800.5899999999997</v>
      </c>
      <c r="AM441" s="621"/>
      <c r="AN441" s="1275"/>
      <c r="AO441" s="1273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">
      <c r="A442" s="532" t="str">
        <f t="shared" si="40"/>
        <v>Services extérieurs</v>
      </c>
      <c r="B442" s="755" t="s">
        <v>123</v>
      </c>
      <c r="C442" s="621"/>
      <c r="D442" s="1275"/>
      <c r="E442" s="1298">
        <f t="shared" si="43"/>
        <v>107635.76000000002</v>
      </c>
      <c r="F442" s="1299"/>
      <c r="G442" s="1300"/>
      <c r="H442" s="1298">
        <v>10685.68</v>
      </c>
      <c r="I442" s="1299"/>
      <c r="J442" s="1300"/>
      <c r="K442" s="1298">
        <v>8258.69</v>
      </c>
      <c r="L442" s="1299"/>
      <c r="M442" s="1300"/>
      <c r="N442" s="1298">
        <v>9146.08</v>
      </c>
      <c r="O442" s="1299"/>
      <c r="P442" s="1300"/>
      <c r="Q442" s="1298">
        <v>11148.72</v>
      </c>
      <c r="R442" s="1299"/>
      <c r="S442" s="1300"/>
      <c r="T442" s="1298">
        <v>8859.35</v>
      </c>
      <c r="U442" s="1299"/>
      <c r="V442" s="1300"/>
      <c r="W442" s="1298">
        <v>6093.1</v>
      </c>
      <c r="X442" s="1299"/>
      <c r="Y442" s="1300"/>
      <c r="Z442" s="1298">
        <v>8416.9</v>
      </c>
      <c r="AA442" s="1299"/>
      <c r="AB442" s="1300"/>
      <c r="AC442" s="1298">
        <v>7369.99</v>
      </c>
      <c r="AD442" s="1299"/>
      <c r="AE442" s="1300"/>
      <c r="AF442" s="1298">
        <v>9043.85</v>
      </c>
      <c r="AG442" s="1299"/>
      <c r="AH442" s="1300"/>
      <c r="AI442" s="1298">
        <v>4267.32</v>
      </c>
      <c r="AJ442" s="1299"/>
      <c r="AK442" s="1300"/>
      <c r="AL442" s="1298">
        <v>9903.2800000000007</v>
      </c>
      <c r="AM442" s="1299"/>
      <c r="AN442" s="1300"/>
      <c r="AO442" s="1298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">
      <c r="A443" s="532" t="str">
        <f t="shared" si="40"/>
        <v>Fournitures d'atelier</v>
      </c>
      <c r="B443" s="1301" t="s">
        <v>350</v>
      </c>
      <c r="C443" s="1295"/>
      <c r="D443" s="1296"/>
      <c r="E443" s="1273">
        <f>+SUM(H443,K443,N443,Q443,T443,W443,Z443,AC443,AF443,AI443,AL443,AO443)</f>
        <v>0</v>
      </c>
      <c r="F443" s="621"/>
      <c r="G443" s="1275"/>
      <c r="H443" s="1273">
        <v>0</v>
      </c>
      <c r="I443" s="621"/>
      <c r="J443" s="1275"/>
      <c r="K443" s="1273">
        <v>0</v>
      </c>
      <c r="L443" s="621"/>
      <c r="M443" s="1275"/>
      <c r="N443" s="1273">
        <v>0</v>
      </c>
      <c r="O443" s="621"/>
      <c r="P443" s="1275"/>
      <c r="Q443" s="1273">
        <v>0</v>
      </c>
      <c r="R443" s="621"/>
      <c r="S443" s="1275"/>
      <c r="T443" s="1273">
        <v>0</v>
      </c>
      <c r="U443" s="621"/>
      <c r="V443" s="1275"/>
      <c r="W443" s="1273">
        <v>0</v>
      </c>
      <c r="X443" s="621"/>
      <c r="Y443" s="1275"/>
      <c r="Z443" s="1273">
        <v>0</v>
      </c>
      <c r="AA443" s="621"/>
      <c r="AB443" s="1275"/>
      <c r="AC443" s="1273">
        <v>0</v>
      </c>
      <c r="AD443" s="621"/>
      <c r="AE443" s="1275"/>
      <c r="AF443" s="1273">
        <v>0</v>
      </c>
      <c r="AG443" s="621"/>
      <c r="AH443" s="1275"/>
      <c r="AI443" s="1273">
        <v>0</v>
      </c>
      <c r="AJ443" s="621"/>
      <c r="AK443" s="1275"/>
      <c r="AL443" s="1273">
        <v>0</v>
      </c>
      <c r="AM443" s="621"/>
      <c r="AN443" s="1275"/>
      <c r="AO443" s="1273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">
      <c r="A444" s="532" t="str">
        <f t="shared" si="40"/>
        <v>Fournitures autres</v>
      </c>
      <c r="B444" s="753" t="s">
        <v>124</v>
      </c>
      <c r="C444" s="621"/>
      <c r="D444" s="1275"/>
      <c r="E444" s="1273">
        <f t="shared" si="43"/>
        <v>36248.83</v>
      </c>
      <c r="F444" s="621"/>
      <c r="G444" s="1275"/>
      <c r="H444" s="1273">
        <v>1034.68</v>
      </c>
      <c r="I444" s="621"/>
      <c r="J444" s="1275"/>
      <c r="K444" s="1273">
        <v>3049.29</v>
      </c>
      <c r="L444" s="621"/>
      <c r="M444" s="1275"/>
      <c r="N444" s="1273">
        <v>5173.66</v>
      </c>
      <c r="O444" s="621"/>
      <c r="P444" s="1275"/>
      <c r="Q444" s="1273">
        <v>2310.04</v>
      </c>
      <c r="R444" s="621"/>
      <c r="S444" s="1275"/>
      <c r="T444" s="1273">
        <v>2693.81</v>
      </c>
      <c r="U444" s="621"/>
      <c r="V444" s="1275"/>
      <c r="W444" s="1273">
        <v>3786.36</v>
      </c>
      <c r="X444" s="621"/>
      <c r="Y444" s="1275"/>
      <c r="Z444" s="1273">
        <v>1964.05</v>
      </c>
      <c r="AA444" s="621"/>
      <c r="AB444" s="1275"/>
      <c r="AC444" s="1273">
        <v>3505.9</v>
      </c>
      <c r="AD444" s="621"/>
      <c r="AE444" s="1275"/>
      <c r="AF444" s="1273">
        <v>2855.1499999999996</v>
      </c>
      <c r="AG444" s="621"/>
      <c r="AH444" s="1275"/>
      <c r="AI444" s="1273">
        <v>4269.1499999999996</v>
      </c>
      <c r="AJ444" s="621"/>
      <c r="AK444" s="1275"/>
      <c r="AL444" s="1273">
        <v>3847.89</v>
      </c>
      <c r="AM444" s="621"/>
      <c r="AN444" s="1275"/>
      <c r="AO444" s="1273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">
      <c r="A445" s="532" t="str">
        <f t="shared" si="40"/>
        <v>Uniformes</v>
      </c>
      <c r="B445" s="753" t="s">
        <v>125</v>
      </c>
      <c r="C445" s="621"/>
      <c r="D445" s="1275"/>
      <c r="E445" s="1273">
        <f t="shared" si="43"/>
        <v>15887.580000000002</v>
      </c>
      <c r="F445" s="621"/>
      <c r="G445" s="1275"/>
      <c r="H445" s="1273">
        <v>1898.07</v>
      </c>
      <c r="I445" s="621"/>
      <c r="J445" s="1275"/>
      <c r="K445" s="1273">
        <v>1193.76</v>
      </c>
      <c r="L445" s="621"/>
      <c r="M445" s="1275"/>
      <c r="N445" s="1273">
        <v>1813.2</v>
      </c>
      <c r="O445" s="621"/>
      <c r="P445" s="1275"/>
      <c r="Q445" s="1273">
        <v>2201.96</v>
      </c>
      <c r="R445" s="621"/>
      <c r="S445" s="1275"/>
      <c r="T445" s="1273">
        <v>801.81</v>
      </c>
      <c r="U445" s="621"/>
      <c r="V445" s="1275"/>
      <c r="W445" s="1273">
        <v>478.84</v>
      </c>
      <c r="X445" s="621"/>
      <c r="Y445" s="1275"/>
      <c r="Z445" s="1273">
        <v>903.4</v>
      </c>
      <c r="AA445" s="621"/>
      <c r="AB445" s="1275"/>
      <c r="AC445" s="1273">
        <v>459.52</v>
      </c>
      <c r="AD445" s="621"/>
      <c r="AE445" s="1275"/>
      <c r="AF445" s="1273">
        <v>1680.6</v>
      </c>
      <c r="AG445" s="621"/>
      <c r="AH445" s="1275"/>
      <c r="AI445" s="1273">
        <v>897.7</v>
      </c>
      <c r="AJ445" s="621"/>
      <c r="AK445" s="1275"/>
      <c r="AL445" s="1273">
        <v>2874.18</v>
      </c>
      <c r="AM445" s="621"/>
      <c r="AN445" s="1275"/>
      <c r="AO445" s="1273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">
      <c r="A446" s="532" t="str">
        <f t="shared" si="40"/>
        <v>Papeterie</v>
      </c>
      <c r="B446" s="753" t="s">
        <v>126</v>
      </c>
      <c r="C446" s="621"/>
      <c r="D446" s="1275"/>
      <c r="E446" s="1273">
        <f t="shared" si="43"/>
        <v>16970.32</v>
      </c>
      <c r="F446" s="621"/>
      <c r="G446" s="1275"/>
      <c r="H446" s="1273">
        <v>1195.07</v>
      </c>
      <c r="I446" s="621"/>
      <c r="J446" s="1275"/>
      <c r="K446" s="1273">
        <v>1524.13</v>
      </c>
      <c r="L446" s="621"/>
      <c r="M446" s="1275"/>
      <c r="N446" s="1273">
        <v>1100.5</v>
      </c>
      <c r="O446" s="621"/>
      <c r="P446" s="1275"/>
      <c r="Q446" s="1273">
        <v>1427.55</v>
      </c>
      <c r="R446" s="621"/>
      <c r="S446" s="1275"/>
      <c r="T446" s="1273">
        <v>1563.51</v>
      </c>
      <c r="U446" s="621"/>
      <c r="V446" s="1275"/>
      <c r="W446" s="1273">
        <v>2322.5</v>
      </c>
      <c r="X446" s="621"/>
      <c r="Y446" s="1275"/>
      <c r="Z446" s="1273">
        <v>1247.68</v>
      </c>
      <c r="AA446" s="621"/>
      <c r="AB446" s="1275"/>
      <c r="AC446" s="1273">
        <v>2017.39</v>
      </c>
      <c r="AD446" s="621"/>
      <c r="AE446" s="1275"/>
      <c r="AF446" s="1273">
        <v>1674.6</v>
      </c>
      <c r="AG446" s="621"/>
      <c r="AH446" s="1275"/>
      <c r="AI446" s="1273">
        <v>1056.78</v>
      </c>
      <c r="AJ446" s="621"/>
      <c r="AK446" s="1275"/>
      <c r="AL446" s="1273">
        <v>1357.94</v>
      </c>
      <c r="AM446" s="621"/>
      <c r="AN446" s="1275"/>
      <c r="AO446" s="1273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">
      <c r="A447" s="532" t="str">
        <f t="shared" si="40"/>
        <v>Téléphone</v>
      </c>
      <c r="B447" s="753" t="s">
        <v>127</v>
      </c>
      <c r="C447" s="621"/>
      <c r="D447" s="1275"/>
      <c r="E447" s="1273">
        <f t="shared" si="43"/>
        <v>7953.03</v>
      </c>
      <c r="F447" s="621"/>
      <c r="G447" s="1275"/>
      <c r="H447" s="1273">
        <v>1234.31</v>
      </c>
      <c r="I447" s="621"/>
      <c r="J447" s="1275"/>
      <c r="K447" s="1273">
        <v>777.15999999999894</v>
      </c>
      <c r="L447" s="621"/>
      <c r="M447" s="1275"/>
      <c r="N447" s="1273">
        <v>1301.02</v>
      </c>
      <c r="O447" s="621"/>
      <c r="P447" s="1275"/>
      <c r="Q447" s="1273">
        <v>456.36</v>
      </c>
      <c r="R447" s="621"/>
      <c r="S447" s="1275"/>
      <c r="T447" s="1273">
        <v>491.29</v>
      </c>
      <c r="U447" s="621"/>
      <c r="V447" s="1275"/>
      <c r="W447" s="1273">
        <v>456.3</v>
      </c>
      <c r="X447" s="621"/>
      <c r="Y447" s="1275"/>
      <c r="Z447" s="1273">
        <v>460.15</v>
      </c>
      <c r="AA447" s="621"/>
      <c r="AB447" s="1275"/>
      <c r="AC447" s="1273">
        <v>466.32</v>
      </c>
      <c r="AD447" s="621"/>
      <c r="AE447" s="1275"/>
      <c r="AF447" s="1273">
        <v>489.14</v>
      </c>
      <c r="AG447" s="621"/>
      <c r="AH447" s="1275"/>
      <c r="AI447" s="1273">
        <v>489.14</v>
      </c>
      <c r="AJ447" s="621"/>
      <c r="AK447" s="1275"/>
      <c r="AL447" s="1273">
        <v>503.67999999999995</v>
      </c>
      <c r="AM447" s="621"/>
      <c r="AN447" s="1275"/>
      <c r="AO447" s="1273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">
      <c r="A448" s="532" t="str">
        <f t="shared" si="40"/>
        <v>Frais postaux</v>
      </c>
      <c r="B448" s="753" t="s">
        <v>128</v>
      </c>
      <c r="C448" s="621"/>
      <c r="D448" s="1275"/>
      <c r="E448" s="1273">
        <f t="shared" si="43"/>
        <v>13779.630000000001</v>
      </c>
      <c r="F448" s="621"/>
      <c r="G448" s="1275"/>
      <c r="H448" s="1273">
        <v>2083.9499999999998</v>
      </c>
      <c r="I448" s="621"/>
      <c r="J448" s="1275"/>
      <c r="K448" s="1273">
        <v>1045.27</v>
      </c>
      <c r="L448" s="621"/>
      <c r="M448" s="1275"/>
      <c r="N448" s="1273">
        <v>938.15</v>
      </c>
      <c r="O448" s="621"/>
      <c r="P448" s="1275"/>
      <c r="Q448" s="1273">
        <v>1409.08</v>
      </c>
      <c r="R448" s="621"/>
      <c r="S448" s="1275"/>
      <c r="T448" s="1273">
        <v>918.39</v>
      </c>
      <c r="U448" s="621"/>
      <c r="V448" s="1275"/>
      <c r="W448" s="1273">
        <v>1029.77</v>
      </c>
      <c r="X448" s="621"/>
      <c r="Y448" s="1275"/>
      <c r="Z448" s="1273">
        <v>453.66</v>
      </c>
      <c r="AA448" s="621"/>
      <c r="AB448" s="1275"/>
      <c r="AC448" s="1273">
        <v>2485.7199999999998</v>
      </c>
      <c r="AD448" s="621"/>
      <c r="AE448" s="1275"/>
      <c r="AF448" s="1273">
        <v>847.46</v>
      </c>
      <c r="AG448" s="621"/>
      <c r="AH448" s="1275"/>
      <c r="AI448" s="1273">
        <v>702.03000000000009</v>
      </c>
      <c r="AJ448" s="621"/>
      <c r="AK448" s="1275"/>
      <c r="AL448" s="1273">
        <v>1170</v>
      </c>
      <c r="AM448" s="621"/>
      <c r="AN448" s="1275"/>
      <c r="AO448" s="1273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">
      <c r="A449" s="532" t="str">
        <f t="shared" si="40"/>
        <v>Divers</v>
      </c>
      <c r="B449" s="753" t="s">
        <v>129</v>
      </c>
      <c r="C449" s="621"/>
      <c r="D449" s="1275"/>
      <c r="E449" s="1273">
        <f t="shared" si="43"/>
        <v>25297.800000000007</v>
      </c>
      <c r="F449" s="621"/>
      <c r="G449" s="1275"/>
      <c r="H449" s="1273">
        <v>1516</v>
      </c>
      <c r="I449" s="621"/>
      <c r="J449" s="1275"/>
      <c r="K449" s="1273">
        <v>1516</v>
      </c>
      <c r="L449" s="621"/>
      <c r="M449" s="1275"/>
      <c r="N449" s="1273">
        <v>1545.45</v>
      </c>
      <c r="O449" s="621"/>
      <c r="P449" s="1275"/>
      <c r="Q449" s="1273">
        <v>1516</v>
      </c>
      <c r="R449" s="621"/>
      <c r="S449" s="1275"/>
      <c r="T449" s="1273">
        <v>2925.98</v>
      </c>
      <c r="U449" s="621"/>
      <c r="V449" s="1275"/>
      <c r="W449" s="1273">
        <v>5061.0600000000004</v>
      </c>
      <c r="X449" s="621"/>
      <c r="Y449" s="1275"/>
      <c r="Z449" s="1273">
        <v>2925.99</v>
      </c>
      <c r="AA449" s="621"/>
      <c r="AB449" s="1275"/>
      <c r="AC449" s="1273">
        <v>4378.57</v>
      </c>
      <c r="AD449" s="621"/>
      <c r="AE449" s="1275"/>
      <c r="AF449" s="1273">
        <v>1692.24</v>
      </c>
      <c r="AG449" s="621"/>
      <c r="AH449" s="1275"/>
      <c r="AI449" s="1273">
        <v>553.03</v>
      </c>
      <c r="AJ449" s="621"/>
      <c r="AK449" s="1275"/>
      <c r="AL449" s="1273">
        <v>1327.49</v>
      </c>
      <c r="AM449" s="621"/>
      <c r="AN449" s="1275"/>
      <c r="AO449" s="1273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">
      <c r="A450" s="532" t="str">
        <f t="shared" si="40"/>
        <v>Formation</v>
      </c>
      <c r="B450" s="753" t="s">
        <v>130</v>
      </c>
      <c r="C450" s="621"/>
      <c r="D450" s="1275"/>
      <c r="E450" s="1273">
        <f t="shared" si="43"/>
        <v>23517.139999999989</v>
      </c>
      <c r="F450" s="621"/>
      <c r="G450" s="1275"/>
      <c r="H450" s="1273">
        <v>3421.78</v>
      </c>
      <c r="I450" s="621"/>
      <c r="J450" s="1275"/>
      <c r="K450" s="1273">
        <v>3250.13</v>
      </c>
      <c r="L450" s="621"/>
      <c r="M450" s="1275"/>
      <c r="N450" s="1273">
        <v>2504.14</v>
      </c>
      <c r="O450" s="621"/>
      <c r="P450" s="1275"/>
      <c r="Q450" s="1273">
        <v>2545.87</v>
      </c>
      <c r="R450" s="621"/>
      <c r="S450" s="1275"/>
      <c r="T450" s="1273">
        <v>1851.6599999999901</v>
      </c>
      <c r="U450" s="621"/>
      <c r="V450" s="1275"/>
      <c r="W450" s="1273">
        <v>2237.08</v>
      </c>
      <c r="X450" s="621"/>
      <c r="Y450" s="1275"/>
      <c r="Z450" s="1273">
        <v>2571.9499999999998</v>
      </c>
      <c r="AA450" s="621"/>
      <c r="AB450" s="1275"/>
      <c r="AC450" s="1273">
        <v>2659.98</v>
      </c>
      <c r="AD450" s="621"/>
      <c r="AE450" s="1275"/>
      <c r="AF450" s="1273">
        <v>674.31999999999994</v>
      </c>
      <c r="AG450" s="621"/>
      <c r="AH450" s="1275"/>
      <c r="AI450" s="1273">
        <v>-3459.03</v>
      </c>
      <c r="AJ450" s="621"/>
      <c r="AK450" s="1275"/>
      <c r="AL450" s="1273">
        <v>2842.5300000000007</v>
      </c>
      <c r="AM450" s="621"/>
      <c r="AN450" s="1275"/>
      <c r="AO450" s="1273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">
      <c r="A451" s="532" t="str">
        <f t="shared" si="40"/>
        <v>Frais bancaires</v>
      </c>
      <c r="B451" s="753" t="s">
        <v>131</v>
      </c>
      <c r="C451" s="621"/>
      <c r="D451" s="1275"/>
      <c r="E451" s="1273">
        <f t="shared" si="43"/>
        <v>77615.799999999988</v>
      </c>
      <c r="F451" s="621"/>
      <c r="G451" s="1275"/>
      <c r="H451" s="1273">
        <v>4357.68</v>
      </c>
      <c r="I451" s="621"/>
      <c r="J451" s="1275"/>
      <c r="K451" s="1273">
        <v>3422.22</v>
      </c>
      <c r="L451" s="621"/>
      <c r="M451" s="1275"/>
      <c r="N451" s="1273">
        <v>6691.8</v>
      </c>
      <c r="O451" s="621"/>
      <c r="P451" s="1275"/>
      <c r="Q451" s="1273">
        <v>9946.43</v>
      </c>
      <c r="R451" s="621"/>
      <c r="S451" s="1275"/>
      <c r="T451" s="1273">
        <v>9752.16</v>
      </c>
      <c r="U451" s="621"/>
      <c r="V451" s="1275"/>
      <c r="W451" s="1273">
        <v>5853.7</v>
      </c>
      <c r="X451" s="621"/>
      <c r="Y451" s="1275"/>
      <c r="Z451" s="1273">
        <v>6689.16</v>
      </c>
      <c r="AA451" s="621"/>
      <c r="AB451" s="1275"/>
      <c r="AC451" s="1273">
        <v>6302.04</v>
      </c>
      <c r="AD451" s="621"/>
      <c r="AE451" s="1275"/>
      <c r="AF451" s="1273">
        <v>3383.05</v>
      </c>
      <c r="AG451" s="621"/>
      <c r="AH451" s="1275"/>
      <c r="AI451" s="1273">
        <v>6086.18</v>
      </c>
      <c r="AJ451" s="621"/>
      <c r="AK451" s="1275"/>
      <c r="AL451" s="1273">
        <v>10016.199999999999</v>
      </c>
      <c r="AM451" s="621"/>
      <c r="AN451" s="1275"/>
      <c r="AO451" s="1273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5" hidden="1" customHeight="1">
      <c r="A452" s="532" t="str">
        <f t="shared" si="40"/>
        <v>[...]</v>
      </c>
      <c r="B452" s="753" t="s">
        <v>42</v>
      </c>
      <c r="C452" s="621"/>
      <c r="D452" s="1275"/>
      <c r="E452" s="1273">
        <f t="shared" si="43"/>
        <v>0</v>
      </c>
      <c r="F452" s="621"/>
      <c r="G452" s="1275"/>
      <c r="H452" s="1273"/>
      <c r="I452" s="621"/>
      <c r="J452" s="1275"/>
      <c r="K452" s="1273"/>
      <c r="L452" s="621"/>
      <c r="M452" s="1275"/>
      <c r="N452" s="1273"/>
      <c r="O452" s="621"/>
      <c r="P452" s="1275"/>
      <c r="Q452" s="1273"/>
      <c r="R452" s="621"/>
      <c r="S452" s="1275"/>
      <c r="T452" s="1273"/>
      <c r="U452" s="621"/>
      <c r="V452" s="1275"/>
      <c r="W452" s="1273"/>
      <c r="X452" s="621"/>
      <c r="Y452" s="1275"/>
      <c r="Z452" s="1273"/>
      <c r="AA452" s="621"/>
      <c r="AB452" s="1275"/>
      <c r="AC452" s="1273"/>
      <c r="AD452" s="621"/>
      <c r="AE452" s="1275"/>
      <c r="AF452" s="1273">
        <v>0</v>
      </c>
      <c r="AG452" s="621"/>
      <c r="AH452" s="1275"/>
      <c r="AI452" s="1273">
        <v>0</v>
      </c>
      <c r="AJ452" s="621"/>
      <c r="AK452" s="1275"/>
      <c r="AL452" s="1273">
        <v>0</v>
      </c>
      <c r="AM452" s="621"/>
      <c r="AN452" s="1275"/>
      <c r="AO452" s="1273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5" hidden="1" customHeight="1">
      <c r="A453" s="532" t="str">
        <f t="shared" si="40"/>
        <v>[...]</v>
      </c>
      <c r="B453" s="753" t="s">
        <v>42</v>
      </c>
      <c r="C453" s="621"/>
      <c r="D453" s="1275"/>
      <c r="E453" s="1273">
        <f t="shared" si="43"/>
        <v>0</v>
      </c>
      <c r="F453" s="621"/>
      <c r="G453" s="1275"/>
      <c r="H453" s="1273"/>
      <c r="I453" s="621"/>
      <c r="J453" s="1275"/>
      <c r="K453" s="1273"/>
      <c r="L453" s="621"/>
      <c r="M453" s="1275"/>
      <c r="N453" s="1273"/>
      <c r="O453" s="621"/>
      <c r="P453" s="1275"/>
      <c r="Q453" s="1273"/>
      <c r="R453" s="621"/>
      <c r="S453" s="1275"/>
      <c r="T453" s="1273"/>
      <c r="U453" s="621"/>
      <c r="V453" s="1275"/>
      <c r="W453" s="1273"/>
      <c r="X453" s="621"/>
      <c r="Y453" s="1275"/>
      <c r="Z453" s="1273"/>
      <c r="AA453" s="621"/>
      <c r="AB453" s="1275"/>
      <c r="AC453" s="1273"/>
      <c r="AD453" s="621"/>
      <c r="AE453" s="1275"/>
      <c r="AF453" s="1273">
        <v>0</v>
      </c>
      <c r="AG453" s="621"/>
      <c r="AH453" s="1275"/>
      <c r="AI453" s="1273">
        <v>0</v>
      </c>
      <c r="AJ453" s="621"/>
      <c r="AK453" s="1275"/>
      <c r="AL453" s="1273">
        <v>0</v>
      </c>
      <c r="AM453" s="621"/>
      <c r="AN453" s="1275"/>
      <c r="AO453" s="1273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5" hidden="1" customHeight="1">
      <c r="A454" s="532">
        <f t="shared" si="40"/>
        <v>0</v>
      </c>
      <c r="B454" s="753"/>
      <c r="C454" s="621"/>
      <c r="D454" s="1275"/>
      <c r="E454" s="1273">
        <f t="shared" si="43"/>
        <v>0</v>
      </c>
      <c r="F454" s="621"/>
      <c r="G454" s="1275"/>
      <c r="H454" s="1273"/>
      <c r="I454" s="621"/>
      <c r="J454" s="1275"/>
      <c r="K454" s="1273"/>
      <c r="L454" s="621"/>
      <c r="M454" s="1275"/>
      <c r="N454" s="1273"/>
      <c r="O454" s="621"/>
      <c r="P454" s="1275"/>
      <c r="Q454" s="1273"/>
      <c r="R454" s="621"/>
      <c r="S454" s="1275"/>
      <c r="T454" s="1273"/>
      <c r="U454" s="621"/>
      <c r="V454" s="1275"/>
      <c r="W454" s="1273"/>
      <c r="X454" s="621"/>
      <c r="Y454" s="1275"/>
      <c r="Z454" s="1273"/>
      <c r="AA454" s="621"/>
      <c r="AB454" s="1275"/>
      <c r="AC454" s="1273"/>
      <c r="AD454" s="621"/>
      <c r="AE454" s="1275"/>
      <c r="AF454" s="1273">
        <v>0</v>
      </c>
      <c r="AG454" s="621"/>
      <c r="AH454" s="1275"/>
      <c r="AI454" s="1273">
        <v>0</v>
      </c>
      <c r="AJ454" s="621"/>
      <c r="AK454" s="1275"/>
      <c r="AL454" s="1273">
        <v>0</v>
      </c>
      <c r="AM454" s="621"/>
      <c r="AN454" s="1275"/>
      <c r="AO454" s="1273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">
      <c r="A455" s="532" t="str">
        <f t="shared" si="40"/>
        <v>TOTAL SEMI-FIXES</v>
      </c>
      <c r="B455" s="1278" t="s">
        <v>132</v>
      </c>
      <c r="C455" s="1279">
        <f>IFERROR(E455/E410,0)</f>
        <v>0.19149649959714696</v>
      </c>
      <c r="D455" s="1280"/>
      <c r="E455" s="1281">
        <f>+SUM(E437:E454)</f>
        <v>925434.08999999962</v>
      </c>
      <c r="F455" s="1282"/>
      <c r="G455" s="1283"/>
      <c r="H455" s="1284">
        <v>64948.869999999901</v>
      </c>
      <c r="I455" s="1282"/>
      <c r="J455" s="1283"/>
      <c r="K455" s="1284">
        <v>74677.53</v>
      </c>
      <c r="L455" s="1282"/>
      <c r="M455" s="1283"/>
      <c r="N455" s="1284">
        <v>86662.74</v>
      </c>
      <c r="O455" s="1282"/>
      <c r="P455" s="1283"/>
      <c r="Q455" s="1284">
        <v>88396.6</v>
      </c>
      <c r="R455" s="1282"/>
      <c r="S455" s="1283"/>
      <c r="T455" s="1284">
        <v>86424.1899999999</v>
      </c>
      <c r="U455" s="1282"/>
      <c r="V455" s="1283"/>
      <c r="W455" s="1284">
        <v>74943.4399999999</v>
      </c>
      <c r="X455" s="1282"/>
      <c r="Y455" s="1283"/>
      <c r="Z455" s="1284">
        <v>76604.59</v>
      </c>
      <c r="AA455" s="1282"/>
      <c r="AB455" s="1283"/>
      <c r="AC455" s="1284">
        <v>78633.099999999904</v>
      </c>
      <c r="AD455" s="1282">
        <v>0.19421645501633705</v>
      </c>
      <c r="AE455" s="1283"/>
      <c r="AF455" s="1284">
        <v>61881.679999999993</v>
      </c>
      <c r="AG455" s="1282">
        <v>0.1660172344366227</v>
      </c>
      <c r="AH455" s="1283"/>
      <c r="AI455" s="1284">
        <v>72788.920000000013</v>
      </c>
      <c r="AJ455" s="1282">
        <v>0.24814848937746556</v>
      </c>
      <c r="AK455" s="1283"/>
      <c r="AL455" s="1284">
        <v>106281.73</v>
      </c>
      <c r="AM455" s="1282">
        <v>0.25834111730115716</v>
      </c>
      <c r="AN455" s="1283"/>
      <c r="AO455" s="1284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">
      <c r="A456" s="532" t="str">
        <f t="shared" si="40"/>
        <v>Loyer</v>
      </c>
      <c r="B456" s="753" t="s">
        <v>224</v>
      </c>
      <c r="C456" s="621"/>
      <c r="D456" s="1275"/>
      <c r="E456" s="1273">
        <f t="shared" si="43"/>
        <v>590000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">
      <c r="A457" s="532" t="str">
        <f t="shared" si="40"/>
        <v>Taxes foncières</v>
      </c>
      <c r="B457" s="753" t="s">
        <v>226</v>
      </c>
      <c r="C457" s="621"/>
      <c r="D457" s="1275"/>
      <c r="E457" s="1273">
        <f t="shared" si="43"/>
        <v>67813.439999999988</v>
      </c>
      <c r="F457" s="621"/>
      <c r="G457" s="1275"/>
      <c r="H457" s="1285">
        <v>6163.5</v>
      </c>
      <c r="I457" s="621"/>
      <c r="J457" s="1275"/>
      <c r="K457" s="1285">
        <v>6163.5</v>
      </c>
      <c r="L457" s="621"/>
      <c r="M457" s="1275"/>
      <c r="N457" s="1285">
        <v>6163.5</v>
      </c>
      <c r="O457" s="621"/>
      <c r="P457" s="1275"/>
      <c r="Q457" s="1285">
        <v>6163.5</v>
      </c>
      <c r="R457" s="621"/>
      <c r="S457" s="1275"/>
      <c r="T457" s="1285">
        <v>6163.5</v>
      </c>
      <c r="U457" s="621"/>
      <c r="V457" s="1275"/>
      <c r="W457" s="1285">
        <v>6163.5</v>
      </c>
      <c r="X457" s="621"/>
      <c r="Y457" s="1275"/>
      <c r="Z457" s="1285">
        <v>6166.78999999999</v>
      </c>
      <c r="AA457" s="621"/>
      <c r="AB457" s="1275"/>
      <c r="AC457" s="1285">
        <v>6166.7999999999902</v>
      </c>
      <c r="AD457" s="621"/>
      <c r="AE457" s="1275"/>
      <c r="AF457" s="1285">
        <v>6166.7999999999993</v>
      </c>
      <c r="AG457" s="621"/>
      <c r="AH457" s="1275"/>
      <c r="AI457" s="1285">
        <v>6163.6900000000005</v>
      </c>
      <c r="AJ457" s="621"/>
      <c r="AK457" s="1275"/>
      <c r="AL457" s="1285">
        <v>6168.3600000000006</v>
      </c>
      <c r="AM457" s="621"/>
      <c r="AN457" s="1275"/>
      <c r="AO457" s="1285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">
      <c r="A458" s="532" t="str">
        <f t="shared" si="40"/>
        <v>Taxes d`affaires</v>
      </c>
      <c r="B458" s="754" t="s">
        <v>228</v>
      </c>
      <c r="C458" s="618"/>
      <c r="D458" s="1277"/>
      <c r="E458" s="1262">
        <f t="shared" si="43"/>
        <v>29212.920000000006</v>
      </c>
      <c r="F458" s="618"/>
      <c r="G458" s="1277"/>
      <c r="H458" s="1302">
        <v>2641.5</v>
      </c>
      <c r="I458" s="618"/>
      <c r="J458" s="1277"/>
      <c r="K458" s="1302">
        <v>2641.5</v>
      </c>
      <c r="L458" s="618"/>
      <c r="M458" s="1277"/>
      <c r="N458" s="1302">
        <v>2641.5</v>
      </c>
      <c r="O458" s="618"/>
      <c r="P458" s="1277"/>
      <c r="Q458" s="1302">
        <v>2641.5</v>
      </c>
      <c r="R458" s="618"/>
      <c r="S458" s="1277"/>
      <c r="T458" s="1302">
        <v>2641.5</v>
      </c>
      <c r="U458" s="618"/>
      <c r="V458" s="1277"/>
      <c r="W458" s="1302">
        <v>2641.5</v>
      </c>
      <c r="X458" s="618"/>
      <c r="Y458" s="1277"/>
      <c r="Z458" s="1302">
        <v>2642.91</v>
      </c>
      <c r="AA458" s="618"/>
      <c r="AB458" s="1277"/>
      <c r="AC458" s="1302">
        <v>2642.93</v>
      </c>
      <c r="AD458" s="618"/>
      <c r="AE458" s="1277"/>
      <c r="AF458" s="1302">
        <v>2642.92</v>
      </c>
      <c r="AG458" s="618"/>
      <c r="AH458" s="1277"/>
      <c r="AI458" s="1302">
        <v>2641.58</v>
      </c>
      <c r="AJ458" s="618"/>
      <c r="AK458" s="1277"/>
      <c r="AL458" s="1302">
        <v>2643.58</v>
      </c>
      <c r="AM458" s="618"/>
      <c r="AN458" s="1277"/>
      <c r="AO458" s="1302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">
      <c r="A459" s="532" t="str">
        <f t="shared" si="40"/>
        <v>Taxe sur le capital</v>
      </c>
      <c r="B459" s="753" t="s">
        <v>230</v>
      </c>
      <c r="C459" s="621"/>
      <c r="D459" s="1275"/>
      <c r="E459" s="1273">
        <f t="shared" si="43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">
      <c r="A460" s="532" t="str">
        <f t="shared" si="40"/>
        <v>Assurances</v>
      </c>
      <c r="B460" s="754" t="s">
        <v>231</v>
      </c>
      <c r="C460" s="618"/>
      <c r="D460" s="1277"/>
      <c r="E460" s="1262">
        <f t="shared" si="43"/>
        <v>56963.30000000001</v>
      </c>
      <c r="F460" s="618"/>
      <c r="G460" s="1277"/>
      <c r="H460" s="1302">
        <v>4853.83</v>
      </c>
      <c r="I460" s="618"/>
      <c r="J460" s="1277"/>
      <c r="K460" s="1302">
        <v>4853.83</v>
      </c>
      <c r="L460" s="618"/>
      <c r="M460" s="1277"/>
      <c r="N460" s="1302">
        <v>4853.83</v>
      </c>
      <c r="O460" s="618"/>
      <c r="P460" s="1277"/>
      <c r="Q460" s="1302">
        <v>4853.83</v>
      </c>
      <c r="R460" s="618"/>
      <c r="S460" s="1277"/>
      <c r="T460" s="1302">
        <v>4853.83</v>
      </c>
      <c r="U460" s="618"/>
      <c r="V460" s="1277"/>
      <c r="W460" s="1302">
        <v>4853.83</v>
      </c>
      <c r="X460" s="618"/>
      <c r="Y460" s="1277"/>
      <c r="Z460" s="1302">
        <v>4853.83</v>
      </c>
      <c r="AA460" s="618"/>
      <c r="AB460" s="1277"/>
      <c r="AC460" s="1302">
        <v>4853.83</v>
      </c>
      <c r="AD460" s="618"/>
      <c r="AE460" s="1277"/>
      <c r="AF460" s="1302">
        <v>4853.83</v>
      </c>
      <c r="AG460" s="618"/>
      <c r="AH460" s="1277"/>
      <c r="AI460" s="1302">
        <v>4853.83</v>
      </c>
      <c r="AJ460" s="618"/>
      <c r="AK460" s="1277"/>
      <c r="AL460" s="1302">
        <v>4853.83</v>
      </c>
      <c r="AM460" s="618"/>
      <c r="AN460" s="1277"/>
      <c r="AO460" s="1302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">
      <c r="A461" s="532" t="str">
        <f t="shared" si="40"/>
        <v>Chauffage, éclairage</v>
      </c>
      <c r="B461" s="753" t="s">
        <v>233</v>
      </c>
      <c r="C461" s="621"/>
      <c r="D461" s="1275"/>
      <c r="E461" s="1273">
        <f t="shared" si="43"/>
        <v>73650.850000000006</v>
      </c>
      <c r="F461" s="621"/>
      <c r="G461" s="1275"/>
      <c r="H461" s="1285">
        <v>5102.83</v>
      </c>
      <c r="I461" s="621"/>
      <c r="J461" s="1275"/>
      <c r="K461" s="1285">
        <v>5369.25</v>
      </c>
      <c r="L461" s="621"/>
      <c r="M461" s="1275"/>
      <c r="N461" s="1285">
        <v>7864.39</v>
      </c>
      <c r="O461" s="621"/>
      <c r="P461" s="1275"/>
      <c r="Q461" s="1285">
        <v>6454.11</v>
      </c>
      <c r="R461" s="621"/>
      <c r="S461" s="1275"/>
      <c r="T461" s="1285">
        <v>5414.6</v>
      </c>
      <c r="U461" s="621"/>
      <c r="V461" s="1275"/>
      <c r="W461" s="1285">
        <v>5363.8</v>
      </c>
      <c r="X461" s="621"/>
      <c r="Y461" s="1275"/>
      <c r="Z461" s="1285">
        <v>5094.8500000000004</v>
      </c>
      <c r="AA461" s="621"/>
      <c r="AB461" s="1275"/>
      <c r="AC461" s="1285">
        <v>5506.44</v>
      </c>
      <c r="AD461" s="621"/>
      <c r="AE461" s="1275"/>
      <c r="AF461" s="1285">
        <v>4994.3599999999997</v>
      </c>
      <c r="AG461" s="621"/>
      <c r="AH461" s="1275"/>
      <c r="AI461" s="1285">
        <v>4165.4399999999996</v>
      </c>
      <c r="AJ461" s="621"/>
      <c r="AK461" s="1275"/>
      <c r="AL461" s="1285">
        <v>7266.5</v>
      </c>
      <c r="AM461" s="621"/>
      <c r="AN461" s="1275"/>
      <c r="AO461" s="1285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">
      <c r="A462" s="532" t="str">
        <f t="shared" si="40"/>
        <v>Honoraires</v>
      </c>
      <c r="B462" s="753" t="s">
        <v>235</v>
      </c>
      <c r="C462" s="621"/>
      <c r="D462" s="1275"/>
      <c r="E462" s="1273">
        <f t="shared" si="43"/>
        <v>69380.63</v>
      </c>
      <c r="F462" s="621"/>
      <c r="G462" s="1275"/>
      <c r="H462" s="1285">
        <v>6307.33</v>
      </c>
      <c r="I462" s="621"/>
      <c r="J462" s="1275"/>
      <c r="K462" s="1285">
        <v>6307.33</v>
      </c>
      <c r="L462" s="621"/>
      <c r="M462" s="1275"/>
      <c r="N462" s="1285">
        <v>6307.33</v>
      </c>
      <c r="O462" s="621"/>
      <c r="P462" s="1275"/>
      <c r="Q462" s="1285">
        <v>6307.33</v>
      </c>
      <c r="R462" s="621"/>
      <c r="S462" s="1275"/>
      <c r="T462" s="1285">
        <v>6307.33</v>
      </c>
      <c r="U462" s="621"/>
      <c r="V462" s="1275"/>
      <c r="W462" s="1285">
        <v>6307.33</v>
      </c>
      <c r="X462" s="621"/>
      <c r="Y462" s="1275"/>
      <c r="Z462" s="1285">
        <v>6307.33</v>
      </c>
      <c r="AA462" s="621"/>
      <c r="AB462" s="1275"/>
      <c r="AC462" s="1285">
        <v>6307.33</v>
      </c>
      <c r="AD462" s="621"/>
      <c r="AE462" s="1275"/>
      <c r="AF462" s="1285">
        <v>6307.33</v>
      </c>
      <c r="AG462" s="621"/>
      <c r="AH462" s="1275"/>
      <c r="AI462" s="1285">
        <v>6307.33</v>
      </c>
      <c r="AJ462" s="621"/>
      <c r="AK462" s="1275"/>
      <c r="AL462" s="1285">
        <v>6307.33</v>
      </c>
      <c r="AM462" s="621"/>
      <c r="AN462" s="1275"/>
      <c r="AO462" s="1285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">
      <c r="A463" s="532" t="str">
        <f t="shared" si="40"/>
        <v>Réparation équipement</v>
      </c>
      <c r="B463" s="754" t="s">
        <v>237</v>
      </c>
      <c r="C463" s="618"/>
      <c r="D463" s="1277"/>
      <c r="E463" s="1262">
        <f t="shared" si="43"/>
        <v>4362.8999999999996</v>
      </c>
      <c r="F463" s="618"/>
      <c r="G463" s="1277"/>
      <c r="H463" s="1302">
        <v>400</v>
      </c>
      <c r="I463" s="618"/>
      <c r="J463" s="1277"/>
      <c r="K463" s="1302">
        <v>400</v>
      </c>
      <c r="L463" s="618"/>
      <c r="M463" s="1277"/>
      <c r="N463" s="1302">
        <v>400</v>
      </c>
      <c r="O463" s="618"/>
      <c r="P463" s="1277"/>
      <c r="Q463" s="1302">
        <v>2791.9</v>
      </c>
      <c r="R463" s="618"/>
      <c r="S463" s="1277"/>
      <c r="T463" s="1302">
        <v>400</v>
      </c>
      <c r="U463" s="618"/>
      <c r="V463" s="1277"/>
      <c r="W463" s="1302">
        <v>400</v>
      </c>
      <c r="X463" s="618"/>
      <c r="Y463" s="1277"/>
      <c r="Z463" s="1302">
        <v>400</v>
      </c>
      <c r="AA463" s="618"/>
      <c r="AB463" s="1277"/>
      <c r="AC463" s="1302">
        <v>400</v>
      </c>
      <c r="AD463" s="618"/>
      <c r="AE463" s="1277"/>
      <c r="AF463" s="1302">
        <v>0</v>
      </c>
      <c r="AG463" s="618"/>
      <c r="AH463" s="1277"/>
      <c r="AI463" s="1302">
        <v>-1600</v>
      </c>
      <c r="AJ463" s="618"/>
      <c r="AK463" s="1277"/>
      <c r="AL463" s="1302">
        <v>0</v>
      </c>
      <c r="AM463" s="618"/>
      <c r="AN463" s="1277"/>
      <c r="AO463" s="1302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">
      <c r="A464" s="532" t="str">
        <f t="shared" si="40"/>
        <v>Location équipement</v>
      </c>
      <c r="B464" s="753" t="s">
        <v>239</v>
      </c>
      <c r="C464" s="621"/>
      <c r="D464" s="1275"/>
      <c r="E464" s="1273">
        <f t="shared" si="43"/>
        <v>3210.8999999999992</v>
      </c>
      <c r="F464" s="621"/>
      <c r="G464" s="1275"/>
      <c r="H464" s="1285">
        <v>173.96</v>
      </c>
      <c r="I464" s="621"/>
      <c r="J464" s="1275"/>
      <c r="K464" s="1285">
        <v>383.86</v>
      </c>
      <c r="L464" s="621"/>
      <c r="M464" s="1275"/>
      <c r="N464" s="1285">
        <v>173.96</v>
      </c>
      <c r="O464" s="621"/>
      <c r="P464" s="1275"/>
      <c r="Q464" s="1285">
        <v>173.96</v>
      </c>
      <c r="R464" s="621"/>
      <c r="S464" s="1275"/>
      <c r="T464" s="1285">
        <v>218.95999999999901</v>
      </c>
      <c r="U464" s="621"/>
      <c r="V464" s="1275"/>
      <c r="W464" s="1285">
        <v>221.18</v>
      </c>
      <c r="X464" s="621"/>
      <c r="Y464" s="1275"/>
      <c r="Z464" s="1285">
        <v>164</v>
      </c>
      <c r="AA464" s="621"/>
      <c r="AB464" s="1275"/>
      <c r="AC464" s="1285">
        <v>164</v>
      </c>
      <c r="AD464" s="621"/>
      <c r="AE464" s="1275"/>
      <c r="AF464" s="1285">
        <v>164</v>
      </c>
      <c r="AG464" s="621"/>
      <c r="AH464" s="1275"/>
      <c r="AI464" s="1285">
        <v>164</v>
      </c>
      <c r="AJ464" s="621"/>
      <c r="AK464" s="1275"/>
      <c r="AL464" s="1285">
        <v>863.42</v>
      </c>
      <c r="AM464" s="621"/>
      <c r="AN464" s="1275"/>
      <c r="AO464" s="1285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">
      <c r="A465" s="532" t="str">
        <f t="shared" si="40"/>
        <v>Dons</v>
      </c>
      <c r="B465" s="753" t="s">
        <v>241</v>
      </c>
      <c r="C465" s="621"/>
      <c r="D465" s="1275"/>
      <c r="E465" s="1273">
        <f t="shared" si="43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5" hidden="1" customHeight="1">
      <c r="A466" s="532" t="str">
        <f t="shared" si="40"/>
        <v>[...]</v>
      </c>
      <c r="B466" s="753" t="s">
        <v>42</v>
      </c>
      <c r="C466" s="621"/>
      <c r="D466" s="1275"/>
      <c r="E466" s="1273">
        <f t="shared" si="43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>
        <v>0</v>
      </c>
      <c r="AG466" s="621"/>
      <c r="AH466" s="1275"/>
      <c r="AI466" s="1273">
        <v>0</v>
      </c>
      <c r="AJ466" s="621"/>
      <c r="AK466" s="1275"/>
      <c r="AL466" s="1273">
        <v>0</v>
      </c>
      <c r="AM466" s="621"/>
      <c r="AN466" s="1275"/>
      <c r="AO466" s="1273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5" hidden="1" customHeight="1">
      <c r="A467" s="532" t="str">
        <f t="shared" si="40"/>
        <v>[...]</v>
      </c>
      <c r="B467" s="753" t="s">
        <v>42</v>
      </c>
      <c r="C467" s="621"/>
      <c r="D467" s="1275"/>
      <c r="E467" s="1273">
        <f t="shared" si="43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>
        <v>0</v>
      </c>
      <c r="AG467" s="621"/>
      <c r="AH467" s="1275"/>
      <c r="AI467" s="1273">
        <v>0</v>
      </c>
      <c r="AJ467" s="621"/>
      <c r="AK467" s="1275"/>
      <c r="AL467" s="1273">
        <v>0</v>
      </c>
      <c r="AM467" s="621"/>
      <c r="AN467" s="1275"/>
      <c r="AO467" s="1273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5" hidden="1" customHeight="1">
      <c r="A468" s="532" t="str">
        <f t="shared" si="40"/>
        <v>[...]</v>
      </c>
      <c r="B468" s="753" t="s">
        <v>42</v>
      </c>
      <c r="C468" s="621"/>
      <c r="D468" s="1275"/>
      <c r="E468" s="1273">
        <f t="shared" si="43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>
        <v>0</v>
      </c>
      <c r="AG468" s="621"/>
      <c r="AH468" s="1275"/>
      <c r="AI468" s="1273">
        <v>0</v>
      </c>
      <c r="AJ468" s="621"/>
      <c r="AK468" s="1275"/>
      <c r="AL468" s="1273">
        <v>0</v>
      </c>
      <c r="AM468" s="621"/>
      <c r="AN468" s="1275"/>
      <c r="AO468" s="1273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">
      <c r="A469" s="532" t="str">
        <f t="shared" si="40"/>
        <v>TOTAL DÉPENSES FIXES</v>
      </c>
      <c r="B469" s="1278" t="s">
        <v>243</v>
      </c>
      <c r="C469" s="1279">
        <f>IFERROR(E469/E410,0)</f>
        <v>0.18511507347575643</v>
      </c>
      <c r="D469" s="1280"/>
      <c r="E469" s="1281">
        <f>SUM(E456:E468)</f>
        <v>894594.94000000006</v>
      </c>
      <c r="F469" s="1282"/>
      <c r="G469" s="1283"/>
      <c r="H469" s="1284">
        <v>75642.950000000012</v>
      </c>
      <c r="I469" s="1282"/>
      <c r="J469" s="1283"/>
      <c r="K469" s="1284">
        <v>76119.27</v>
      </c>
      <c r="L469" s="1282"/>
      <c r="M469" s="1283"/>
      <c r="N469" s="1284">
        <v>78404.510000000009</v>
      </c>
      <c r="O469" s="1282"/>
      <c r="P469" s="1283"/>
      <c r="Q469" s="1284">
        <v>79386.13</v>
      </c>
      <c r="R469" s="1282"/>
      <c r="S469" s="1283"/>
      <c r="T469" s="1284">
        <v>75999.72</v>
      </c>
      <c r="U469" s="1282"/>
      <c r="V469" s="1283"/>
      <c r="W469" s="1284">
        <v>75951.14</v>
      </c>
      <c r="X469" s="1282"/>
      <c r="Y469" s="1283"/>
      <c r="Z469" s="1284">
        <v>75629.710000000006</v>
      </c>
      <c r="AA469" s="1282"/>
      <c r="AB469" s="1283"/>
      <c r="AC469" s="1284">
        <v>76041.329999999987</v>
      </c>
      <c r="AD469" s="1282">
        <v>0.23579409383959182</v>
      </c>
      <c r="AE469" s="1283"/>
      <c r="AF469" s="1284">
        <v>75129.240000000005</v>
      </c>
      <c r="AG469" s="1282">
        <v>0.16580500565696327</v>
      </c>
      <c r="AH469" s="1283"/>
      <c r="AI469" s="1284">
        <v>72695.87000000001</v>
      </c>
      <c r="AJ469" s="1282">
        <v>0.18235633188148126</v>
      </c>
      <c r="AK469" s="1283"/>
      <c r="AL469" s="1284">
        <v>78103.02</v>
      </c>
      <c r="AM469" s="1282">
        <v>0.26951850978332065</v>
      </c>
      <c r="AN469" s="1283"/>
      <c r="AO469" s="1284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">
      <c r="A470" s="532">
        <f t="shared" si="40"/>
        <v>0</v>
      </c>
      <c r="B470" s="756"/>
      <c r="C470" s="621"/>
      <c r="D470" s="1272"/>
      <c r="E470" s="1303"/>
      <c r="F470" s="1304"/>
      <c r="G470" s="1305"/>
      <c r="H470" s="1306"/>
      <c r="I470" s="1304"/>
      <c r="J470" s="1305"/>
      <c r="K470" s="1306"/>
      <c r="L470" s="1304"/>
      <c r="M470" s="1305"/>
      <c r="N470" s="1306"/>
      <c r="O470" s="1304"/>
      <c r="P470" s="1305"/>
      <c r="Q470" s="1306"/>
      <c r="R470" s="1304"/>
      <c r="S470" s="1305"/>
      <c r="T470" s="1306"/>
      <c r="U470" s="1304"/>
      <c r="V470" s="1305"/>
      <c r="W470" s="1306"/>
      <c r="X470" s="1304"/>
      <c r="Y470" s="1305"/>
      <c r="Z470" s="1306"/>
      <c r="AA470" s="1304"/>
      <c r="AB470" s="1305"/>
      <c r="AC470" s="1306"/>
      <c r="AD470" s="1304"/>
      <c r="AE470" s="1305"/>
      <c r="AF470" s="1306"/>
      <c r="AG470" s="1304"/>
      <c r="AH470" s="1305"/>
      <c r="AI470" s="1306"/>
      <c r="AJ470" s="1304"/>
      <c r="AK470" s="1305"/>
      <c r="AL470" s="1306"/>
      <c r="AM470" s="1304"/>
      <c r="AN470" s="1305"/>
      <c r="AO470" s="1306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">
      <c r="A471" s="532" t="str">
        <f t="shared" si="40"/>
        <v>TOTAL DES DÉPENSES</v>
      </c>
      <c r="B471" s="1278" t="s">
        <v>133</v>
      </c>
      <c r="C471" s="1279">
        <f>IFERROR(E471/E410,0)</f>
        <v>1.0765785971170774</v>
      </c>
      <c r="D471" s="1280"/>
      <c r="E471" s="1281">
        <f>E422+E436+E455+E469</f>
        <v>5202719.3</v>
      </c>
      <c r="F471" s="1282"/>
      <c r="G471" s="1283"/>
      <c r="H471" s="1284">
        <v>409002.25</v>
      </c>
      <c r="I471" s="1282"/>
      <c r="J471" s="1283"/>
      <c r="K471" s="1284">
        <v>383547.66</v>
      </c>
      <c r="L471" s="1282"/>
      <c r="M471" s="1283"/>
      <c r="N471" s="1284">
        <v>444513.95999999897</v>
      </c>
      <c r="O471" s="1282"/>
      <c r="P471" s="1283"/>
      <c r="Q471" s="1284">
        <v>512390.52999999898</v>
      </c>
      <c r="R471" s="1282"/>
      <c r="S471" s="1283"/>
      <c r="T471" s="1284">
        <v>533542.27</v>
      </c>
      <c r="U471" s="1282"/>
      <c r="V471" s="1283"/>
      <c r="W471" s="1284">
        <v>471490.81</v>
      </c>
      <c r="X471" s="1282"/>
      <c r="Y471" s="1283"/>
      <c r="Z471" s="1284">
        <v>449489.06</v>
      </c>
      <c r="AA471" s="1282"/>
      <c r="AB471" s="1283"/>
      <c r="AC471" s="1284">
        <v>416168.53</v>
      </c>
      <c r="AD471" s="1282">
        <v>1.2092898853918637</v>
      </c>
      <c r="AE471" s="1283"/>
      <c r="AF471" s="1284">
        <v>385306.64</v>
      </c>
      <c r="AG471" s="1282">
        <v>1.0146436033322086</v>
      </c>
      <c r="AH471" s="1283"/>
      <c r="AI471" s="1284">
        <v>444862.32000000007</v>
      </c>
      <c r="AJ471" s="1282">
        <v>1.013232814128973</v>
      </c>
      <c r="AK471" s="1283"/>
      <c r="AL471" s="1284">
        <v>433966.52</v>
      </c>
      <c r="AM471" s="1282">
        <v>1.5466204142262434</v>
      </c>
      <c r="AN471" s="1283"/>
      <c r="AO471" s="1284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3" t="s">
        <v>244</v>
      </c>
      <c r="C472" s="1307"/>
      <c r="D472" s="1308"/>
      <c r="E472" s="1309">
        <f t="shared" ref="E472:E483" si="44">+SUM(H472,K472,N472,Q472,T472,W472,Z472,AC472,AF472,AI472,AL472,AO472)</f>
        <v>20402.569999999992</v>
      </c>
      <c r="F472" s="1307"/>
      <c r="G472" s="1308"/>
      <c r="H472" s="1297">
        <v>374.18</v>
      </c>
      <c r="I472" s="1307"/>
      <c r="J472" s="1308"/>
      <c r="K472" s="1297">
        <v>4442.01</v>
      </c>
      <c r="L472" s="1307"/>
      <c r="M472" s="1308"/>
      <c r="N472" s="1297">
        <v>-1.9</v>
      </c>
      <c r="O472" s="1307"/>
      <c r="P472" s="1308"/>
      <c r="Q472" s="1297">
        <v>-3.14</v>
      </c>
      <c r="R472" s="1307"/>
      <c r="S472" s="1308"/>
      <c r="T472" s="1297">
        <v>1753.9399999999998</v>
      </c>
      <c r="U472" s="1307"/>
      <c r="V472" s="1308"/>
      <c r="W472" s="1297">
        <v>1033.1599999999901</v>
      </c>
      <c r="X472" s="1307"/>
      <c r="Y472" s="1308"/>
      <c r="Z472" s="1297">
        <v>-19.98</v>
      </c>
      <c r="AA472" s="1307"/>
      <c r="AB472" s="1308"/>
      <c r="AC472" s="1297">
        <v>9960.7999999999993</v>
      </c>
      <c r="AD472" s="1307"/>
      <c r="AE472" s="1308"/>
      <c r="AF472" s="1297">
        <v>1777.17</v>
      </c>
      <c r="AG472" s="1307"/>
      <c r="AH472" s="1308"/>
      <c r="AI472" s="1297">
        <v>0.66</v>
      </c>
      <c r="AJ472" s="1307"/>
      <c r="AK472" s="1308"/>
      <c r="AL472" s="1297">
        <v>1085.52</v>
      </c>
      <c r="AM472" s="1307"/>
      <c r="AN472" s="1308"/>
      <c r="AO472" s="1297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3" t="s">
        <v>136</v>
      </c>
      <c r="C473" s="1310"/>
      <c r="D473" s="1311"/>
      <c r="E473" s="1273">
        <f t="shared" si="44"/>
        <v>449866.2</v>
      </c>
      <c r="F473" s="1310"/>
      <c r="G473" s="1311"/>
      <c r="H473" s="1273">
        <v>26726.6</v>
      </c>
      <c r="I473" s="1310"/>
      <c r="J473" s="1311"/>
      <c r="K473" s="1273">
        <v>13544</v>
      </c>
      <c r="L473" s="1310"/>
      <c r="M473" s="1311"/>
      <c r="N473" s="1273">
        <v>42592.800000000003</v>
      </c>
      <c r="O473" s="1310"/>
      <c r="P473" s="1311"/>
      <c r="Q473" s="1273">
        <v>52973</v>
      </c>
      <c r="R473" s="1310"/>
      <c r="S473" s="1311"/>
      <c r="T473" s="1273">
        <v>76338.399999999994</v>
      </c>
      <c r="U473" s="1310"/>
      <c r="V473" s="1311"/>
      <c r="W473" s="1273">
        <v>30943.4</v>
      </c>
      <c r="X473" s="1310"/>
      <c r="Y473" s="1311"/>
      <c r="Z473" s="1273">
        <v>29948.799999999999</v>
      </c>
      <c r="AA473" s="1310"/>
      <c r="AB473" s="1311"/>
      <c r="AC473" s="1273">
        <v>33389.4</v>
      </c>
      <c r="AD473" s="1310"/>
      <c r="AE473" s="1311"/>
      <c r="AF473" s="1273">
        <v>19545</v>
      </c>
      <c r="AG473" s="1310"/>
      <c r="AH473" s="1311"/>
      <c r="AI473" s="1273">
        <v>60122.8</v>
      </c>
      <c r="AJ473" s="1310"/>
      <c r="AK473" s="1311"/>
      <c r="AL473" s="1273">
        <v>31024</v>
      </c>
      <c r="AM473" s="1310"/>
      <c r="AN473" s="1311"/>
      <c r="AO473" s="1273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3" t="s">
        <v>393</v>
      </c>
      <c r="C474" s="1310"/>
      <c r="D474" s="1311"/>
      <c r="E474" s="1273">
        <f t="shared" si="44"/>
        <v>400729.24000000005</v>
      </c>
      <c r="F474" s="1310"/>
      <c r="G474" s="1311"/>
      <c r="H474" s="1273">
        <v>35649.629999999997</v>
      </c>
      <c r="I474" s="1310"/>
      <c r="J474" s="1311"/>
      <c r="K474" s="1273">
        <v>12930.84</v>
      </c>
      <c r="L474" s="1310"/>
      <c r="M474" s="1311"/>
      <c r="N474" s="1273">
        <v>68181.320000000007</v>
      </c>
      <c r="O474" s="1310"/>
      <c r="P474" s="1311"/>
      <c r="Q474" s="1273">
        <v>43701.85</v>
      </c>
      <c r="R474" s="1310"/>
      <c r="S474" s="1311"/>
      <c r="T474" s="1273">
        <v>64585.66</v>
      </c>
      <c r="U474" s="1310"/>
      <c r="V474" s="1311"/>
      <c r="W474" s="1273">
        <v>38986.85</v>
      </c>
      <c r="X474" s="1310"/>
      <c r="Y474" s="1311"/>
      <c r="Z474" s="1273">
        <v>21262.21</v>
      </c>
      <c r="AA474" s="1310"/>
      <c r="AB474" s="1311"/>
      <c r="AC474" s="1273">
        <v>26024.46</v>
      </c>
      <c r="AD474" s="1310"/>
      <c r="AE474" s="1311"/>
      <c r="AF474" s="1273">
        <v>28695.24</v>
      </c>
      <c r="AG474" s="1310"/>
      <c r="AH474" s="1311"/>
      <c r="AI474" s="1273">
        <v>28703.58</v>
      </c>
      <c r="AJ474" s="1310"/>
      <c r="AK474" s="1311"/>
      <c r="AL474" s="1273">
        <v>11409.6</v>
      </c>
      <c r="AM474" s="1310"/>
      <c r="AN474" s="1311"/>
      <c r="AO474" s="1273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3" t="s">
        <v>134</v>
      </c>
      <c r="C475" s="1310"/>
      <c r="D475" s="1311"/>
      <c r="E475" s="1273">
        <f t="shared" si="44"/>
        <v>0</v>
      </c>
      <c r="F475" s="1310"/>
      <c r="G475" s="1311"/>
      <c r="H475" s="1273">
        <v>0</v>
      </c>
      <c r="I475" s="1310"/>
      <c r="J475" s="1311"/>
      <c r="K475" s="1273">
        <v>0</v>
      </c>
      <c r="L475" s="1310"/>
      <c r="M475" s="1311"/>
      <c r="N475" s="1273">
        <v>0</v>
      </c>
      <c r="O475" s="1310"/>
      <c r="P475" s="1311"/>
      <c r="Q475" s="1273">
        <v>0</v>
      </c>
      <c r="R475" s="1310"/>
      <c r="S475" s="1311"/>
      <c r="T475" s="1273">
        <v>0</v>
      </c>
      <c r="U475" s="1310"/>
      <c r="V475" s="1311"/>
      <c r="W475" s="1273">
        <v>0</v>
      </c>
      <c r="X475" s="1310"/>
      <c r="Y475" s="1311"/>
      <c r="Z475" s="1273">
        <v>0</v>
      </c>
      <c r="AA475" s="1310"/>
      <c r="AB475" s="1311"/>
      <c r="AC475" s="1273">
        <v>0</v>
      </c>
      <c r="AD475" s="1310"/>
      <c r="AE475" s="1311"/>
      <c r="AF475" s="1273">
        <v>0</v>
      </c>
      <c r="AG475" s="1310"/>
      <c r="AH475" s="1311"/>
      <c r="AI475" s="1273">
        <v>0</v>
      </c>
      <c r="AJ475" s="1310"/>
      <c r="AK475" s="1311"/>
      <c r="AL475" s="1273">
        <v>0</v>
      </c>
      <c r="AM475" s="1310"/>
      <c r="AN475" s="1311"/>
      <c r="AO475" s="1273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3" t="s">
        <v>135</v>
      </c>
      <c r="C476" s="1310"/>
      <c r="D476" s="1311"/>
      <c r="E476" s="1273">
        <f t="shared" si="44"/>
        <v>0</v>
      </c>
      <c r="F476" s="1310"/>
      <c r="G476" s="1311"/>
      <c r="H476" s="1273">
        <v>0</v>
      </c>
      <c r="I476" s="1310"/>
      <c r="J476" s="1311"/>
      <c r="K476" s="1273">
        <v>0</v>
      </c>
      <c r="L476" s="1310"/>
      <c r="M476" s="1311"/>
      <c r="N476" s="1273">
        <v>0</v>
      </c>
      <c r="O476" s="1310"/>
      <c r="P476" s="1311"/>
      <c r="Q476" s="1273">
        <v>0</v>
      </c>
      <c r="R476" s="1310"/>
      <c r="S476" s="1311"/>
      <c r="T476" s="1273">
        <v>0</v>
      </c>
      <c r="U476" s="1310"/>
      <c r="V476" s="1311"/>
      <c r="W476" s="1273">
        <v>0</v>
      </c>
      <c r="X476" s="1310"/>
      <c r="Y476" s="1311"/>
      <c r="Z476" s="1273">
        <v>0</v>
      </c>
      <c r="AA476" s="1310"/>
      <c r="AB476" s="1311"/>
      <c r="AC476" s="1273">
        <v>0</v>
      </c>
      <c r="AD476" s="1310"/>
      <c r="AE476" s="1311"/>
      <c r="AF476" s="1273">
        <v>0</v>
      </c>
      <c r="AG476" s="1310"/>
      <c r="AH476" s="1311"/>
      <c r="AI476" s="1273">
        <v>0</v>
      </c>
      <c r="AJ476" s="1310"/>
      <c r="AK476" s="1311"/>
      <c r="AL476" s="1273">
        <v>0</v>
      </c>
      <c r="AM476" s="1310"/>
      <c r="AN476" s="1311"/>
      <c r="AO476" s="1273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3" t="s">
        <v>394</v>
      </c>
      <c r="C477" s="1310"/>
      <c r="D477" s="1311"/>
      <c r="E477" s="1273">
        <f t="shared" si="44"/>
        <v>14775</v>
      </c>
      <c r="F477" s="1310"/>
      <c r="G477" s="1311"/>
      <c r="H477" s="1273">
        <v>1500</v>
      </c>
      <c r="I477" s="1310"/>
      <c r="J477" s="1311"/>
      <c r="K477" s="1273">
        <v>1000</v>
      </c>
      <c r="L477" s="1310"/>
      <c r="M477" s="1311"/>
      <c r="N477" s="1273">
        <v>0</v>
      </c>
      <c r="O477" s="1310"/>
      <c r="P477" s="1311"/>
      <c r="Q477" s="1273">
        <v>3000</v>
      </c>
      <c r="R477" s="1310"/>
      <c r="S477" s="1311"/>
      <c r="T477" s="1273">
        <v>0</v>
      </c>
      <c r="U477" s="1310"/>
      <c r="V477" s="1311"/>
      <c r="W477" s="1273">
        <v>1400</v>
      </c>
      <c r="X477" s="1310"/>
      <c r="Y477" s="1311"/>
      <c r="Z477" s="1273">
        <v>5625</v>
      </c>
      <c r="AA477" s="1310"/>
      <c r="AB477" s="1311"/>
      <c r="AC477" s="1273">
        <v>0</v>
      </c>
      <c r="AD477" s="1310"/>
      <c r="AE477" s="1311"/>
      <c r="AF477" s="1273">
        <v>0</v>
      </c>
      <c r="AG477" s="1310"/>
      <c r="AH477" s="1311"/>
      <c r="AI477" s="1273">
        <v>0</v>
      </c>
      <c r="AJ477" s="1310"/>
      <c r="AK477" s="1311"/>
      <c r="AL477" s="1273">
        <v>2250</v>
      </c>
      <c r="AM477" s="1310"/>
      <c r="AN477" s="1311"/>
      <c r="AO477" s="1273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3" t="s">
        <v>395</v>
      </c>
      <c r="C478" s="1310"/>
      <c r="D478" s="1311"/>
      <c r="E478" s="1273">
        <f t="shared" si="44"/>
        <v>875</v>
      </c>
      <c r="F478" s="1310"/>
      <c r="G478" s="1311"/>
      <c r="H478" s="1273">
        <v>0</v>
      </c>
      <c r="I478" s="1310"/>
      <c r="J478" s="1311"/>
      <c r="K478" s="1273">
        <v>825</v>
      </c>
      <c r="L478" s="1310"/>
      <c r="M478" s="1311"/>
      <c r="N478" s="1273">
        <v>2000</v>
      </c>
      <c r="O478" s="1310"/>
      <c r="P478" s="1311"/>
      <c r="Q478" s="1273">
        <v>-2050</v>
      </c>
      <c r="R478" s="1310"/>
      <c r="S478" s="1311"/>
      <c r="T478" s="1273">
        <v>0</v>
      </c>
      <c r="U478" s="1310"/>
      <c r="V478" s="1311"/>
      <c r="W478" s="1273">
        <v>0</v>
      </c>
      <c r="X478" s="1310"/>
      <c r="Y478" s="1311"/>
      <c r="Z478" s="1273">
        <v>0</v>
      </c>
      <c r="AA478" s="1310"/>
      <c r="AB478" s="1311"/>
      <c r="AC478" s="1273">
        <v>0</v>
      </c>
      <c r="AD478" s="1310"/>
      <c r="AE478" s="1311"/>
      <c r="AF478" s="1273">
        <v>100</v>
      </c>
      <c r="AG478" s="1310"/>
      <c r="AH478" s="1311"/>
      <c r="AI478" s="1273">
        <v>0</v>
      </c>
      <c r="AJ478" s="1310"/>
      <c r="AK478" s="1311"/>
      <c r="AL478" s="1273">
        <v>0</v>
      </c>
      <c r="AM478" s="1310"/>
      <c r="AN478" s="1311"/>
      <c r="AO478" s="1273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3" t="s">
        <v>146</v>
      </c>
      <c r="C479" s="1310"/>
      <c r="D479" s="1311"/>
      <c r="E479" s="1273">
        <f t="shared" si="44"/>
        <v>0</v>
      </c>
      <c r="F479" s="1310"/>
      <c r="G479" s="1311"/>
      <c r="H479" s="1273">
        <v>0</v>
      </c>
      <c r="I479" s="1310"/>
      <c r="J479" s="1311"/>
      <c r="K479" s="1273">
        <v>0</v>
      </c>
      <c r="L479" s="1310"/>
      <c r="M479" s="1311"/>
      <c r="N479" s="1273">
        <v>0</v>
      </c>
      <c r="O479" s="1310"/>
      <c r="P479" s="1311"/>
      <c r="Q479" s="1273">
        <v>0</v>
      </c>
      <c r="R479" s="1310"/>
      <c r="S479" s="1311"/>
      <c r="T479" s="1273">
        <v>0</v>
      </c>
      <c r="U479" s="1310"/>
      <c r="V479" s="1311"/>
      <c r="W479" s="1273">
        <v>0</v>
      </c>
      <c r="X479" s="1310"/>
      <c r="Y479" s="1311"/>
      <c r="Z479" s="1273">
        <v>0</v>
      </c>
      <c r="AA479" s="1310"/>
      <c r="AB479" s="1311"/>
      <c r="AC479" s="1273">
        <v>0</v>
      </c>
      <c r="AD479" s="1310"/>
      <c r="AE479" s="1311"/>
      <c r="AF479" s="1273">
        <v>0</v>
      </c>
      <c r="AG479" s="1310"/>
      <c r="AH479" s="1311"/>
      <c r="AI479" s="1273">
        <v>0</v>
      </c>
      <c r="AJ479" s="1310"/>
      <c r="AK479" s="1311"/>
      <c r="AL479" s="1273">
        <v>0</v>
      </c>
      <c r="AM479" s="1310"/>
      <c r="AN479" s="1311"/>
      <c r="AO479" s="1273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8" t="s">
        <v>396</v>
      </c>
      <c r="C480" s="1310"/>
      <c r="D480" s="1311"/>
      <c r="E480" s="1273">
        <f t="shared" si="44"/>
        <v>245871.14</v>
      </c>
      <c r="F480" s="1310"/>
      <c r="G480" s="1311"/>
      <c r="H480" s="1273">
        <v>16714.39</v>
      </c>
      <c r="I480" s="1310"/>
      <c r="J480" s="1311"/>
      <c r="K480" s="1273">
        <v>17207.54</v>
      </c>
      <c r="L480" s="1310"/>
      <c r="M480" s="1311"/>
      <c r="N480" s="1273">
        <v>30033.08</v>
      </c>
      <c r="O480" s="1310"/>
      <c r="P480" s="1311"/>
      <c r="Q480" s="1273">
        <v>25984.97</v>
      </c>
      <c r="R480" s="1310"/>
      <c r="S480" s="1311"/>
      <c r="T480" s="1273">
        <v>37391.64</v>
      </c>
      <c r="U480" s="1310"/>
      <c r="V480" s="1311"/>
      <c r="W480" s="1273">
        <v>19152.21</v>
      </c>
      <c r="X480" s="1310"/>
      <c r="Y480" s="1311"/>
      <c r="Z480" s="1273">
        <v>17324.45</v>
      </c>
      <c r="AA480" s="1310"/>
      <c r="AB480" s="1311"/>
      <c r="AC480" s="1273">
        <v>21204.92</v>
      </c>
      <c r="AD480" s="1310"/>
      <c r="AE480" s="1311"/>
      <c r="AF480" s="1273">
        <v>15393.29</v>
      </c>
      <c r="AG480" s="1310"/>
      <c r="AH480" s="1311"/>
      <c r="AI480" s="1273">
        <v>25259.85</v>
      </c>
      <c r="AJ480" s="1310"/>
      <c r="AK480" s="1311"/>
      <c r="AL480" s="1273">
        <v>10040.799999999999</v>
      </c>
      <c r="AM480" s="1310"/>
      <c r="AN480" s="1311"/>
      <c r="AO480" s="1273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8" t="s">
        <v>42</v>
      </c>
      <c r="C481" s="1310"/>
      <c r="D481" s="1311"/>
      <c r="E481" s="1273">
        <f t="shared" si="44"/>
        <v>0</v>
      </c>
      <c r="F481" s="1310"/>
      <c r="G481" s="1311"/>
      <c r="H481" s="1273"/>
      <c r="I481" s="1310"/>
      <c r="J481" s="1311"/>
      <c r="K481" s="1273"/>
      <c r="L481" s="1310"/>
      <c r="M481" s="1311"/>
      <c r="N481" s="1273"/>
      <c r="O481" s="1310"/>
      <c r="P481" s="1311"/>
      <c r="Q481" s="1273"/>
      <c r="R481" s="1310"/>
      <c r="S481" s="1311"/>
      <c r="T481" s="1273"/>
      <c r="U481" s="1310"/>
      <c r="V481" s="1311"/>
      <c r="W481" s="1273"/>
      <c r="X481" s="1310"/>
      <c r="Y481" s="1311"/>
      <c r="Z481" s="1273"/>
      <c r="AA481" s="1310"/>
      <c r="AB481" s="1311"/>
      <c r="AC481" s="1273"/>
      <c r="AD481" s="1310"/>
      <c r="AE481" s="1311"/>
      <c r="AF481" s="1273">
        <v>0</v>
      </c>
      <c r="AG481" s="1310"/>
      <c r="AH481" s="1311"/>
      <c r="AI481" s="1273">
        <v>0</v>
      </c>
      <c r="AJ481" s="1310"/>
      <c r="AK481" s="1311"/>
      <c r="AL481" s="1273">
        <v>0</v>
      </c>
      <c r="AM481" s="1310"/>
      <c r="AN481" s="1311"/>
      <c r="AO481" s="1273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8" t="s">
        <v>42</v>
      </c>
      <c r="C482" s="1310"/>
      <c r="D482" s="1311"/>
      <c r="E482" s="1273">
        <f t="shared" si="44"/>
        <v>0</v>
      </c>
      <c r="F482" s="1310"/>
      <c r="G482" s="1311"/>
      <c r="H482" s="1273"/>
      <c r="I482" s="1310"/>
      <c r="J482" s="1311"/>
      <c r="K482" s="1273"/>
      <c r="L482" s="1310"/>
      <c r="M482" s="1311"/>
      <c r="N482" s="1273"/>
      <c r="O482" s="1310"/>
      <c r="P482" s="1311"/>
      <c r="Q482" s="1273"/>
      <c r="R482" s="1310"/>
      <c r="S482" s="1311"/>
      <c r="T482" s="1273"/>
      <c r="U482" s="1310"/>
      <c r="V482" s="1311"/>
      <c r="W482" s="1273"/>
      <c r="X482" s="1310"/>
      <c r="Y482" s="1311"/>
      <c r="Z482" s="1273"/>
      <c r="AA482" s="1310"/>
      <c r="AB482" s="1311"/>
      <c r="AC482" s="1273"/>
      <c r="AD482" s="1310"/>
      <c r="AE482" s="1311"/>
      <c r="AF482" s="1273">
        <v>0</v>
      </c>
      <c r="AG482" s="1310"/>
      <c r="AH482" s="1311"/>
      <c r="AI482" s="1273">
        <v>0</v>
      </c>
      <c r="AJ482" s="1310"/>
      <c r="AK482" s="1311"/>
      <c r="AL482" s="1273">
        <v>0</v>
      </c>
      <c r="AM482" s="1310"/>
      <c r="AN482" s="1311"/>
      <c r="AO482" s="1273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4" t="s">
        <v>137</v>
      </c>
      <c r="C483" s="1312"/>
      <c r="D483" s="1311"/>
      <c r="E483" s="1273">
        <f t="shared" si="44"/>
        <v>244545</v>
      </c>
      <c r="F483" s="1312"/>
      <c r="G483" s="1311"/>
      <c r="H483" s="1273">
        <v>13090</v>
      </c>
      <c r="I483" s="1312"/>
      <c r="J483" s="1311"/>
      <c r="K483" s="1273">
        <v>11305</v>
      </c>
      <c r="L483" s="1312"/>
      <c r="M483" s="1311"/>
      <c r="N483" s="1273">
        <v>25585</v>
      </c>
      <c r="O483" s="1312"/>
      <c r="P483" s="1311"/>
      <c r="Q483" s="1273">
        <v>29750</v>
      </c>
      <c r="R483" s="1312"/>
      <c r="S483" s="1311"/>
      <c r="T483" s="1273">
        <v>34510</v>
      </c>
      <c r="U483" s="1312"/>
      <c r="V483" s="1311"/>
      <c r="W483" s="1273">
        <v>26180</v>
      </c>
      <c r="X483" s="1312"/>
      <c r="Y483" s="1311"/>
      <c r="Z483" s="1273">
        <v>18445</v>
      </c>
      <c r="AA483" s="1312"/>
      <c r="AB483" s="1311"/>
      <c r="AC483" s="1273">
        <v>22610</v>
      </c>
      <c r="AD483" s="1312"/>
      <c r="AE483" s="1311"/>
      <c r="AF483" s="1273">
        <v>15470</v>
      </c>
      <c r="AG483" s="1312"/>
      <c r="AH483" s="1311"/>
      <c r="AI483" s="1273">
        <v>24990</v>
      </c>
      <c r="AJ483" s="1312"/>
      <c r="AK483" s="1311"/>
      <c r="AL483" s="1273">
        <v>15470</v>
      </c>
      <c r="AM483" s="1312"/>
      <c r="AN483" s="1311"/>
      <c r="AO483" s="1273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">
      <c r="A484" s="532" t="str">
        <f t="shared" si="45"/>
        <v>TOTAL AUTRES REVENUS</v>
      </c>
      <c r="B484" s="1278" t="s">
        <v>245</v>
      </c>
      <c r="C484" s="1279">
        <f>IFERROR(E484/+E410,0)</f>
        <v>0.28495056243899619</v>
      </c>
      <c r="D484" s="1313"/>
      <c r="E484" s="1281">
        <f>SUM(E472:E483)</f>
        <v>1377064.15</v>
      </c>
      <c r="F484" s="1282"/>
      <c r="G484" s="1314"/>
      <c r="H484" s="1284">
        <v>94054.799999999988</v>
      </c>
      <c r="I484" s="1282"/>
      <c r="J484" s="1314"/>
      <c r="K484" s="1284">
        <v>61254.39</v>
      </c>
      <c r="L484" s="1282"/>
      <c r="M484" s="1314"/>
      <c r="N484" s="1284">
        <v>168390.3</v>
      </c>
      <c r="O484" s="1282"/>
      <c r="P484" s="1314"/>
      <c r="Q484" s="1284">
        <v>153356.68</v>
      </c>
      <c r="R484" s="1282"/>
      <c r="S484" s="1314"/>
      <c r="T484" s="1284">
        <v>214579.64</v>
      </c>
      <c r="U484" s="1282"/>
      <c r="V484" s="1314"/>
      <c r="W484" s="1284">
        <v>117695.62</v>
      </c>
      <c r="X484" s="1282"/>
      <c r="Y484" s="1314"/>
      <c r="Z484" s="1284">
        <v>92585.48</v>
      </c>
      <c r="AA484" s="1282"/>
      <c r="AB484" s="1314"/>
      <c r="AC484" s="1284">
        <v>113189.58</v>
      </c>
      <c r="AD484" s="1282">
        <v>0.25415897691758677</v>
      </c>
      <c r="AE484" s="1314"/>
      <c r="AF484" s="1284">
        <v>80980.700000000012</v>
      </c>
      <c r="AG484" s="1282">
        <v>0.31720707838289652</v>
      </c>
      <c r="AH484" s="1314"/>
      <c r="AI484" s="1284">
        <v>139076.89000000001</v>
      </c>
      <c r="AJ484" s="1282">
        <v>0.1664256356284998</v>
      </c>
      <c r="AK484" s="1314"/>
      <c r="AL484" s="1284">
        <v>71279.92</v>
      </c>
      <c r="AM484" s="1282">
        <v>0.34299395298379809</v>
      </c>
      <c r="AN484" s="1314"/>
      <c r="AO484" s="1284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5"/>
      <c r="C485" s="1316"/>
      <c r="D485" s="1317"/>
      <c r="E485" s="1309"/>
      <c r="F485" s="1318"/>
      <c r="G485" s="1319"/>
      <c r="H485" s="1320"/>
      <c r="I485" s="1318"/>
      <c r="J485" s="1319"/>
      <c r="K485" s="1320"/>
      <c r="L485" s="1318"/>
      <c r="M485" s="1319"/>
      <c r="N485" s="1320"/>
      <c r="O485" s="1318"/>
      <c r="P485" s="1319"/>
      <c r="Q485" s="1320"/>
      <c r="R485" s="1318"/>
      <c r="S485" s="1319"/>
      <c r="T485" s="1320"/>
      <c r="U485" s="1318"/>
      <c r="V485" s="1319"/>
      <c r="W485" s="1320"/>
      <c r="X485" s="1318"/>
      <c r="Y485" s="1319"/>
      <c r="Z485" s="1320"/>
      <c r="AA485" s="1318"/>
      <c r="AB485" s="1319"/>
      <c r="AC485" s="1320"/>
      <c r="AD485" s="1318"/>
      <c r="AE485" s="1319"/>
      <c r="AF485" s="1320"/>
      <c r="AG485" s="1318"/>
      <c r="AH485" s="1319"/>
      <c r="AI485" s="1320"/>
      <c r="AJ485" s="1318"/>
      <c r="AK485" s="1319"/>
      <c r="AL485" s="1320"/>
      <c r="AM485" s="1318"/>
      <c r="AN485" s="1319"/>
      <c r="AO485" s="1320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2" thickTop="1" thickBot="1">
      <c r="A486" s="532" t="str">
        <f t="shared" si="45"/>
        <v>BAIIA OPÉRATIONNEL</v>
      </c>
      <c r="B486" s="1321" t="s">
        <v>246</v>
      </c>
      <c r="C486" s="1322" t="s">
        <v>247</v>
      </c>
      <c r="D486" s="1323">
        <f>IFERROR(E486/E409,0)</f>
        <v>2.3185868989212436E-2</v>
      </c>
      <c r="E486" s="1324">
        <f>E410-E471+E484</f>
        <v>1006987.1799999964</v>
      </c>
      <c r="F486" s="1325" t="s">
        <v>247</v>
      </c>
      <c r="G486" s="1326">
        <v>-3.0398033923872619E-2</v>
      </c>
      <c r="H486" s="1327">
        <v>-70573.400000000402</v>
      </c>
      <c r="I486" s="1325" t="s">
        <v>247</v>
      </c>
      <c r="J486" s="1326">
        <v>-2.5173438893751683E-2</v>
      </c>
      <c r="K486" s="1327">
        <v>-52859.370000000534</v>
      </c>
      <c r="L486" s="1325" t="s">
        <v>247</v>
      </c>
      <c r="M486" s="1326">
        <v>3.5580444967420508E-2</v>
      </c>
      <c r="N486" s="1327">
        <v>146930.49000000051</v>
      </c>
      <c r="O486" s="1325" t="s">
        <v>247</v>
      </c>
      <c r="P486" s="1326">
        <v>4.7699426033284732E-2</v>
      </c>
      <c r="Q486" s="1327">
        <v>228206.29000000021</v>
      </c>
      <c r="R486" s="1325" t="s">
        <v>247</v>
      </c>
      <c r="S486" s="1326">
        <v>5.3047225815892565E-2</v>
      </c>
      <c r="T486" s="1327">
        <v>337737.58999999915</v>
      </c>
      <c r="U486" s="1325" t="s">
        <v>247</v>
      </c>
      <c r="V486" s="1326">
        <v>2.7995043124338381E-2</v>
      </c>
      <c r="W486" s="1327">
        <v>106761.09999999969</v>
      </c>
      <c r="X486" s="1325" t="s">
        <v>247</v>
      </c>
      <c r="Y486" s="1326">
        <v>1.6985761364583369E-2</v>
      </c>
      <c r="Z486" s="1327">
        <v>60339.969999999579</v>
      </c>
      <c r="AA486" s="1325" t="s">
        <v>247</v>
      </c>
      <c r="AB486" s="1326">
        <v>2.1512928701438293E-2</v>
      </c>
      <c r="AC486" s="1327">
        <v>79804.699999999473</v>
      </c>
      <c r="AD486" s="1325" t="s">
        <v>247</v>
      </c>
      <c r="AE486" s="1326">
        <v>5.3526494562533885E-3</v>
      </c>
      <c r="AF486" s="1327">
        <v>14296.289999999979</v>
      </c>
      <c r="AG486" s="1325" t="s">
        <v>247</v>
      </c>
      <c r="AH486" s="1326">
        <v>2.9712216398122635E-2</v>
      </c>
      <c r="AI486" s="1327">
        <v>132656.51999999996</v>
      </c>
      <c r="AJ486" s="1325" t="s">
        <v>247</v>
      </c>
      <c r="AK486" s="1326">
        <v>1.8492420989584639E-2</v>
      </c>
      <c r="AL486" s="1327">
        <v>65612.32000000008</v>
      </c>
      <c r="AM486" s="1325" t="s">
        <v>247</v>
      </c>
      <c r="AN486" s="1326">
        <v>-2.128328924066791E-2</v>
      </c>
      <c r="AO486" s="1327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6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">
      <c r="A488" s="532"/>
      <c r="B488" s="1146" t="str">
        <f>$B$4</f>
        <v>Réel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 t="s">
        <v>248</v>
      </c>
      <c r="AF488" s="1045"/>
      <c r="AG488" s="1045"/>
      <c r="AH488" s="1045" t="s">
        <v>248</v>
      </c>
      <c r="AI488" s="1045"/>
      <c r="AJ488" s="1045"/>
      <c r="AK488" s="1045" t="s">
        <v>248</v>
      </c>
      <c r="AL488" s="1045"/>
      <c r="AM488" s="1045"/>
      <c r="AN488" s="1045" t="s">
        <v>248</v>
      </c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">
      <c r="A489" s="532"/>
      <c r="B489" s="1146"/>
      <c r="C489" s="596"/>
      <c r="D489" s="596"/>
      <c r="E489" s="1329"/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6"/>
      <c r="C490" s="596"/>
      <c r="D490" s="596"/>
      <c r="E490" s="1329"/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0" t="s">
        <v>2876</v>
      </c>
      <c r="C491" s="1331"/>
      <c r="D491" s="1332"/>
      <c r="E491" s="1333"/>
      <c r="F491" s="1334"/>
      <c r="G491" s="1335"/>
      <c r="H491" s="1336"/>
      <c r="I491" s="1337"/>
      <c r="J491" s="1335"/>
      <c r="K491" s="1336"/>
      <c r="L491" s="1337"/>
      <c r="M491" s="1335"/>
      <c r="N491" s="1336"/>
      <c r="O491" s="1337"/>
      <c r="P491" s="1335"/>
      <c r="Q491" s="1336"/>
      <c r="R491" s="1337"/>
      <c r="S491" s="1335"/>
      <c r="T491" s="1336"/>
      <c r="U491" s="1337"/>
      <c r="V491" s="1335"/>
      <c r="W491" s="1336"/>
      <c r="X491" s="1337"/>
      <c r="Y491" s="1335"/>
      <c r="Z491" s="1336"/>
      <c r="AA491" s="1337"/>
      <c r="AB491" s="1335"/>
      <c r="AC491" s="1336"/>
      <c r="AD491" s="1337" t="s">
        <v>247</v>
      </c>
      <c r="AE491" s="1335">
        <v>1.47471000252894E-2</v>
      </c>
      <c r="AF491" s="1336">
        <v>39387.749999999978</v>
      </c>
      <c r="AG491" s="1337" t="s">
        <v>247</v>
      </c>
      <c r="AH491" s="1335">
        <v>3.5974695027656239E-2</v>
      </c>
      <c r="AI491" s="1336">
        <v>160616.68999999997</v>
      </c>
      <c r="AJ491" s="1337" t="s">
        <v>247</v>
      </c>
      <c r="AK491" s="1335">
        <v>2.5848271767365524E-2</v>
      </c>
      <c r="AL491" s="1336">
        <v>91711.360000000073</v>
      </c>
      <c r="AM491" s="1337" t="s">
        <v>247</v>
      </c>
      <c r="AN491" s="1335">
        <v>-8.8209511739790244E-3</v>
      </c>
      <c r="AO491" s="1336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0" t="s">
        <v>246</v>
      </c>
      <c r="C492" s="1338" t="s">
        <v>247</v>
      </c>
      <c r="D492" s="1339">
        <f>IFERROR(E492/E409,0)</f>
        <v>2.3185868989212436E-2</v>
      </c>
      <c r="E492" s="1340">
        <f>E486</f>
        <v>1006987.1799999964</v>
      </c>
      <c r="F492" s="1334" t="s">
        <v>247</v>
      </c>
      <c r="G492" s="1335">
        <v>-3.0398033923872619E-2</v>
      </c>
      <c r="H492" s="1336">
        <v>-70573.400000000402</v>
      </c>
      <c r="I492" s="1337" t="s">
        <v>247</v>
      </c>
      <c r="J492" s="1335">
        <v>-2.5173438893751683E-2</v>
      </c>
      <c r="K492" s="1336">
        <v>-52859.370000000534</v>
      </c>
      <c r="L492" s="1337" t="s">
        <v>247</v>
      </c>
      <c r="M492" s="1335">
        <v>3.5580444967420508E-2</v>
      </c>
      <c r="N492" s="1336">
        <v>146930.49000000051</v>
      </c>
      <c r="O492" s="1337" t="s">
        <v>247</v>
      </c>
      <c r="P492" s="1335">
        <v>4.7699426033284732E-2</v>
      </c>
      <c r="Q492" s="1336">
        <v>228206.29000000021</v>
      </c>
      <c r="R492" s="1337" t="s">
        <v>247</v>
      </c>
      <c r="S492" s="1335">
        <v>5.3047225815892565E-2</v>
      </c>
      <c r="T492" s="1336">
        <v>337737.58999999915</v>
      </c>
      <c r="U492" s="1337" t="s">
        <v>247</v>
      </c>
      <c r="V492" s="1335">
        <v>2.7995043124338381E-2</v>
      </c>
      <c r="W492" s="1336">
        <v>106761.09999999969</v>
      </c>
      <c r="X492" s="1337" t="s">
        <v>247</v>
      </c>
      <c r="Y492" s="1335">
        <v>1.6985761364583369E-2</v>
      </c>
      <c r="Z492" s="1336">
        <v>60339.969999999579</v>
      </c>
      <c r="AA492" s="1337" t="s">
        <v>247</v>
      </c>
      <c r="AB492" s="1335">
        <v>2.1512928701438293E-2</v>
      </c>
      <c r="AC492" s="1336">
        <v>79804.699999999473</v>
      </c>
      <c r="AD492" s="1337" t="s">
        <v>247</v>
      </c>
      <c r="AE492" s="1335">
        <v>5.3526494562533885E-3</v>
      </c>
      <c r="AF492" s="1336">
        <v>14296.289999999979</v>
      </c>
      <c r="AG492" s="1337" t="s">
        <v>247</v>
      </c>
      <c r="AH492" s="1335">
        <v>2.9712216398122635E-2</v>
      </c>
      <c r="AI492" s="1336">
        <v>132656.51999999996</v>
      </c>
      <c r="AJ492" s="1337" t="s">
        <v>247</v>
      </c>
      <c r="AK492" s="1335">
        <v>1.8492420989584639E-2</v>
      </c>
      <c r="AL492" s="1336">
        <v>65612.32000000008</v>
      </c>
      <c r="AM492" s="1337" t="s">
        <v>247</v>
      </c>
      <c r="AN492" s="1335">
        <v>-2.128328924066791E-2</v>
      </c>
      <c r="AO492" s="1336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">
      <c r="A493" s="532">
        <f t="shared" ref="A493:A499" si="46">B493</f>
        <v>0</v>
      </c>
      <c r="B493" s="757"/>
      <c r="C493" s="1341"/>
      <c r="D493" s="1240"/>
      <c r="E493" s="1342"/>
      <c r="F493" s="1240"/>
      <c r="G493" s="1240"/>
      <c r="H493" s="1342"/>
      <c r="I493" s="1341"/>
      <c r="J493" s="1240"/>
      <c r="K493" s="1342"/>
      <c r="L493" s="1341"/>
      <c r="M493" s="1240"/>
      <c r="N493" s="1342"/>
      <c r="O493" s="1341"/>
      <c r="P493" s="1240"/>
      <c r="Q493" s="1342"/>
      <c r="R493" s="1341"/>
      <c r="S493" s="1240"/>
      <c r="T493" s="1342"/>
      <c r="U493" s="1341"/>
      <c r="V493" s="1240"/>
      <c r="W493" s="1342"/>
      <c r="X493" s="1341"/>
      <c r="Y493" s="1240"/>
      <c r="Z493" s="1342"/>
      <c r="AA493" s="1341"/>
      <c r="AB493" s="1240"/>
      <c r="AC493" s="1342"/>
      <c r="AD493" s="1341"/>
      <c r="AE493" s="1240"/>
      <c r="AF493" s="1342"/>
      <c r="AG493" s="1341"/>
      <c r="AH493" s="1240"/>
      <c r="AI493" s="1342"/>
      <c r="AJ493" s="1341"/>
      <c r="AK493" s="1240"/>
      <c r="AL493" s="1342"/>
      <c r="AM493" s="1341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">
      <c r="A494" s="532" t="str">
        <f t="shared" si="46"/>
        <v>Amortissement</v>
      </c>
      <c r="B494" s="753" t="s">
        <v>249</v>
      </c>
      <c r="C494" s="621"/>
      <c r="D494" s="1275"/>
      <c r="E494" s="1273">
        <f>+SUM(H494,K494,N494,Q494,T494,W494,Z494,AC494,AF494,AI494,AL494,AO494)</f>
        <v>207111.66</v>
      </c>
      <c r="F494" s="1272"/>
      <c r="G494" s="1275"/>
      <c r="H494" s="1285">
        <v>19300</v>
      </c>
      <c r="I494" s="621"/>
      <c r="J494" s="1275"/>
      <c r="K494" s="1285">
        <v>19300</v>
      </c>
      <c r="L494" s="621"/>
      <c r="M494" s="1275"/>
      <c r="N494" s="1285">
        <v>19300</v>
      </c>
      <c r="O494" s="621"/>
      <c r="P494" s="1275"/>
      <c r="Q494" s="1285">
        <v>19300</v>
      </c>
      <c r="R494" s="621"/>
      <c r="S494" s="1275"/>
      <c r="T494" s="1285">
        <v>19300</v>
      </c>
      <c r="U494" s="621"/>
      <c r="V494" s="1275"/>
      <c r="W494" s="1285">
        <v>19300</v>
      </c>
      <c r="X494" s="621"/>
      <c r="Y494" s="1275"/>
      <c r="Z494" s="1285">
        <v>19300</v>
      </c>
      <c r="AA494" s="621"/>
      <c r="AB494" s="1275"/>
      <c r="AC494" s="1285">
        <v>19300</v>
      </c>
      <c r="AD494" s="621"/>
      <c r="AE494" s="1275"/>
      <c r="AF494" s="1285">
        <v>15300</v>
      </c>
      <c r="AG494" s="621"/>
      <c r="AH494" s="1275"/>
      <c r="AI494" s="1285">
        <v>15300</v>
      </c>
      <c r="AJ494" s="621"/>
      <c r="AK494" s="1275"/>
      <c r="AL494" s="1285">
        <v>18360.41</v>
      </c>
      <c r="AM494" s="621"/>
      <c r="AN494" s="1275"/>
      <c r="AO494" s="1285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">
      <c r="A495" s="532" t="str">
        <f t="shared" si="46"/>
        <v>Intérêts sur marge</v>
      </c>
      <c r="B495" s="753" t="s">
        <v>250</v>
      </c>
      <c r="C495" s="1343"/>
      <c r="D495" s="596"/>
      <c r="E495" s="1273">
        <f>+SUM(H495,K495,N495,Q495,T495,W495,Z495,AC495,AF495,AI495,AL495,AO495)</f>
        <v>0</v>
      </c>
      <c r="F495" s="604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">
      <c r="A496" s="532" t="str">
        <f t="shared" si="46"/>
        <v>Intérêts sur prêt</v>
      </c>
      <c r="B496" s="753" t="s">
        <v>251</v>
      </c>
      <c r="C496" s="622"/>
      <c r="D496" s="596"/>
      <c r="E496" s="1273">
        <f>+SUM(H496,K496,N496,Q496,T496,W496,Z496,AC496,AF496,AI496,AL496,AO496)</f>
        <v>0</v>
      </c>
      <c r="F496" s="596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">
      <c r="A497" s="532" t="str">
        <f t="shared" si="46"/>
        <v>Intérêts sur avance</v>
      </c>
      <c r="B497" s="753" t="s">
        <v>252</v>
      </c>
      <c r="C497" s="1344"/>
      <c r="D497" s="608"/>
      <c r="E497" s="1273">
        <f>+SUM(H497,K497,N497,Q497,T497,W497,Z497,AC497,AF497,AI497,AL497,AO497)</f>
        <v>0</v>
      </c>
      <c r="F497" s="608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">
      <c r="A498" s="532" t="str">
        <f t="shared" si="46"/>
        <v>[...]</v>
      </c>
      <c r="B498" s="758" t="s">
        <v>42</v>
      </c>
      <c r="C498" s="1344"/>
      <c r="D498" s="608"/>
      <c r="E498" s="1273"/>
      <c r="F498" s="608"/>
      <c r="G498" s="608"/>
      <c r="H498" s="1285">
        <v>0</v>
      </c>
      <c r="I498" s="1344"/>
      <c r="J498" s="608"/>
      <c r="K498" s="1285">
        <v>0</v>
      </c>
      <c r="L498" s="1344"/>
      <c r="M498" s="608"/>
      <c r="N498" s="1285">
        <v>0</v>
      </c>
      <c r="O498" s="1344"/>
      <c r="P498" s="608"/>
      <c r="Q498" s="1285">
        <v>0</v>
      </c>
      <c r="R498" s="1344"/>
      <c r="S498" s="608"/>
      <c r="T498" s="1285">
        <v>0</v>
      </c>
      <c r="U498" s="1344"/>
      <c r="V498" s="608"/>
      <c r="W498" s="1285">
        <v>0</v>
      </c>
      <c r="X498" s="1344"/>
      <c r="Y498" s="608"/>
      <c r="Z498" s="1285">
        <v>0</v>
      </c>
      <c r="AA498" s="1344"/>
      <c r="AB498" s="608"/>
      <c r="AC498" s="1285">
        <v>0</v>
      </c>
      <c r="AD498" s="1344"/>
      <c r="AE498" s="608"/>
      <c r="AF498" s="1285">
        <v>0</v>
      </c>
      <c r="AG498" s="1344"/>
      <c r="AH498" s="608"/>
      <c r="AI498" s="1285">
        <v>0</v>
      </c>
      <c r="AJ498" s="1344"/>
      <c r="AK498" s="608"/>
      <c r="AL498" s="1285">
        <v>0</v>
      </c>
      <c r="AM498" s="1344"/>
      <c r="AN498" s="608"/>
      <c r="AO498" s="1285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8" t="s">
        <v>2932</v>
      </c>
      <c r="C499" s="1344"/>
      <c r="D499" s="608"/>
      <c r="E499" s="1273">
        <f>+SUM(H499,K499,N499,Q499,T499,W499,Z499,AC499,AF499,AI499,AL499,AO499)</f>
        <v>-31479.010000000002</v>
      </c>
      <c r="F499" s="608"/>
      <c r="G499" s="608"/>
      <c r="H499" s="1273">
        <v>-2632.46</v>
      </c>
      <c r="I499" s="1344"/>
      <c r="J499" s="608"/>
      <c r="K499" s="1273">
        <v>-2462.62</v>
      </c>
      <c r="L499" s="1344"/>
      <c r="M499" s="608"/>
      <c r="N499" s="1273">
        <v>-2632.46</v>
      </c>
      <c r="O499" s="1344"/>
      <c r="P499" s="608"/>
      <c r="Q499" s="1273">
        <v>-2547.54</v>
      </c>
      <c r="R499" s="1344"/>
      <c r="S499" s="608"/>
      <c r="T499" s="1273">
        <v>-2632.46</v>
      </c>
      <c r="U499" s="1344"/>
      <c r="V499" s="608"/>
      <c r="W499" s="1273">
        <v>-2547.54</v>
      </c>
      <c r="X499" s="1344"/>
      <c r="Y499" s="608"/>
      <c r="Z499" s="1273">
        <v>-2632.46</v>
      </c>
      <c r="AA499" s="1344"/>
      <c r="AB499" s="608"/>
      <c r="AC499" s="1273">
        <v>-2632.46</v>
      </c>
      <c r="AD499" s="1344"/>
      <c r="AE499" s="608"/>
      <c r="AF499" s="1273">
        <v>-2547.54</v>
      </c>
      <c r="AG499" s="1344"/>
      <c r="AH499" s="608"/>
      <c r="AI499" s="1273">
        <v>-2632.46</v>
      </c>
      <c r="AJ499" s="1344"/>
      <c r="AK499" s="608"/>
      <c r="AL499" s="1273">
        <v>-2547.54</v>
      </c>
      <c r="AM499" s="1344"/>
      <c r="AN499" s="608"/>
      <c r="AO499" s="1273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6" t="s">
        <v>42</v>
      </c>
      <c r="C500" s="1344"/>
      <c r="D500" s="608"/>
      <c r="E500" s="1273"/>
      <c r="F500" s="608"/>
      <c r="G500" s="608"/>
      <c r="H500" s="1273"/>
      <c r="I500" s="1344"/>
      <c r="J500" s="608"/>
      <c r="K500" s="1273"/>
      <c r="L500" s="1344"/>
      <c r="M500" s="608"/>
      <c r="N500" s="1273"/>
      <c r="O500" s="1344"/>
      <c r="P500" s="608"/>
      <c r="Q500" s="1273"/>
      <c r="R500" s="1344"/>
      <c r="S500" s="608"/>
      <c r="T500" s="1273"/>
      <c r="U500" s="1344"/>
      <c r="V500" s="608"/>
      <c r="W500" s="1273"/>
      <c r="X500" s="1344"/>
      <c r="Y500" s="608"/>
      <c r="Z500" s="1273"/>
      <c r="AA500" s="1344"/>
      <c r="AB500" s="608"/>
      <c r="AC500" s="1273"/>
      <c r="AD500" s="1344"/>
      <c r="AE500" s="608"/>
      <c r="AF500" s="1273">
        <v>0</v>
      </c>
      <c r="AG500" s="1344"/>
      <c r="AH500" s="608"/>
      <c r="AI500" s="1273">
        <v>0</v>
      </c>
      <c r="AJ500" s="1344"/>
      <c r="AK500" s="608"/>
      <c r="AL500" s="1273">
        <v>0</v>
      </c>
      <c r="AM500" s="1344"/>
      <c r="AN500" s="608"/>
      <c r="AO500" s="1273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20" thickTop="1" thickBot="1">
      <c r="B501" s="1345" t="s">
        <v>253</v>
      </c>
      <c r="C501" s="1346" t="s">
        <v>247</v>
      </c>
      <c r="D501" s="1347">
        <f>IFERROR(E501/E409,0)</f>
        <v>1.9141929111916065E-2</v>
      </c>
      <c r="E501" s="1348">
        <f>E492-E494-E495-E496-E497-E499</f>
        <v>831354.52999999642</v>
      </c>
      <c r="F501" s="1349" t="s">
        <v>247</v>
      </c>
      <c r="G501" s="1350">
        <v>3.0090147187851302</v>
      </c>
      <c r="H501" s="1351">
        <v>-87240.940000000395</v>
      </c>
      <c r="I501" s="1352" t="s">
        <v>247</v>
      </c>
      <c r="J501" s="1350">
        <v>3.0090147187851302</v>
      </c>
      <c r="K501" s="1351">
        <v>-69696.750000000538</v>
      </c>
      <c r="L501" s="1352" t="s">
        <v>247</v>
      </c>
      <c r="M501" s="1350">
        <v>3.0090147187851302</v>
      </c>
      <c r="N501" s="1351">
        <v>130262.95000000052</v>
      </c>
      <c r="O501" s="1352" t="s">
        <v>247</v>
      </c>
      <c r="P501" s="1350">
        <v>3.0090147187851302</v>
      </c>
      <c r="Q501" s="1351">
        <v>211453.83000000022</v>
      </c>
      <c r="R501" s="1352" t="s">
        <v>247</v>
      </c>
      <c r="S501" s="1350">
        <v>3.0090147187851302</v>
      </c>
      <c r="T501" s="1351">
        <v>321070.04999999917</v>
      </c>
      <c r="U501" s="1352" t="s">
        <v>247</v>
      </c>
      <c r="V501" s="1350">
        <v>3.0090147187851302</v>
      </c>
      <c r="W501" s="1351">
        <v>90008.639999999679</v>
      </c>
      <c r="X501" s="1352" t="s">
        <v>247</v>
      </c>
      <c r="Y501" s="1350">
        <v>3.0090147187851302</v>
      </c>
      <c r="Z501" s="1351">
        <v>43672.429999999578</v>
      </c>
      <c r="AA501" s="1352" t="s">
        <v>247</v>
      </c>
      <c r="AB501" s="1350">
        <v>3.0090147187851302</v>
      </c>
      <c r="AC501" s="1351">
        <v>63137.159999999472</v>
      </c>
      <c r="AD501" s="1352" t="s">
        <v>247</v>
      </c>
      <c r="AE501" s="1350">
        <v>5.7802274646412248E-4</v>
      </c>
      <c r="AF501" s="1351">
        <v>1543.829999999979</v>
      </c>
      <c r="AG501" s="1352" t="s">
        <v>247</v>
      </c>
      <c r="AH501" s="1350">
        <v>2.6874959023122338E-2</v>
      </c>
      <c r="AI501" s="1351">
        <v>119988.97999999997</v>
      </c>
      <c r="AJ501" s="1352" t="s">
        <v>247</v>
      </c>
      <c r="AK501" s="1350">
        <v>1.4035662729953324E-2</v>
      </c>
      <c r="AL501" s="1351">
        <v>49799.450000000077</v>
      </c>
      <c r="AM501" s="1352" t="s">
        <v>247</v>
      </c>
      <c r="AN501" s="1350">
        <v>-2.1648683850169947E-2</v>
      </c>
      <c r="AO501" s="1351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7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6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6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6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6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6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6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6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">
      <c r="B528" s="1041"/>
      <c r="C528" s="1042"/>
      <c r="D528" s="1042"/>
      <c r="E528" s="1042"/>
      <c r="F528" s="1042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2"/>
      <c r="AD528" s="1042"/>
      <c r="AE528" s="1042"/>
      <c r="AF528" s="1042"/>
      <c r="AG528" s="1042"/>
      <c r="AH528" s="1042"/>
      <c r="AI528" s="1042"/>
      <c r="AJ528" s="1042"/>
      <c r="AK528" s="1042"/>
      <c r="AL528" s="1042"/>
      <c r="AM528" s="1042"/>
      <c r="AN528" s="1042"/>
      <c r="AO528" s="1042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6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6">
      <c r="B530" s="517"/>
      <c r="C530" s="517"/>
      <c r="D530" s="517"/>
      <c r="E530" s="1043"/>
      <c r="F530" s="517"/>
      <c r="G530" s="517"/>
      <c r="H530" s="1043"/>
      <c r="I530" s="517"/>
      <c r="J530" s="517"/>
      <c r="K530" s="1043"/>
      <c r="L530" s="517"/>
      <c r="M530" s="517"/>
      <c r="N530" s="1043"/>
      <c r="O530" s="517"/>
      <c r="P530" s="517"/>
      <c r="Q530" s="1043"/>
      <c r="R530" s="517"/>
      <c r="S530" s="517"/>
      <c r="T530" s="1043"/>
      <c r="U530" s="517"/>
      <c r="V530" s="517"/>
      <c r="W530" s="1043"/>
      <c r="X530" s="517"/>
      <c r="Y530" s="517"/>
      <c r="Z530" s="1043"/>
      <c r="AA530" s="517"/>
      <c r="AB530" s="517"/>
      <c r="AC530" s="1043"/>
      <c r="AD530" s="517"/>
      <c r="AE530" s="517"/>
      <c r="AF530" s="1043"/>
      <c r="AG530" s="517"/>
      <c r="AH530" s="517"/>
      <c r="AI530" s="1043"/>
      <c r="AJ530" s="517"/>
      <c r="AK530" s="517"/>
      <c r="AL530" s="1043"/>
      <c r="AM530" s="517"/>
      <c r="AN530" s="517"/>
      <c r="AO530" s="1043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6">
      <c r="B531" s="517"/>
      <c r="C531" s="527"/>
      <c r="D531" s="516"/>
      <c r="E531" s="1043"/>
      <c r="F531" s="527"/>
      <c r="G531" s="516"/>
      <c r="H531" s="1043"/>
      <c r="I531" s="527"/>
      <c r="J531" s="516"/>
      <c r="K531" s="1043"/>
      <c r="L531" s="527"/>
      <c r="M531" s="516"/>
      <c r="N531" s="1043"/>
      <c r="O531" s="527"/>
      <c r="P531" s="516"/>
      <c r="Q531" s="1043"/>
      <c r="R531" s="527"/>
      <c r="S531" s="516"/>
      <c r="T531" s="1043"/>
      <c r="U531" s="527"/>
      <c r="V531" s="516"/>
      <c r="W531" s="1043"/>
      <c r="X531" s="527"/>
      <c r="Y531" s="516"/>
      <c r="Z531" s="1043"/>
      <c r="AA531" s="527"/>
      <c r="AB531" s="516"/>
      <c r="AC531" s="1043"/>
      <c r="AD531" s="527"/>
      <c r="AE531" s="516"/>
      <c r="AF531" s="1043"/>
      <c r="AG531" s="527"/>
      <c r="AH531" s="516"/>
      <c r="AI531" s="1043"/>
      <c r="AJ531" s="527"/>
      <c r="AK531" s="516"/>
      <c r="AL531" s="1043"/>
      <c r="AM531" s="527"/>
      <c r="AN531" s="516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6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6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6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6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6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6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6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6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6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6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6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6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6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6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6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6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6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6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6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6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6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6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6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6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6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6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6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6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">
      <c r="B649" s="1041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6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6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6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6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6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6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6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6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6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6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6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6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6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6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6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6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6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6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6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6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6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6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6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6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">
      <c r="B711" s="1041"/>
      <c r="C711" s="1042"/>
      <c r="D711" s="1042"/>
      <c r="E711" s="1042"/>
      <c r="F711" s="1042"/>
      <c r="G711" s="1042"/>
      <c r="H711" s="1042"/>
      <c r="I711" s="1042"/>
      <c r="J711" s="1042"/>
      <c r="K711" s="1042"/>
      <c r="L711" s="1042"/>
      <c r="M711" s="1042"/>
      <c r="N711" s="1042"/>
      <c r="O711" s="1042"/>
      <c r="P711" s="1042"/>
      <c r="Q711" s="1042"/>
      <c r="R711" s="1042"/>
      <c r="S711" s="1042"/>
      <c r="T711" s="1042"/>
      <c r="U711" s="1042"/>
      <c r="V711" s="1042"/>
      <c r="W711" s="1042"/>
      <c r="X711" s="1042"/>
      <c r="Y711" s="1042"/>
      <c r="Z711" s="1042"/>
      <c r="AA711" s="1042"/>
      <c r="AB711" s="1042"/>
      <c r="AC711" s="1042"/>
      <c r="AD711" s="1042"/>
      <c r="AE711" s="1042"/>
      <c r="AF711" s="1042"/>
      <c r="AG711" s="1042"/>
      <c r="AH711" s="1042"/>
      <c r="AI711" s="1042"/>
      <c r="AJ711" s="1042"/>
      <c r="AK711" s="1042"/>
      <c r="AL711" s="1042"/>
      <c r="AM711" s="1042"/>
      <c r="AN711" s="1042"/>
      <c r="AO711" s="1042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6">
      <c r="B712" s="517"/>
      <c r="C712" s="1044"/>
      <c r="D712" s="1043"/>
      <c r="E712" s="1044"/>
      <c r="F712" s="1044"/>
      <c r="G712" s="1043"/>
      <c r="H712" s="1044"/>
      <c r="I712" s="1044"/>
      <c r="J712" s="1043"/>
      <c r="K712" s="1044"/>
      <c r="L712" s="1044"/>
      <c r="M712" s="1043"/>
      <c r="N712" s="1044"/>
      <c r="O712" s="1044"/>
      <c r="P712" s="1043"/>
      <c r="Q712" s="1044"/>
      <c r="R712" s="1044"/>
      <c r="S712" s="1043"/>
      <c r="T712" s="1044"/>
      <c r="U712" s="1044"/>
      <c r="V712" s="1043"/>
      <c r="W712" s="1044"/>
      <c r="X712" s="1044"/>
      <c r="Y712" s="1043"/>
      <c r="Z712" s="1044"/>
      <c r="AA712" s="1044"/>
      <c r="AB712" s="1043"/>
      <c r="AC712" s="1044"/>
      <c r="AD712" s="1044"/>
      <c r="AE712" s="1043"/>
      <c r="AF712" s="1044"/>
      <c r="AG712" s="1044"/>
      <c r="AH712" s="1043"/>
      <c r="AI712" s="1044"/>
      <c r="AJ712" s="1044"/>
      <c r="AK712" s="1043"/>
      <c r="AL712" s="1044"/>
      <c r="AM712" s="1044"/>
      <c r="AN712" s="1043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6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6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6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6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6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6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6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6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6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6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6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6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6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6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6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6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6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6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6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6"/>
  <sheetViews>
    <sheetView showGridLines="0" zoomScale="90" zoomScaleNormal="90" workbookViewId="0">
      <selection activeCell="I23" sqref="I23"/>
    </sheetView>
  </sheetViews>
  <sheetFormatPr baseColWidth="10" defaultColWidth="11" defaultRowHeight="14"/>
  <cols>
    <col min="1" max="1" width="11" style="804"/>
    <col min="2" max="2" width="19.83203125" style="804" customWidth="1"/>
    <col min="3" max="4" width="13.1640625" style="805" customWidth="1"/>
    <col min="5" max="8" width="13.1640625" style="804" customWidth="1"/>
    <col min="9" max="16384" width="11" style="804"/>
  </cols>
  <sheetData>
    <row r="2" spans="2:7" ht="15" customHeight="1"/>
    <row r="3" spans="2:7" ht="15" thickBot="1"/>
    <row r="4" spans="2:7" ht="21" thickBot="1">
      <c r="C4" s="1444" t="str">
        <f>Parametres!B3</f>
        <v>Juillet</v>
      </c>
      <c r="D4" s="1445"/>
      <c r="E4" s="1445"/>
      <c r="F4" s="1445"/>
      <c r="G4" s="1446"/>
    </row>
    <row r="5" spans="2:7" s="946" customFormat="1" ht="31" thickBot="1">
      <c r="C5" s="1034" t="s">
        <v>3042</v>
      </c>
      <c r="D5" s="948" t="s">
        <v>6</v>
      </c>
      <c r="E5" s="958" t="s">
        <v>2945</v>
      </c>
      <c r="F5" s="948">
        <v>2025</v>
      </c>
      <c r="G5" s="958" t="s">
        <v>3020</v>
      </c>
    </row>
    <row r="6" spans="2:7" s="946" customFormat="1" ht="15">
      <c r="B6" s="950" t="s">
        <v>2951</v>
      </c>
      <c r="C6" s="952">
        <f>'Réalisé Mois'!J27</f>
        <v>26</v>
      </c>
      <c r="D6" s="953">
        <f>'Réalisé Mois'!D27</f>
        <v>22</v>
      </c>
      <c r="E6" s="959">
        <f t="shared" ref="E6:E15" si="0">C6-D6</f>
        <v>4</v>
      </c>
      <c r="F6" s="954">
        <f>'Réalisé Mois'!O27</f>
        <v>19</v>
      </c>
      <c r="G6" s="959">
        <f t="shared" ref="G6:G15" si="1">C6-F6</f>
        <v>7</v>
      </c>
    </row>
    <row r="7" spans="2:7" s="946" customFormat="1" ht="16" thickBot="1">
      <c r="B7" s="951" t="s">
        <v>2952</v>
      </c>
      <c r="C7" s="955">
        <f>'Réalisé Mois'!J97</f>
        <v>28</v>
      </c>
      <c r="D7" s="956">
        <f>'Réalisé Mois'!D97</f>
        <v>24</v>
      </c>
      <c r="E7" s="960">
        <f t="shared" si="0"/>
        <v>4</v>
      </c>
      <c r="F7" s="957">
        <f>'Réalisé Mois'!O97</f>
        <v>15</v>
      </c>
      <c r="G7" s="960">
        <f t="shared" si="1"/>
        <v>13</v>
      </c>
    </row>
    <row r="8" spans="2:7">
      <c r="B8" s="934" t="s">
        <v>2939</v>
      </c>
      <c r="C8" s="1035">
        <f>'Réalisé Mois'!L27</f>
        <v>119645.77000000003</v>
      </c>
      <c r="D8" s="938">
        <f>'Réalisé Mois'!F27</f>
        <v>112526.38235294117</v>
      </c>
      <c r="E8" s="961">
        <f t="shared" si="0"/>
        <v>7119.3876470588584</v>
      </c>
      <c r="F8" s="938">
        <f>'Réalisé Mois'!Q27</f>
        <v>127643.17999999988</v>
      </c>
      <c r="G8" s="961">
        <f t="shared" si="1"/>
        <v>-7997.4099999998434</v>
      </c>
    </row>
    <row r="9" spans="2:7">
      <c r="B9" s="934" t="s">
        <v>2940</v>
      </c>
      <c r="C9" s="1035">
        <f>'Réalisé Mois'!L109</f>
        <v>87527.409999999945</v>
      </c>
      <c r="D9" s="938">
        <f>'Réalisé Mois'!F109</f>
        <v>97302.295817364575</v>
      </c>
      <c r="E9" s="961">
        <f t="shared" si="0"/>
        <v>-9774.8858173646295</v>
      </c>
      <c r="F9" s="938">
        <f>'Réalisé Mois'!Q109</f>
        <v>57158.979999999799</v>
      </c>
      <c r="G9" s="961">
        <f t="shared" si="1"/>
        <v>30368.430000000146</v>
      </c>
    </row>
    <row r="10" spans="2:7">
      <c r="B10" s="934" t="s">
        <v>2943</v>
      </c>
      <c r="C10" s="1035">
        <f>'Réalisé Mois'!L195</f>
        <v>157598.41</v>
      </c>
      <c r="D10" s="938">
        <f>'Réalisé Mois'!F195</f>
        <v>157097.33316404169</v>
      </c>
      <c r="E10" s="961">
        <f t="shared" si="0"/>
        <v>501.07683595831622</v>
      </c>
      <c r="F10" s="938">
        <f>'Réalisé Mois'!Q195+'Réalisé Mois'!Q251</f>
        <v>137898.6399999999</v>
      </c>
      <c r="G10" s="961">
        <f t="shared" si="1"/>
        <v>19699.770000000106</v>
      </c>
    </row>
    <row r="11" spans="2:7" ht="15" thickBot="1">
      <c r="B11" s="934" t="s">
        <v>2944</v>
      </c>
      <c r="C11" s="1035">
        <f>+'Réalisé Mois'!L315</f>
        <v>114486.04999999999</v>
      </c>
      <c r="D11" s="938">
        <f>+'Réalisé Mois'!F315</f>
        <v>118274.75346675768</v>
      </c>
      <c r="E11" s="961">
        <f t="shared" si="0"/>
        <v>-3788.7034667576954</v>
      </c>
      <c r="F11" s="938">
        <f>+'Réalisé Mois'!Q315</f>
        <v>94542.75</v>
      </c>
      <c r="G11" s="961">
        <f t="shared" si="1"/>
        <v>19943.299999999988</v>
      </c>
    </row>
    <row r="12" spans="2:7" ht="15" thickTop="1">
      <c r="B12" s="942" t="s">
        <v>2941</v>
      </c>
      <c r="C12" s="1036">
        <f>SUM(C8:C11)</f>
        <v>479257.63999999996</v>
      </c>
      <c r="D12" s="944">
        <f>SUM(D8:D11)</f>
        <v>485200.76480110514</v>
      </c>
      <c r="E12" s="962">
        <f t="shared" si="0"/>
        <v>-5943.1248011051794</v>
      </c>
      <c r="F12" s="944">
        <f>SUM(F8:F11)</f>
        <v>417243.54999999958</v>
      </c>
      <c r="G12" s="962">
        <f t="shared" si="1"/>
        <v>62014.090000000375</v>
      </c>
    </row>
    <row r="13" spans="2:7">
      <c r="B13" s="934" t="s">
        <v>2938</v>
      </c>
      <c r="C13" s="1035">
        <f>'Réalisé Mois'!AF482</f>
        <v>137883.91</v>
      </c>
      <c r="D13" s="938">
        <f>'Réalisé Mois'!Z482</f>
        <v>116945.83571428573</v>
      </c>
      <c r="E13" s="961">
        <f t="shared" si="0"/>
        <v>20938.074285714276</v>
      </c>
      <c r="F13" s="938">
        <f>'Réalisé Mois'!AL482</f>
        <v>92585.48</v>
      </c>
      <c r="G13" s="961">
        <f t="shared" si="1"/>
        <v>45298.430000000008</v>
      </c>
    </row>
    <row r="14" spans="2:7">
      <c r="B14" s="934" t="s">
        <v>2937</v>
      </c>
      <c r="C14" s="1035">
        <f>-'Réalisé Mois'!AF469</f>
        <v>-442431.82000000007</v>
      </c>
      <c r="D14" s="938">
        <f>-'Réalisé Mois'!Z469</f>
        <v>-464791.37006286014</v>
      </c>
      <c r="E14" s="961">
        <f t="shared" si="0"/>
        <v>22359.550062860071</v>
      </c>
      <c r="F14" s="938">
        <f>-'Réalisé Mois'!AL469</f>
        <v>-449489.06</v>
      </c>
      <c r="G14" s="961">
        <f t="shared" si="1"/>
        <v>7057.2399999999325</v>
      </c>
    </row>
    <row r="15" spans="2:7" ht="15" thickBot="1">
      <c r="B15" s="934" t="s">
        <v>3007</v>
      </c>
      <c r="C15" s="1035">
        <f>-'Réalisé Mois'!AF492-'Réalisé Mois'!AF497</f>
        <v>-935.2800000000002</v>
      </c>
      <c r="D15" s="938">
        <f>-'Réalisé Mois'!Z492-'Réalisé Mois'!Z497</f>
        <v>-4077.75</v>
      </c>
      <c r="E15" s="961">
        <f t="shared" si="0"/>
        <v>3142.47</v>
      </c>
      <c r="F15" s="938">
        <f>-'Réalisé Mois'!AL492-'Réalisé Mois'!AL497</f>
        <v>-16667.54</v>
      </c>
      <c r="G15" s="961">
        <f t="shared" si="1"/>
        <v>15732.26</v>
      </c>
    </row>
    <row r="16" spans="2:7" ht="16" thickTop="1" thickBot="1">
      <c r="B16" s="939" t="s">
        <v>2824</v>
      </c>
      <c r="C16" s="1037">
        <f t="shared" ref="C16:G16" si="2">SUM(C12:C15)</f>
        <v>173774.44999999987</v>
      </c>
      <c r="D16" s="941">
        <f t="shared" si="2"/>
        <v>133277.48045253073</v>
      </c>
      <c r="E16" s="964">
        <f t="shared" si="2"/>
        <v>40496.969547469169</v>
      </c>
      <c r="F16" s="941">
        <f t="shared" si="2"/>
        <v>43672.429999999564</v>
      </c>
      <c r="G16" s="964">
        <f t="shared" si="2"/>
        <v>130102.02000000031</v>
      </c>
    </row>
    <row r="17" spans="2:7" ht="15" thickBot="1"/>
    <row r="18" spans="2:7" ht="21" thickBot="1">
      <c r="C18" s="1444" t="str">
        <f>CONCATENATE("Année à date ",Parametres!B3)</f>
        <v>Année à date Juillet</v>
      </c>
      <c r="D18" s="1445"/>
      <c r="E18" s="1445"/>
      <c r="F18" s="1445"/>
      <c r="G18" s="1446"/>
    </row>
    <row r="19" spans="2:7" ht="31" thickBot="1">
      <c r="B19" s="946"/>
      <c r="C19" s="947" t="s">
        <v>3043</v>
      </c>
      <c r="D19" s="947" t="s">
        <v>2954</v>
      </c>
      <c r="E19" s="958" t="s">
        <v>2945</v>
      </c>
      <c r="F19" s="948" t="s">
        <v>3021</v>
      </c>
      <c r="G19" s="958" t="s">
        <v>3020</v>
      </c>
    </row>
    <row r="20" spans="2:7" ht="15">
      <c r="B20" s="950" t="s">
        <v>2951</v>
      </c>
      <c r="C20" s="952">
        <f>'Réalisé AAD'!J27</f>
        <v>189</v>
      </c>
      <c r="D20" s="953">
        <f>'Réalisé AAD'!D27</f>
        <v>204</v>
      </c>
      <c r="E20" s="959">
        <f t="shared" ref="E20:E29" si="3">C20-D20</f>
        <v>-15</v>
      </c>
      <c r="F20" s="954">
        <f>'Réalisé AAD'!O27</f>
        <v>162</v>
      </c>
      <c r="G20" s="959">
        <f t="shared" ref="G20:G29" si="4">C20-F20</f>
        <v>27</v>
      </c>
    </row>
    <row r="21" spans="2:7" ht="16" thickBot="1">
      <c r="B21" s="951" t="s">
        <v>2952</v>
      </c>
      <c r="C21" s="955">
        <f>'Réalisé AAD'!J97</f>
        <v>131</v>
      </c>
      <c r="D21" s="956">
        <f>'Réalisé AAD'!D97</f>
        <v>146</v>
      </c>
      <c r="E21" s="960">
        <f t="shared" si="3"/>
        <v>-15</v>
      </c>
      <c r="F21" s="957">
        <f>'Réalisé AAD'!O97</f>
        <v>121</v>
      </c>
      <c r="G21" s="960">
        <f t="shared" si="4"/>
        <v>10</v>
      </c>
    </row>
    <row r="22" spans="2:7">
      <c r="B22" s="933" t="s">
        <v>2939</v>
      </c>
      <c r="C22" s="935">
        <f>'Réalisé AAD'!L27</f>
        <v>889130.07999999798</v>
      </c>
      <c r="D22" s="935">
        <f>'Réalisé AAD'!F27</f>
        <v>1039442.1470588236</v>
      </c>
      <c r="E22" s="963">
        <f t="shared" si="3"/>
        <v>-150312.06705882563</v>
      </c>
      <c r="F22" s="936">
        <f>'Réalisé AAD'!Q27</f>
        <v>1013388.9999999988</v>
      </c>
      <c r="G22" s="963">
        <f t="shared" si="4"/>
        <v>-124258.92000000086</v>
      </c>
    </row>
    <row r="23" spans="2:7">
      <c r="B23" s="934" t="s">
        <v>2940</v>
      </c>
      <c r="C23" s="937">
        <f>'Réalisé AAD'!L109</f>
        <v>535728.65</v>
      </c>
      <c r="D23" s="937">
        <f>'Réalisé AAD'!F109</f>
        <v>600654.17739492143</v>
      </c>
      <c r="E23" s="961">
        <f t="shared" si="3"/>
        <v>-64925.527394921402</v>
      </c>
      <c r="F23" s="938">
        <f>'Réalisé AAD'!Q109</f>
        <v>508279.14999999927</v>
      </c>
      <c r="G23" s="961">
        <f t="shared" si="4"/>
        <v>27449.500000000757</v>
      </c>
    </row>
    <row r="24" spans="2:7">
      <c r="B24" s="934" t="s">
        <v>2943</v>
      </c>
      <c r="C24" s="937">
        <f>'Réalisé AAD'!L195</f>
        <v>959017.16999999993</v>
      </c>
      <c r="D24" s="937">
        <f>'Réalisé AAD'!F195</f>
        <v>1044858.6505757491</v>
      </c>
      <c r="E24" s="961">
        <f t="shared" si="3"/>
        <v>-85841.480575749185</v>
      </c>
      <c r="F24" s="938">
        <f>'Réalisé AAD'!Q195+'Réalisé AAD'!Q251</f>
        <v>866758.83999999939</v>
      </c>
      <c r="G24" s="961">
        <f t="shared" si="4"/>
        <v>92258.33000000054</v>
      </c>
    </row>
    <row r="25" spans="2:7" ht="15" thickBot="1">
      <c r="B25" s="934" t="s">
        <v>2944</v>
      </c>
      <c r="C25" s="937">
        <f>'Réalisé AAD'!L315</f>
        <v>698272.81999999983</v>
      </c>
      <c r="D25" s="937">
        <f>'Réalisé AAD'!F315</f>
        <v>750331.49394616496</v>
      </c>
      <c r="E25" s="961">
        <f t="shared" si="3"/>
        <v>-52058.67394616513</v>
      </c>
      <c r="F25" s="938">
        <f>'Réalisé AAD'!Q315</f>
        <v>670175.30999999901</v>
      </c>
      <c r="G25" s="961">
        <f t="shared" si="4"/>
        <v>28097.510000000824</v>
      </c>
    </row>
    <row r="26" spans="2:7" ht="15" thickTop="1">
      <c r="B26" s="942" t="s">
        <v>2941</v>
      </c>
      <c r="C26" s="943">
        <f>SUM(C22:C25)</f>
        <v>3082148.7199999979</v>
      </c>
      <c r="D26" s="943">
        <f>SUM(D22:D25)</f>
        <v>3435286.468975659</v>
      </c>
      <c r="E26" s="962">
        <f t="shared" si="3"/>
        <v>-353137.74897566112</v>
      </c>
      <c r="F26" s="944">
        <f>SUM(F22:F25)</f>
        <v>3058602.2999999966</v>
      </c>
      <c r="G26" s="962">
        <f t="shared" si="4"/>
        <v>23546.420000001322</v>
      </c>
    </row>
    <row r="27" spans="2:7">
      <c r="B27" s="934" t="s">
        <v>2938</v>
      </c>
      <c r="C27" s="937">
        <f>'Réalisé AAD'!AF482</f>
        <v>1034327.91</v>
      </c>
      <c r="D27" s="937">
        <f>'Réalisé AAD'!Z482</f>
        <v>1028629.9857142856</v>
      </c>
      <c r="E27" s="961">
        <f t="shared" si="3"/>
        <v>5697.9242857143981</v>
      </c>
      <c r="F27" s="938">
        <f>'Réalisé AAD'!AL482</f>
        <v>901916.91000000015</v>
      </c>
      <c r="G27" s="961">
        <f t="shared" si="4"/>
        <v>132410.99999999988</v>
      </c>
    </row>
    <row r="28" spans="2:7">
      <c r="B28" s="934" t="s">
        <v>2937</v>
      </c>
      <c r="C28" s="937">
        <f>-'Réalisé AAD'!AF469</f>
        <v>-2979179.9899999998</v>
      </c>
      <c r="D28" s="937">
        <f>-'Réalisé AAD'!Z469</f>
        <v>-3301279.4889402124</v>
      </c>
      <c r="E28" s="961">
        <f t="shared" si="3"/>
        <v>322099.49894021265</v>
      </c>
      <c r="F28" s="938">
        <f>-'Réalisé AAD'!AL469</f>
        <v>-3203976.5399999996</v>
      </c>
      <c r="G28" s="961">
        <f t="shared" si="4"/>
        <v>224796.54999999981</v>
      </c>
    </row>
    <row r="29" spans="2:7" ht="15" thickBot="1">
      <c r="B29" s="934" t="s">
        <v>2953</v>
      </c>
      <c r="C29" s="937">
        <f>-'Réalisé AAD'!AF492-'Réalisé AAD'!AF497</f>
        <v>-2439.3400000000038</v>
      </c>
      <c r="D29" s="937">
        <f>-'Réalisé AAD'!Z492-'Réalisé AAD'!Z497</f>
        <v>-28544.25</v>
      </c>
      <c r="E29" s="961">
        <f t="shared" si="3"/>
        <v>26104.909999999996</v>
      </c>
      <c r="F29" s="938">
        <f>-'Réalisé AAD'!AL492-'Réalisé AAD'!AL497</f>
        <v>-117012.45999999999</v>
      </c>
      <c r="G29" s="961">
        <f t="shared" si="4"/>
        <v>114573.12</v>
      </c>
    </row>
    <row r="30" spans="2:7" ht="16" thickTop="1" thickBot="1">
      <c r="B30" s="939" t="s">
        <v>2824</v>
      </c>
      <c r="C30" s="940">
        <f t="shared" ref="C30:G30" si="5">SUM(C26:C29)</f>
        <v>1134857.2999999982</v>
      </c>
      <c r="D30" s="940">
        <f t="shared" si="5"/>
        <v>1134092.7157497318</v>
      </c>
      <c r="E30" s="964">
        <f t="shared" si="5"/>
        <v>764.58425026592886</v>
      </c>
      <c r="F30" s="941">
        <f t="shared" si="5"/>
        <v>639530.20999999717</v>
      </c>
      <c r="G30" s="964">
        <f t="shared" si="5"/>
        <v>495327.09000000102</v>
      </c>
    </row>
    <row r="32" spans="2:7" ht="21" hidden="1" thickBot="1">
      <c r="C32" s="1444" t="s">
        <v>3070</v>
      </c>
      <c r="D32" s="1445"/>
      <c r="E32" s="1445"/>
      <c r="F32" s="1445"/>
      <c r="G32" s="1446"/>
    </row>
    <row r="33" spans="2:7" ht="31" hidden="1" thickBot="1">
      <c r="B33" s="946"/>
      <c r="C33" s="947" t="s">
        <v>3072</v>
      </c>
      <c r="D33" s="947" t="s">
        <v>2975</v>
      </c>
      <c r="E33" s="958" t="s">
        <v>2945</v>
      </c>
      <c r="F33" s="948" t="s">
        <v>3073</v>
      </c>
      <c r="G33" s="958" t="s">
        <v>3020</v>
      </c>
    </row>
    <row r="34" spans="2:7" ht="15" hidden="1">
      <c r="B34" s="950" t="s">
        <v>2951</v>
      </c>
      <c r="C34" s="952">
        <f>'Q2'!J27</f>
        <v>104</v>
      </c>
      <c r="D34" s="953">
        <f>'Q2'!D27</f>
        <v>109</v>
      </c>
      <c r="E34" s="959">
        <f t="shared" ref="E34:E43" si="6">C34-D34</f>
        <v>-5</v>
      </c>
      <c r="F34" s="954">
        <f>'Q2'!O27</f>
        <v>93</v>
      </c>
      <c r="G34" s="959">
        <f t="shared" ref="G34:G43" si="7">C34-F34</f>
        <v>11</v>
      </c>
    </row>
    <row r="35" spans="2:7" ht="16" hidden="1" thickBot="1">
      <c r="B35" s="951" t="s">
        <v>2952</v>
      </c>
      <c r="C35" s="955">
        <f>'Q2'!J97</f>
        <v>63</v>
      </c>
      <c r="D35" s="956">
        <f>'Q2'!D97</f>
        <v>77</v>
      </c>
      <c r="E35" s="960">
        <f t="shared" si="6"/>
        <v>-14</v>
      </c>
      <c r="F35" s="957">
        <f>'Q2'!O97</f>
        <v>62</v>
      </c>
      <c r="G35" s="960">
        <f t="shared" si="7"/>
        <v>1</v>
      </c>
    </row>
    <row r="36" spans="2:7" hidden="1">
      <c r="B36" s="933" t="s">
        <v>2939</v>
      </c>
      <c r="C36" s="935">
        <f>'Q2'!L27</f>
        <v>492822.89999999979</v>
      </c>
      <c r="D36" s="935">
        <f>'Q2'!F27</f>
        <v>568285.4411764706</v>
      </c>
      <c r="E36" s="963">
        <f t="shared" si="6"/>
        <v>-75462.541176470811</v>
      </c>
      <c r="F36" s="936">
        <f>'Q2'!Q27</f>
        <v>612757.24999999942</v>
      </c>
      <c r="G36" s="963">
        <f t="shared" si="7"/>
        <v>-119934.34999999963</v>
      </c>
    </row>
    <row r="37" spans="2:7" hidden="1">
      <c r="B37" s="934" t="s">
        <v>2940</v>
      </c>
      <c r="C37" s="937">
        <f>'Q2'!L109</f>
        <v>273351.89000000013</v>
      </c>
      <c r="D37" s="937">
        <f>'Q2'!F109</f>
        <v>318232.89418071648</v>
      </c>
      <c r="E37" s="961">
        <f t="shared" si="6"/>
        <v>-44881.004180716351</v>
      </c>
      <c r="F37" s="938">
        <f>'Q2'!Q109</f>
        <v>294736.95999999967</v>
      </c>
      <c r="G37" s="961">
        <f t="shared" si="7"/>
        <v>-21385.069999999541</v>
      </c>
    </row>
    <row r="38" spans="2:7" hidden="1">
      <c r="B38" s="934" t="s">
        <v>2943</v>
      </c>
      <c r="C38" s="937">
        <f>'Q2'!L195+'Q2'!L251</f>
        <v>481227.98</v>
      </c>
      <c r="D38" s="937">
        <f>'Q2'!F195</f>
        <v>566953.30049199099</v>
      </c>
      <c r="E38" s="961">
        <f t="shared" si="6"/>
        <v>-85725.320491991006</v>
      </c>
      <c r="F38" s="938">
        <f>'Q2'!Q195+'Q2'!Q251</f>
        <v>468193.09999999969</v>
      </c>
      <c r="G38" s="961">
        <f t="shared" si="7"/>
        <v>13034.880000000296</v>
      </c>
    </row>
    <row r="39" spans="2:7" ht="15" hidden="1" thickBot="1">
      <c r="B39" s="934" t="s">
        <v>2944</v>
      </c>
      <c r="C39" s="937">
        <f>'Q2'!L315</f>
        <v>331261.25999999995</v>
      </c>
      <c r="D39" s="937">
        <f>'Q2'!F315</f>
        <v>362783.85722869477</v>
      </c>
      <c r="E39" s="961">
        <f t="shared" si="6"/>
        <v>-31522.597228694824</v>
      </c>
      <c r="F39" s="938">
        <f>'Q2'!Q315</f>
        <v>328809.33999999944</v>
      </c>
      <c r="G39" s="961">
        <f t="shared" si="7"/>
        <v>2451.9200000005076</v>
      </c>
    </row>
    <row r="40" spans="2:7" ht="15" hidden="1" thickTop="1">
      <c r="B40" s="942" t="s">
        <v>2941</v>
      </c>
      <c r="C40" s="943">
        <f>SUM(C36:C39)</f>
        <v>1578664.03</v>
      </c>
      <c r="D40" s="943">
        <f>SUM(D36:D39)</f>
        <v>1816255.4930778728</v>
      </c>
      <c r="E40" s="962">
        <f t="shared" si="6"/>
        <v>-237591.46307787276</v>
      </c>
      <c r="F40" s="944">
        <f>SUM(F36:F39)</f>
        <v>1704496.649999998</v>
      </c>
      <c r="G40" s="962">
        <f t="shared" si="7"/>
        <v>-125832.61999999802</v>
      </c>
    </row>
    <row r="41" spans="2:7" hidden="1">
      <c r="B41" s="934" t="s">
        <v>2938</v>
      </c>
      <c r="C41" s="937">
        <f>'Q2'!AF482</f>
        <v>564831.82000000007</v>
      </c>
      <c r="D41" s="937">
        <f>'Q2'!Z482</f>
        <v>548846.96785714291</v>
      </c>
      <c r="E41" s="961">
        <f t="shared" si="6"/>
        <v>15984.852142857155</v>
      </c>
      <c r="F41" s="938">
        <f>'Q2'!AL482</f>
        <v>485631.94</v>
      </c>
      <c r="G41" s="961">
        <f t="shared" si="7"/>
        <v>79199.880000000063</v>
      </c>
    </row>
    <row r="42" spans="2:7" hidden="1">
      <c r="B42" s="934" t="s">
        <v>2937</v>
      </c>
      <c r="C42" s="937">
        <f>-'Q2'!AF469</f>
        <v>-1384219.56</v>
      </c>
      <c r="D42" s="937">
        <f>-'Q2'!Z469</f>
        <v>-1536234.014316177</v>
      </c>
      <c r="E42" s="961">
        <f t="shared" si="6"/>
        <v>152014.45431617694</v>
      </c>
      <c r="F42" s="938">
        <f>-'Q2'!AL469</f>
        <v>-1517423.6099999999</v>
      </c>
      <c r="G42" s="961">
        <f t="shared" si="7"/>
        <v>133204.04999999981</v>
      </c>
    </row>
    <row r="43" spans="2:7" ht="15" hidden="1" thickBot="1">
      <c r="B43" s="934" t="s">
        <v>2953</v>
      </c>
      <c r="C43" s="937">
        <f>-'Q2'!AF492-'Q2'!AF497</f>
        <v>-879.81999999999971</v>
      </c>
      <c r="D43" s="937">
        <f>-'Q2'!Z492-'Q2'!Z497</f>
        <v>-12233.25</v>
      </c>
      <c r="E43" s="961">
        <f t="shared" si="6"/>
        <v>11353.43</v>
      </c>
      <c r="F43" s="938">
        <f>-'Q2'!AL492-'Q2'!AL497</f>
        <v>-50172.46</v>
      </c>
      <c r="G43" s="961">
        <f t="shared" si="7"/>
        <v>49292.639999999999</v>
      </c>
    </row>
    <row r="44" spans="2:7" ht="16" hidden="1" thickTop="1" thickBot="1">
      <c r="B44" s="939" t="s">
        <v>2824</v>
      </c>
      <c r="C44" s="940">
        <f>SUM(C40:C43)</f>
        <v>758396.47000000009</v>
      </c>
      <c r="D44" s="940">
        <f t="shared" ref="D44:G44" si="8">SUM(D40:D43)</f>
        <v>816635.1966188387</v>
      </c>
      <c r="E44" s="964">
        <f t="shared" si="8"/>
        <v>-58238.726618838664</v>
      </c>
      <c r="F44" s="941">
        <f t="shared" si="8"/>
        <v>622532.51999999816</v>
      </c>
      <c r="G44" s="964">
        <f t="shared" si="8"/>
        <v>135863.95000000187</v>
      </c>
    </row>
    <row r="45" spans="2:7" hidden="1"/>
    <row r="46" spans="2:7" hidden="1"/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3"/>
  <sheetViews>
    <sheetView view="pageBreakPreview" topLeftCell="A442" zoomScale="60" zoomScaleNormal="70" workbookViewId="0">
      <selection activeCell="A441" sqref="A1:XFD1048576"/>
    </sheetView>
  </sheetViews>
  <sheetFormatPr baseColWidth="10" defaultColWidth="12.6640625" defaultRowHeight="15" customHeight="1" outlineLevelRow="1"/>
  <cols>
    <col min="1" max="1" width="24.1640625" customWidth="1"/>
    <col min="2" max="2" width="23.1640625" customWidth="1"/>
    <col min="3" max="3" width="34.6640625" customWidth="1"/>
    <col min="4" max="4" width="16.33203125" customWidth="1"/>
    <col min="5" max="5" width="15.6640625" customWidth="1"/>
    <col min="6" max="6" width="16.83203125" customWidth="1"/>
    <col min="7" max="7" width="17.6640625" hidden="1" customWidth="1"/>
    <col min="8" max="8" width="15.6640625" hidden="1" customWidth="1"/>
    <col min="9" max="9" width="15.83203125" hidden="1" customWidth="1"/>
    <col min="10" max="10" width="16.6640625" customWidth="1"/>
    <col min="11" max="11" width="14.5" customWidth="1"/>
    <col min="12" max="12" width="15.83203125" customWidth="1"/>
    <col min="13" max="13" width="12" customWidth="1"/>
    <col min="14" max="14" width="18.6640625" customWidth="1"/>
    <col min="15" max="15" width="16.33203125" customWidth="1"/>
    <col min="16" max="16" width="15.6640625" customWidth="1"/>
    <col min="17" max="17" width="16.33203125" customWidth="1"/>
    <col min="18" max="18" width="13.83203125" customWidth="1"/>
    <col min="19" max="19" width="18.6640625" customWidth="1"/>
    <col min="20" max="20" width="3" customWidth="1"/>
    <col min="21" max="21" width="4" customWidth="1"/>
    <col min="22" max="22" width="31.6640625" style="1039" customWidth="1"/>
    <col min="23" max="23" width="12.1640625" customWidth="1"/>
    <col min="24" max="24" width="11.5" bestFit="1" customWidth="1"/>
    <col min="25" max="25" width="10" customWidth="1"/>
    <col min="26" max="26" width="17.33203125" customWidth="1"/>
    <col min="27" max="27" width="10.83203125" hidden="1" customWidth="1"/>
    <col min="28" max="28" width="10" hidden="1" customWidth="1"/>
    <col min="29" max="29" width="17.5" hidden="1" customWidth="1"/>
    <col min="30" max="30" width="10.83203125" customWidth="1"/>
    <col min="31" max="31" width="12" customWidth="1"/>
    <col min="32" max="32" width="18.83203125" customWidth="1"/>
    <col min="33" max="33" width="10.83203125" customWidth="1"/>
    <col min="34" max="34" width="16.1640625" customWidth="1"/>
    <col min="35" max="35" width="12.33203125" customWidth="1"/>
    <col min="36" max="36" width="10.83203125" customWidth="1"/>
    <col min="37" max="37" width="10" customWidth="1"/>
    <col min="38" max="38" width="17.5" customWidth="1"/>
    <col min="39" max="39" width="10.83203125" customWidth="1"/>
    <col min="40" max="40" width="16" customWidth="1"/>
    <col min="41" max="41" width="12.33203125" customWidth="1"/>
    <col min="42" max="42" width="11.6640625" bestFit="1" customWidth="1"/>
    <col min="43" max="62" width="11" customWidth="1"/>
  </cols>
  <sheetData>
    <row r="1" spans="1:40" ht="3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3071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8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33" t="s">
        <v>77</v>
      </c>
      <c r="E3" s="1434"/>
      <c r="F3" s="1435"/>
      <c r="G3" s="1436" t="s">
        <v>2970</v>
      </c>
      <c r="H3" s="1434"/>
      <c r="I3" s="1435"/>
      <c r="J3" s="1436" t="s">
        <v>78</v>
      </c>
      <c r="K3" s="1434"/>
      <c r="L3" s="1435"/>
      <c r="M3" s="1436" t="s">
        <v>2441</v>
      </c>
      <c r="N3" s="1435"/>
      <c r="O3" s="1433" t="s">
        <v>79</v>
      </c>
      <c r="P3" s="1434"/>
      <c r="Q3" s="1435"/>
      <c r="R3" s="1437" t="s">
        <v>2445</v>
      </c>
      <c r="S3" s="1438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">
      <c r="B4" s="24"/>
      <c r="C4" s="311"/>
      <c r="D4" s="361" t="s">
        <v>81</v>
      </c>
      <c r="E4" s="986" t="s">
        <v>82</v>
      </c>
      <c r="F4" s="363" t="s">
        <v>83</v>
      </c>
      <c r="G4" s="364" t="s">
        <v>81</v>
      </c>
      <c r="H4" s="986" t="s">
        <v>82</v>
      </c>
      <c r="I4" s="363" t="s">
        <v>83</v>
      </c>
      <c r="J4" s="364" t="s">
        <v>81</v>
      </c>
      <c r="K4" s="986" t="s">
        <v>84</v>
      </c>
      <c r="L4" s="363" t="s">
        <v>83</v>
      </c>
      <c r="M4" s="364" t="s">
        <v>2442</v>
      </c>
      <c r="N4" s="363" t="s">
        <v>83</v>
      </c>
      <c r="O4" s="986" t="s">
        <v>81</v>
      </c>
      <c r="P4" s="986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9500834.8039215691</v>
      </c>
      <c r="G5" s="277"/>
      <c r="H5" s="366"/>
      <c r="I5" s="536">
        <v>0</v>
      </c>
      <c r="J5" s="277"/>
      <c r="K5" s="183"/>
      <c r="L5" s="176">
        <v>10082677.250000004</v>
      </c>
      <c r="M5" s="367"/>
      <c r="N5" s="368"/>
      <c r="O5" s="277"/>
      <c r="P5" s="183"/>
      <c r="Q5" s="176">
        <v>8603227.3399999905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5">
        <v>28</v>
      </c>
      <c r="E6" s="965">
        <f>IF(D6=0,0,F6/D6)</f>
        <v>4701.176470588236</v>
      </c>
      <c r="F6" s="965">
        <v>131632.9411764706</v>
      </c>
      <c r="G6" s="181">
        <v>0</v>
      </c>
      <c r="H6" s="965">
        <f>IF(G6=0,0,I6/G6)</f>
        <v>0</v>
      </c>
      <c r="I6" s="965">
        <v>0</v>
      </c>
      <c r="J6" s="181">
        <v>37</v>
      </c>
      <c r="K6" s="965">
        <f>IF(J6=0,0,L6/J6)</f>
        <v>5547.419729729716</v>
      </c>
      <c r="L6" s="472">
        <v>205254.5299999995</v>
      </c>
      <c r="M6" s="181">
        <f t="shared" ref="M6:M12" si="2">J6-D6</f>
        <v>9</v>
      </c>
      <c r="N6" s="179">
        <f t="shared" ref="N6:N12" si="3">L6-F6</f>
        <v>73621.588823528902</v>
      </c>
      <c r="O6" s="181">
        <v>27</v>
      </c>
      <c r="P6" s="965">
        <f>IF(O6=0,0,Q6/O6)</f>
        <v>5997.1281481481446</v>
      </c>
      <c r="Q6" s="472">
        <v>161922.4599999999</v>
      </c>
      <c r="R6" s="181">
        <f>J6-O6</f>
        <v>10</v>
      </c>
      <c r="S6" s="344">
        <f>L6-Q6</f>
        <v>43332.0699999996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5">
        <v>65</v>
      </c>
      <c r="E7" s="965">
        <f t="shared" ref="E7:E12" si="4">IF(D7=0,0,F7/D7)</f>
        <v>3928.5</v>
      </c>
      <c r="F7" s="965">
        <v>255352.5</v>
      </c>
      <c r="G7" s="181">
        <v>0</v>
      </c>
      <c r="H7" s="965">
        <f t="shared" ref="H7:H12" si="5">IF(G7=0,0,I7/G7)</f>
        <v>0</v>
      </c>
      <c r="I7" s="965">
        <v>0</v>
      </c>
      <c r="J7" s="181">
        <v>45</v>
      </c>
      <c r="K7" s="965">
        <f t="shared" ref="K7:K12" si="6">IF(J7=0,0,L7/J7)</f>
        <v>3957.2977777777846</v>
      </c>
      <c r="L7" s="472">
        <v>178078.40000000031</v>
      </c>
      <c r="M7" s="181">
        <f t="shared" si="2"/>
        <v>-20</v>
      </c>
      <c r="N7" s="179">
        <f t="shared" si="3"/>
        <v>-77274.099999999686</v>
      </c>
      <c r="O7" s="181">
        <v>45</v>
      </c>
      <c r="P7" s="965">
        <f t="shared" ref="P7:P12" si="7">IF(O7=0,0,Q7/O7)</f>
        <v>4008.3437777777713</v>
      </c>
      <c r="Q7" s="472">
        <v>180375.46999999971</v>
      </c>
      <c r="R7" s="181">
        <f t="shared" ref="R7:R12" si="8">J7-O7</f>
        <v>0</v>
      </c>
      <c r="S7" s="344">
        <f t="shared" ref="S7:S12" si="9">L7-Q7</f>
        <v>-2297.0699999993958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5">
        <v>0</v>
      </c>
      <c r="E8" s="965">
        <f t="shared" si="4"/>
        <v>0</v>
      </c>
      <c r="F8" s="965">
        <v>0</v>
      </c>
      <c r="G8" s="181">
        <v>0</v>
      </c>
      <c r="H8" s="965">
        <f t="shared" si="5"/>
        <v>0</v>
      </c>
      <c r="I8" s="965">
        <v>0</v>
      </c>
      <c r="J8" s="181">
        <v>0</v>
      </c>
      <c r="K8" s="965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5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5">
        <v>0</v>
      </c>
      <c r="E9" s="965">
        <f t="shared" si="4"/>
        <v>0</v>
      </c>
      <c r="F9" s="965">
        <v>0</v>
      </c>
      <c r="G9" s="181">
        <v>0</v>
      </c>
      <c r="H9" s="965">
        <f t="shared" si="5"/>
        <v>0</v>
      </c>
      <c r="I9" s="965">
        <v>0</v>
      </c>
      <c r="J9" s="181">
        <v>0</v>
      </c>
      <c r="K9" s="965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5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5">
        <v>0</v>
      </c>
      <c r="E10" s="965">
        <f t="shared" si="4"/>
        <v>0</v>
      </c>
      <c r="F10" s="965">
        <v>0</v>
      </c>
      <c r="G10" s="181">
        <v>0</v>
      </c>
      <c r="H10" s="965">
        <f t="shared" si="5"/>
        <v>0</v>
      </c>
      <c r="I10" s="965">
        <v>0</v>
      </c>
      <c r="J10" s="181">
        <v>0</v>
      </c>
      <c r="K10" s="965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5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5">
        <v>0</v>
      </c>
      <c r="E11" s="965">
        <f t="shared" si="4"/>
        <v>0</v>
      </c>
      <c r="F11" s="965">
        <v>0</v>
      </c>
      <c r="G11" s="181">
        <v>0</v>
      </c>
      <c r="H11" s="965">
        <f t="shared" si="5"/>
        <v>0</v>
      </c>
      <c r="I11" s="965">
        <v>0</v>
      </c>
      <c r="J11" s="181">
        <v>0</v>
      </c>
      <c r="K11" s="965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5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5">
        <v>0</v>
      </c>
      <c r="E12" s="965">
        <f t="shared" si="4"/>
        <v>0</v>
      </c>
      <c r="F12" s="965">
        <v>0</v>
      </c>
      <c r="G12" s="181">
        <v>0</v>
      </c>
      <c r="H12" s="965">
        <f t="shared" si="5"/>
        <v>0</v>
      </c>
      <c r="I12" s="965">
        <v>0</v>
      </c>
      <c r="J12" s="181">
        <v>0</v>
      </c>
      <c r="K12" s="965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5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93</v>
      </c>
      <c r="E13" s="345">
        <f>IF(D13&lt;=0,0,F13/D13)</f>
        <v>4161.1337760910819</v>
      </c>
      <c r="F13" s="346">
        <f>+SUM(F6:F12)</f>
        <v>386985.4411764706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82</v>
      </c>
      <c r="K13" s="345">
        <f>IF(J13&lt;=0,0,L13/J13)</f>
        <v>4674.7918292682907</v>
      </c>
      <c r="L13" s="346">
        <f>+SUM(L6:L12)</f>
        <v>383332.92999999982</v>
      </c>
      <c r="M13" s="347">
        <f>+SUM(M6:M12)</f>
        <v>-11</v>
      </c>
      <c r="N13" s="346">
        <f>+SUM(N6:N12)</f>
        <v>-3652.5111764707835</v>
      </c>
      <c r="O13" s="347">
        <f>+SUM(O6:O12)</f>
        <v>72</v>
      </c>
      <c r="P13" s="345">
        <f>IF(O13&lt;=0,0,Q13/O13)</f>
        <v>4754.1379166666611</v>
      </c>
      <c r="Q13" s="346">
        <f>+SUM(Q6:Q12)</f>
        <v>342297.92999999959</v>
      </c>
      <c r="R13" s="347">
        <f>+SUM(R6:R12)</f>
        <v>10</v>
      </c>
      <c r="S13" s="348">
        <f>+SUM(S6:S12)</f>
        <v>41035.000000000204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5"/>
      <c r="F14" s="264"/>
      <c r="G14" s="222"/>
      <c r="H14" s="965"/>
      <c r="I14" s="264"/>
      <c r="J14" s="222"/>
      <c r="K14" s="965"/>
      <c r="L14" s="264"/>
      <c r="M14" s="234">
        <f>IF(D13=0,0,M13/D13)</f>
        <v>-0.11827956989247312</v>
      </c>
      <c r="N14" s="233">
        <f>IF(F13=0,0,N13/F13)</f>
        <v>-9.4383684444738301E-3</v>
      </c>
      <c r="O14" s="222"/>
      <c r="P14" s="965"/>
      <c r="Q14" s="264"/>
      <c r="R14" s="234">
        <f>R13/O13</f>
        <v>0.1388888888888889</v>
      </c>
      <c r="S14" s="261">
        <f>IF(Q13=0,0,(S13/Q13))</f>
        <v>0.11988094698673829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10</v>
      </c>
      <c r="E15" s="183">
        <f>IF(D15=0,0,F15/D15)</f>
        <v>1200</v>
      </c>
      <c r="F15" s="176">
        <v>12000</v>
      </c>
      <c r="G15" s="182">
        <v>0</v>
      </c>
      <c r="H15" s="351">
        <f>IF(G15=0,0,I15/G15)</f>
        <v>0</v>
      </c>
      <c r="I15" s="349">
        <v>0</v>
      </c>
      <c r="J15" s="352">
        <v>11</v>
      </c>
      <c r="K15" s="987">
        <f>IF(J15=0,0,L15/J15)</f>
        <v>398.09545454545611</v>
      </c>
      <c r="L15" s="987">
        <v>4379.0500000000175</v>
      </c>
      <c r="M15" s="350">
        <f>J15-D15</f>
        <v>1</v>
      </c>
      <c r="N15" s="349">
        <f>L15-F15</f>
        <v>-7620.9499999999825</v>
      </c>
      <c r="O15" s="352">
        <v>21</v>
      </c>
      <c r="P15" s="987">
        <f>IF(O15=0,0,Q15/O15)</f>
        <v>2815.8661904761798</v>
      </c>
      <c r="Q15" s="987">
        <v>59133.189999999777</v>
      </c>
      <c r="R15" s="350">
        <f>J15-O15</f>
        <v>-10</v>
      </c>
      <c r="S15" s="371">
        <f>L15-Q15</f>
        <v>-54754.139999999759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5"/>
      <c r="F16" s="264"/>
      <c r="G16" s="222"/>
      <c r="H16" s="965"/>
      <c r="I16" s="264"/>
      <c r="J16" s="222"/>
      <c r="K16" s="965"/>
      <c r="L16" s="179"/>
      <c r="M16" s="234"/>
      <c r="N16" s="233"/>
      <c r="O16" s="222"/>
      <c r="P16" s="965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5">
        <v>6</v>
      </c>
      <c r="E17" s="965">
        <f>IF(D17=0,0,F17/D17)</f>
        <v>750</v>
      </c>
      <c r="F17" s="965">
        <v>4500</v>
      </c>
      <c r="G17" s="181">
        <v>0</v>
      </c>
      <c r="H17" s="965">
        <f>IF(G17=0,0,I17/G17)</f>
        <v>0</v>
      </c>
      <c r="I17" s="965">
        <v>0</v>
      </c>
      <c r="J17" s="350">
        <v>11</v>
      </c>
      <c r="K17" s="965">
        <f>IF(J17=0,0,L17/J17)</f>
        <v>484.49727272727017</v>
      </c>
      <c r="L17" s="179">
        <v>5329.4699999999721</v>
      </c>
      <c r="M17" s="350">
        <f>J17-D17</f>
        <v>5</v>
      </c>
      <c r="N17" s="179">
        <f>L17-F17</f>
        <v>829.46999999997206</v>
      </c>
      <c r="O17" s="350">
        <v>0</v>
      </c>
      <c r="P17" s="965">
        <f>IF(O17=0,0,Q17/O17)</f>
        <v>0</v>
      </c>
      <c r="Q17" s="179">
        <v>0</v>
      </c>
      <c r="R17" s="181">
        <f>J17-O17</f>
        <v>11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">
      <c r="A19" t="str">
        <f t="shared" si="1"/>
        <v>Véhicules neufsRachat bail</v>
      </c>
      <c r="B19" s="24" t="str">
        <f t="shared" si="0"/>
        <v>Véhicules neufs</v>
      </c>
      <c r="C19" s="1420" t="s">
        <v>93</v>
      </c>
      <c r="D19" s="183"/>
      <c r="E19" s="183"/>
      <c r="F19" s="176">
        <v>0</v>
      </c>
      <c r="G19" s="182"/>
      <c r="H19" s="183"/>
      <c r="I19" s="176">
        <v>0</v>
      </c>
      <c r="J19" s="182"/>
      <c r="K19" s="183"/>
      <c r="L19" s="176">
        <v>0</v>
      </c>
      <c r="M19" s="182"/>
      <c r="N19" s="176">
        <f>L19-F19</f>
        <v>0</v>
      </c>
      <c r="O19" s="182"/>
      <c r="P19" s="183"/>
      <c r="Q19" s="176">
        <v>0</v>
      </c>
      <c r="R19" s="182">
        <f>O19-K19</f>
        <v>0</v>
      </c>
      <c r="S19" s="1421">
        <f>L19-Q19</f>
        <v>0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>
      <c r="A20" t="str">
        <f t="shared" si="1"/>
        <v>Véhicules neufs</v>
      </c>
      <c r="B20" s="24" t="str">
        <f t="shared" si="0"/>
        <v>Véhicules neufs</v>
      </c>
      <c r="C20" s="259"/>
      <c r="D20" s="965"/>
      <c r="E20" s="965"/>
      <c r="F20" s="179"/>
      <c r="G20" s="181"/>
      <c r="H20" s="965"/>
      <c r="I20" s="179"/>
      <c r="J20" s="181"/>
      <c r="K20" s="965"/>
      <c r="L20" s="179"/>
      <c r="M20" s="181"/>
      <c r="N20" s="179"/>
      <c r="O20" s="181"/>
      <c r="P20" s="965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5">
        <v>0</v>
      </c>
      <c r="E21" s="965">
        <f>IF(D21=0,0,F21/D21)</f>
        <v>0</v>
      </c>
      <c r="F21" s="965">
        <v>721</v>
      </c>
      <c r="G21" s="222">
        <v>0</v>
      </c>
      <c r="H21" s="965">
        <f>IF(G21=0,0,I21/G21)</f>
        <v>0</v>
      </c>
      <c r="I21" s="965">
        <v>0</v>
      </c>
      <c r="J21" s="181"/>
      <c r="K21" s="965">
        <f>IF(J13=0,0,L21/(J13+J15))</f>
        <v>14.300107526881721</v>
      </c>
      <c r="L21" s="179">
        <v>1329.91</v>
      </c>
      <c r="M21" s="181"/>
      <c r="N21" s="179">
        <f>L21-F21</f>
        <v>608.91000000000008</v>
      </c>
      <c r="O21" s="181"/>
      <c r="P21" s="965">
        <f>IF(O13=0,0,Q21/(O13+O15))</f>
        <v>5.289354838709678</v>
      </c>
      <c r="Q21" s="179">
        <v>491.91</v>
      </c>
      <c r="R21" s="181">
        <f>O21-K21</f>
        <v>-14.300107526881721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5">
        <v>0</v>
      </c>
      <c r="E22" s="965">
        <f>IF(D22=0,0,F22/D22)</f>
        <v>0</v>
      </c>
      <c r="F22" s="965">
        <v>118450</v>
      </c>
      <c r="G22" s="222">
        <v>0</v>
      </c>
      <c r="H22" s="965">
        <f>IF(G22=0,0,I22/G22)</f>
        <v>0</v>
      </c>
      <c r="I22" s="965">
        <v>0</v>
      </c>
      <c r="J22" s="181"/>
      <c r="K22" s="965">
        <f>IF(J13=0,0,L22/(J13+J15))</f>
        <v>563.04623655913986</v>
      </c>
      <c r="L22" s="179">
        <v>52363.3</v>
      </c>
      <c r="M22" s="181"/>
      <c r="N22" s="179">
        <f>L22-F22</f>
        <v>-66086.7</v>
      </c>
      <c r="O22" s="181"/>
      <c r="P22" s="965">
        <f>IF(O13=0,0,Q22/(O13+O15))</f>
        <v>1464.1901075268815</v>
      </c>
      <c r="Q22" s="179">
        <v>136169.68</v>
      </c>
      <c r="R22" s="181">
        <f>O22-K22</f>
        <v>-563.04623655913986</v>
      </c>
      <c r="S22" s="344">
        <f>L22-Q22</f>
        <v>-83806.37999999999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5">
        <v>0</v>
      </c>
      <c r="E23" s="965">
        <f>IF(D23=0,0,F23/D23)</f>
        <v>0</v>
      </c>
      <c r="F23" s="965">
        <v>45629</v>
      </c>
      <c r="G23" s="222">
        <v>0</v>
      </c>
      <c r="H23" s="965">
        <f>IF(G23=0,0,I23/G23)</f>
        <v>0</v>
      </c>
      <c r="I23" s="965">
        <v>0</v>
      </c>
      <c r="J23" s="181"/>
      <c r="K23" s="965">
        <f>IF(J13=0,0,L23/(J13+J15))</f>
        <v>495.57247311827956</v>
      </c>
      <c r="L23" s="179">
        <v>46088.24</v>
      </c>
      <c r="M23" s="350"/>
      <c r="N23" s="179">
        <f>L23-F23</f>
        <v>459.23999999999796</v>
      </c>
      <c r="O23" s="181"/>
      <c r="P23" s="965">
        <f>IF(O13=0,0,Q23/(O13+O15))</f>
        <v>802.8445161290324</v>
      </c>
      <c r="Q23" s="179">
        <v>74664.540000000008</v>
      </c>
      <c r="R23" s="181">
        <f>O23-K23</f>
        <v>-495.57247311827956</v>
      </c>
      <c r="S23" s="344">
        <f>L23-Q23</f>
        <v>-28576.30000000001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93</v>
      </c>
      <c r="K24" s="345">
        <f>IF(J24&lt;=0,0,L24/J24)</f>
        <v>1072.9188172043011</v>
      </c>
      <c r="L24" s="346">
        <f>L21+L22+L23</f>
        <v>99781.450000000012</v>
      </c>
      <c r="M24" s="375">
        <f>J24-D24</f>
        <v>-10</v>
      </c>
      <c r="N24" s="346">
        <f>L24-F24</f>
        <v>-65018.549999999988</v>
      </c>
      <c r="O24" s="347">
        <f>+O15+O13</f>
        <v>93</v>
      </c>
      <c r="P24" s="345">
        <f>IF(O24&lt;=0,0,Q24/O24)</f>
        <v>2272.3239784946236</v>
      </c>
      <c r="Q24" s="346">
        <f>Q21+Q22+Q23</f>
        <v>211326.13</v>
      </c>
      <c r="R24" s="355"/>
      <c r="S24" s="348">
        <f>L24-Q24</f>
        <v>-111544.68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-0.3945300364077669</v>
      </c>
      <c r="O25" s="222"/>
      <c r="P25" s="25"/>
      <c r="Q25" s="224"/>
      <c r="R25" s="223"/>
      <c r="S25" s="261">
        <f>IF(Q24=0,0,(S24/Q24))</f>
        <v>-0.52783193446073129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5213.6279007015655</v>
      </c>
      <c r="F27" s="28">
        <f>F13+F17+F24+F19+F15</f>
        <v>568285.4411764706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104</v>
      </c>
      <c r="K27" s="30">
        <f>IF(J27&lt;=0,0,L27/J27)</f>
        <v>4738.681730769229</v>
      </c>
      <c r="L27" s="28">
        <f>L13+L17+L24+L19+L15</f>
        <v>492822.89999999979</v>
      </c>
      <c r="M27" s="29">
        <f>J27-D27</f>
        <v>-5</v>
      </c>
      <c r="N27" s="28">
        <f>L27-F27</f>
        <v>-75462.541176470811</v>
      </c>
      <c r="O27" s="29">
        <f>+O13+O15+O17</f>
        <v>93</v>
      </c>
      <c r="P27" s="30">
        <f>IF(O27&lt;=0,0,Q27/O27)</f>
        <v>6588.7876344085962</v>
      </c>
      <c r="Q27" s="28">
        <f>Q13+Q17+Q24+Q19+Q15</f>
        <v>612757.24999999942</v>
      </c>
      <c r="R27" s="29">
        <f>J27-O27</f>
        <v>11</v>
      </c>
      <c r="S27" s="320">
        <f>L27-Q27</f>
        <v>-119934.34999999963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-4.5871559633027525E-2</v>
      </c>
      <c r="N28" s="34">
        <f>N27/F27</f>
        <v>-0.13278985472555385</v>
      </c>
      <c r="O28" s="31"/>
      <c r="P28" s="322"/>
      <c r="Q28" s="32"/>
      <c r="R28" s="33">
        <f>R27/O27</f>
        <v>0.11827956989247312</v>
      </c>
      <c r="S28" s="258">
        <f>IF(Q27=0,0,S27/Q27)</f>
        <v>-0.19572897750291773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0.27413522512767446</v>
      </c>
      <c r="E31" s="37">
        <f t="shared" ref="E31:E40" si="10">F31/D$24</f>
        <v>1061.9025605784104</v>
      </c>
      <c r="F31" s="965">
        <v>109375.96373957628</v>
      </c>
      <c r="G31" s="292"/>
      <c r="H31" s="37" t="e">
        <f t="shared" ref="H31:H40" si="11">I31/G$24</f>
        <v>#DIV/0!</v>
      </c>
      <c r="I31" s="965">
        <v>0</v>
      </c>
      <c r="J31" s="292">
        <f>L31/(L13+L15)</f>
        <v>0.26539272786979662</v>
      </c>
      <c r="K31" s="37">
        <f t="shared" ref="K31:K40" si="12">IF(L31=0,0,L31/J$24)</f>
        <v>1106.4079569892474</v>
      </c>
      <c r="L31" s="965">
        <v>102895.94</v>
      </c>
      <c r="M31" s="222"/>
      <c r="N31" s="224">
        <f t="shared" ref="N31:N53" si="13">L31-F31</f>
        <v>-6480.0237395762815</v>
      </c>
      <c r="O31" s="292">
        <f>Q31/(Q13+Q15+Q17)</f>
        <v>0.2572717581038565</v>
      </c>
      <c r="P31" s="37">
        <f t="shared" ref="P31:P40" si="14">IF(Q31=0,0,Q31/O$24)</f>
        <v>1110.5041935483873</v>
      </c>
      <c r="Q31" s="179">
        <v>103276.89000000001</v>
      </c>
      <c r="R31" s="222"/>
      <c r="S31" s="196">
        <f t="shared" ref="S31:S53" si="15">L31-Q31</f>
        <v>-380.95000000001164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10"/>
        <v>488</v>
      </c>
      <c r="F32" s="176">
        <v>50264</v>
      </c>
      <c r="G32" s="319"/>
      <c r="H32" s="187" t="e">
        <f t="shared" si="11"/>
        <v>#DIV/0!</v>
      </c>
      <c r="I32" s="176">
        <v>0</v>
      </c>
      <c r="J32" s="319">
        <f>L32/L24</f>
        <v>0.23001189098775374</v>
      </c>
      <c r="K32" s="357">
        <f t="shared" si="12"/>
        <v>246.7840860215054</v>
      </c>
      <c r="L32" s="176">
        <v>22950.920000000002</v>
      </c>
      <c r="M32" s="277"/>
      <c r="N32" s="278">
        <f t="shared" si="13"/>
        <v>-27313.079999999998</v>
      </c>
      <c r="O32" s="319">
        <f>Q32/Q24</f>
        <v>0.34098760053950733</v>
      </c>
      <c r="P32" s="357">
        <f t="shared" si="14"/>
        <v>774.83430107526874</v>
      </c>
      <c r="Q32" s="176">
        <v>72059.59</v>
      </c>
      <c r="R32" s="277"/>
      <c r="S32" s="199">
        <f t="shared" si="15"/>
        <v>-49108.67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120</v>
      </c>
      <c r="F33" s="965">
        <v>12360</v>
      </c>
      <c r="G33" s="268"/>
      <c r="H33" s="37" t="e">
        <f t="shared" si="11"/>
        <v>#DIV/0!</v>
      </c>
      <c r="I33" s="965">
        <v>0</v>
      </c>
      <c r="J33" s="222"/>
      <c r="K33" s="37">
        <f t="shared" si="12"/>
        <v>167.99354838709678</v>
      </c>
      <c r="L33" s="965">
        <v>15623.4</v>
      </c>
      <c r="M33" s="222"/>
      <c r="N33" s="224">
        <f t="shared" si="13"/>
        <v>3263.3999999999996</v>
      </c>
      <c r="O33" s="222"/>
      <c r="P33" s="37">
        <f t="shared" si="14"/>
        <v>122.49</v>
      </c>
      <c r="Q33" s="179">
        <v>11391.57</v>
      </c>
      <c r="R33" s="222"/>
      <c r="S33" s="196">
        <f t="shared" si="15"/>
        <v>4231.83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35</v>
      </c>
      <c r="F34" s="965">
        <v>3605</v>
      </c>
      <c r="G34" s="268"/>
      <c r="H34" s="37" t="e">
        <f t="shared" si="11"/>
        <v>#DIV/0!</v>
      </c>
      <c r="I34" s="965">
        <v>0</v>
      </c>
      <c r="J34" s="222"/>
      <c r="K34" s="37">
        <f t="shared" si="12"/>
        <v>51.072365591397848</v>
      </c>
      <c r="L34" s="965">
        <v>4749.7299999999996</v>
      </c>
      <c r="M34" s="222"/>
      <c r="N34" s="224">
        <f t="shared" si="13"/>
        <v>1144.7299999999996</v>
      </c>
      <c r="O34" s="222"/>
      <c r="P34" s="37">
        <f t="shared" si="14"/>
        <v>37.781290322580645</v>
      </c>
      <c r="Q34" s="179">
        <v>3513.66</v>
      </c>
      <c r="R34" s="222"/>
      <c r="S34" s="196">
        <f t="shared" si="15"/>
        <v>1236.0699999999997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95.71844660194175</v>
      </c>
      <c r="F35" s="176">
        <v>9859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96.994086021505382</v>
      </c>
      <c r="L35" s="176">
        <v>9020.4500000000007</v>
      </c>
      <c r="M35" s="277"/>
      <c r="N35" s="278">
        <f t="shared" si="13"/>
        <v>-838.54999999999927</v>
      </c>
      <c r="O35" s="277"/>
      <c r="P35" s="357">
        <f t="shared" si="14"/>
        <v>52.236774193548385</v>
      </c>
      <c r="Q35" s="179">
        <v>4858.0199999999995</v>
      </c>
      <c r="R35" s="277"/>
      <c r="S35" s="199">
        <f t="shared" si="15"/>
        <v>4162.4300000000012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234.88787878787872</v>
      </c>
      <c r="F36" s="965">
        <v>24193.451515151508</v>
      </c>
      <c r="G36" s="268"/>
      <c r="H36" s="37" t="e">
        <f t="shared" si="11"/>
        <v>#DIV/0!</v>
      </c>
      <c r="I36" s="965">
        <v>0</v>
      </c>
      <c r="J36" s="222"/>
      <c r="K36" s="37">
        <f t="shared" si="12"/>
        <v>180.01913978494622</v>
      </c>
      <c r="L36" s="539">
        <v>16741.78</v>
      </c>
      <c r="M36" s="25"/>
      <c r="N36" s="224">
        <f t="shared" si="13"/>
        <v>-7451.6715151515091</v>
      </c>
      <c r="O36" s="222"/>
      <c r="P36" s="37">
        <f t="shared" si="14"/>
        <v>494.38526881720429</v>
      </c>
      <c r="Q36" s="373">
        <v>45977.83</v>
      </c>
      <c r="R36" s="222"/>
      <c r="S36" s="196">
        <f t="shared" si="15"/>
        <v>-29236.050000000003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686.46233467861123</v>
      </c>
      <c r="F37" s="965">
        <v>70705.620471896953</v>
      </c>
      <c r="G37" s="268"/>
      <c r="H37" s="37" t="e">
        <f t="shared" si="11"/>
        <v>#DIV/0!</v>
      </c>
      <c r="I37" s="965">
        <v>0</v>
      </c>
      <c r="J37" s="222"/>
      <c r="K37" s="37">
        <f t="shared" si="12"/>
        <v>689.29430107526878</v>
      </c>
      <c r="L37" s="540">
        <v>64104.369999999995</v>
      </c>
      <c r="M37" s="25"/>
      <c r="N37" s="224">
        <f t="shared" si="13"/>
        <v>-6601.2504718969576</v>
      </c>
      <c r="O37" s="222"/>
      <c r="P37" s="37">
        <f t="shared" si="14"/>
        <v>800.39150537634407</v>
      </c>
      <c r="Q37" s="179">
        <v>74436.41</v>
      </c>
      <c r="R37" s="222"/>
      <c r="S37" s="196">
        <f>L37-Q37</f>
        <v>-10332.040000000008</v>
      </c>
      <c r="T37" s="25"/>
      <c r="U37" s="25"/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5">
        <v>0</v>
      </c>
      <c r="G38" s="268"/>
      <c r="H38" s="37" t="e">
        <f t="shared" si="11"/>
        <v>#DIV/0!</v>
      </c>
      <c r="I38" s="965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5">
        <v>0</v>
      </c>
      <c r="G39" s="268"/>
      <c r="H39" s="37" t="e">
        <f t="shared" si="11"/>
        <v>#DIV/0!</v>
      </c>
      <c r="I39" s="965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5">
        <v>0</v>
      </c>
      <c r="G40" s="268"/>
      <c r="H40" s="37" t="e">
        <f t="shared" si="11"/>
        <v>#DIV/0!</v>
      </c>
      <c r="I40" s="965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0.49334896763537389</v>
      </c>
      <c r="F41" s="41">
        <f>SUM(F31:F40)</f>
        <v>280363.03572662477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0.47904955309503705</v>
      </c>
      <c r="L41" s="41">
        <f>SUM(L31:L40)</f>
        <v>236086.59000000003</v>
      </c>
      <c r="M41" s="504"/>
      <c r="N41" s="41">
        <f t="shared" si="13"/>
        <v>-44276.445726624748</v>
      </c>
      <c r="O41" s="42" t="s">
        <v>108</v>
      </c>
      <c r="P41" s="40">
        <f>Q41/Q$27</f>
        <v>0.51490858737289569</v>
      </c>
      <c r="Q41" s="503">
        <f>SUM(Q31:Q40)</f>
        <v>315513.96999999997</v>
      </c>
      <c r="R41" s="44"/>
      <c r="S41" s="284">
        <f t="shared" si="15"/>
        <v>-79427.379999999946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5">
        <v>39460.47975916804</v>
      </c>
      <c r="G42" s="222"/>
      <c r="H42" s="25"/>
      <c r="I42" s="965">
        <v>0</v>
      </c>
      <c r="J42" s="222"/>
      <c r="K42" s="25"/>
      <c r="L42" s="179">
        <v>28010.9</v>
      </c>
      <c r="M42" s="222"/>
      <c r="N42" s="224">
        <f t="shared" si="13"/>
        <v>-11449.579759168038</v>
      </c>
      <c r="O42" s="222"/>
      <c r="P42" s="25"/>
      <c r="Q42" s="179">
        <v>41662.89</v>
      </c>
      <c r="R42" s="222"/>
      <c r="S42" s="196">
        <f t="shared" si="15"/>
        <v>-13651.989999999998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15160.02521072797</v>
      </c>
      <c r="G43" s="268"/>
      <c r="H43" s="25"/>
      <c r="I43" s="176">
        <v>0</v>
      </c>
      <c r="J43" s="222"/>
      <c r="K43" s="25"/>
      <c r="L43" s="179">
        <v>12364.779999999999</v>
      </c>
      <c r="M43" s="222"/>
      <c r="N43" s="224">
        <f t="shared" si="13"/>
        <v>-2795.2452107279714</v>
      </c>
      <c r="O43" s="222"/>
      <c r="P43" s="25"/>
      <c r="Q43" s="179">
        <v>28011.770000000004</v>
      </c>
      <c r="R43" s="222"/>
      <c r="S43" s="196">
        <f t="shared" si="15"/>
        <v>-15646.990000000005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5">
        <v>0</v>
      </c>
      <c r="G44" s="271"/>
      <c r="H44" s="270"/>
      <c r="I44" s="965">
        <v>0</v>
      </c>
      <c r="J44" s="272"/>
      <c r="K44" s="270"/>
      <c r="L44" s="180">
        <v>520</v>
      </c>
      <c r="M44" s="272"/>
      <c r="N44" s="273">
        <f t="shared" si="13"/>
        <v>520</v>
      </c>
      <c r="O44" s="272"/>
      <c r="P44" s="270"/>
      <c r="Q44" s="180">
        <v>1026</v>
      </c>
      <c r="R44" s="272"/>
      <c r="S44" s="198">
        <f t="shared" si="15"/>
        <v>-506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5">
        <v>0</v>
      </c>
      <c r="G45" s="268"/>
      <c r="H45" s="25"/>
      <c r="I45" s="965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5">
        <v>0</v>
      </c>
      <c r="G46" s="268"/>
      <c r="H46" s="25"/>
      <c r="I46" s="965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5">
        <v>0</v>
      </c>
      <c r="G47" s="268"/>
      <c r="H47" s="25"/>
      <c r="I47" s="965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5">
        <v>0</v>
      </c>
      <c r="G48" s="268"/>
      <c r="H48" s="25"/>
      <c r="I48" s="965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29740.360413401188</v>
      </c>
      <c r="G49" s="268"/>
      <c r="H49" s="25"/>
      <c r="I49" s="176">
        <v>0</v>
      </c>
      <c r="J49" s="222"/>
      <c r="K49" s="25"/>
      <c r="L49" s="176">
        <v>21525.489999999998</v>
      </c>
      <c r="M49" s="222"/>
      <c r="N49" s="224">
        <f t="shared" si="13"/>
        <v>-8214.8704134011896</v>
      </c>
      <c r="O49" s="222"/>
      <c r="P49" s="25"/>
      <c r="Q49" s="176">
        <v>28615.34</v>
      </c>
      <c r="R49" s="222"/>
      <c r="S49" s="196">
        <f t="shared" si="15"/>
        <v>-7089.8500000000022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5">
        <v>31629.611551640832</v>
      </c>
      <c r="G50" s="271"/>
      <c r="H50" s="270"/>
      <c r="I50" s="965">
        <v>0</v>
      </c>
      <c r="J50" s="272"/>
      <c r="K50" s="270"/>
      <c r="L50" s="179">
        <v>26428.309999999998</v>
      </c>
      <c r="M50" s="272"/>
      <c r="N50" s="273">
        <f t="shared" si="13"/>
        <v>-5201.3015516408341</v>
      </c>
      <c r="O50" s="272"/>
      <c r="P50" s="270"/>
      <c r="Q50" s="179">
        <v>37522.080000000002</v>
      </c>
      <c r="R50" s="272"/>
      <c r="S50" s="198">
        <f t="shared" si="15"/>
        <v>-11093.770000000004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5">
        <v>20500.674153841275</v>
      </c>
      <c r="G51" s="268"/>
      <c r="H51" s="25"/>
      <c r="I51" s="965">
        <v>0</v>
      </c>
      <c r="J51" s="222"/>
      <c r="K51" s="25"/>
      <c r="L51" s="179">
        <v>11591.98</v>
      </c>
      <c r="M51" s="222"/>
      <c r="N51" s="224">
        <f t="shared" si="13"/>
        <v>-8908.6941538412757</v>
      </c>
      <c r="O51" s="222"/>
      <c r="P51" s="25"/>
      <c r="Q51" s="179">
        <v>14434.630000000001</v>
      </c>
      <c r="R51" s="222"/>
      <c r="S51" s="196">
        <f t="shared" si="15"/>
        <v>-2842.6500000000015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5">
        <v>5740.1887630755582</v>
      </c>
      <c r="G52" s="268"/>
      <c r="H52" s="25"/>
      <c r="I52" s="965">
        <v>0</v>
      </c>
      <c r="J52" s="222"/>
      <c r="K52" s="25"/>
      <c r="L52" s="179">
        <v>3903.9100000000003</v>
      </c>
      <c r="M52" s="222"/>
      <c r="N52" s="224">
        <f t="shared" si="13"/>
        <v>-1836.2787630755579</v>
      </c>
      <c r="O52" s="222"/>
      <c r="P52" s="25"/>
      <c r="Q52" s="179">
        <v>6957.4500000000007</v>
      </c>
      <c r="R52" s="222"/>
      <c r="S52" s="196">
        <f t="shared" si="15"/>
        <v>-3053.5400000000004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5">
        <v>0</v>
      </c>
      <c r="G53" s="276"/>
      <c r="H53" s="275"/>
      <c r="I53" s="965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0.25028151268032844</v>
      </c>
      <c r="F54" s="41">
        <f>+SUM(F42:F53)</f>
        <v>142231.33985185486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0.21172995410724632</v>
      </c>
      <c r="L54" s="41">
        <f>+SUM(L42:L53)</f>
        <v>104345.37</v>
      </c>
      <c r="M54" s="44"/>
      <c r="N54" s="41">
        <f>+SUM(N42:N53)</f>
        <v>-37885.969851854861</v>
      </c>
      <c r="O54" s="42" t="s">
        <v>108</v>
      </c>
      <c r="P54" s="40">
        <f>Q54/Q$27</f>
        <v>0.25822649997205283</v>
      </c>
      <c r="Q54" s="41">
        <f>+SUM(Q42:Q53)</f>
        <v>158230.16000000003</v>
      </c>
      <c r="R54" s="44"/>
      <c r="S54" s="284">
        <f>+SUM(S42:S53)</f>
        <v>-53884.790000000008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5">
        <v>0</v>
      </c>
      <c r="G55" s="268"/>
      <c r="H55" s="25"/>
      <c r="I55" s="965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5">
        <v>0</v>
      </c>
      <c r="G56" s="268"/>
      <c r="H56" s="25"/>
      <c r="I56" s="965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6109.5</v>
      </c>
      <c r="G57" s="276"/>
      <c r="H57" s="275"/>
      <c r="I57" s="176">
        <v>0</v>
      </c>
      <c r="J57" s="277"/>
      <c r="K57" s="275"/>
      <c r="L57" s="176">
        <v>3406.8900000000003</v>
      </c>
      <c r="M57" s="277"/>
      <c r="N57" s="278">
        <f t="shared" si="16"/>
        <v>-2702.6099999999997</v>
      </c>
      <c r="O57" s="277"/>
      <c r="P57" s="275"/>
      <c r="Q57" s="176">
        <v>27833.32</v>
      </c>
      <c r="R57" s="277"/>
      <c r="S57" s="199">
        <f t="shared" si="17"/>
        <v>-24426.43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5">
        <v>27586.056500000002</v>
      </c>
      <c r="G58" s="268"/>
      <c r="H58" s="25"/>
      <c r="I58" s="965">
        <v>0</v>
      </c>
      <c r="J58" s="222"/>
      <c r="K58" s="25"/>
      <c r="L58" s="179">
        <v>27910.199999999997</v>
      </c>
      <c r="M58" s="222"/>
      <c r="N58" s="224">
        <f t="shared" si="16"/>
        <v>324.14349999999467</v>
      </c>
      <c r="O58" s="222"/>
      <c r="P58" s="25"/>
      <c r="Q58" s="179">
        <v>15279.84</v>
      </c>
      <c r="R58" s="222"/>
      <c r="S58" s="196">
        <f t="shared" si="17"/>
        <v>12630.359999999997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5">
        <v>3990</v>
      </c>
      <c r="G59" s="268"/>
      <c r="H59" s="25"/>
      <c r="I59" s="965">
        <v>0</v>
      </c>
      <c r="J59" s="222"/>
      <c r="K59" s="25"/>
      <c r="L59" s="179">
        <v>9212.5300000000007</v>
      </c>
      <c r="M59" s="222"/>
      <c r="N59" s="224">
        <f t="shared" si="16"/>
        <v>5222.5300000000007</v>
      </c>
      <c r="O59" s="222"/>
      <c r="P59" s="25"/>
      <c r="Q59" s="179">
        <v>2750.8600000000006</v>
      </c>
      <c r="R59" s="222"/>
      <c r="S59" s="196">
        <f t="shared" si="17"/>
        <v>6461.67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8017.0810000000001</v>
      </c>
      <c r="G60" s="276"/>
      <c r="H60" s="275"/>
      <c r="I60" s="176">
        <v>0</v>
      </c>
      <c r="J60" s="277"/>
      <c r="K60" s="275"/>
      <c r="L60" s="176">
        <v>10749.630000000001</v>
      </c>
      <c r="M60" s="277"/>
      <c r="N60" s="278">
        <f t="shared" si="16"/>
        <v>2732.5490000000009</v>
      </c>
      <c r="O60" s="277"/>
      <c r="P60" s="275"/>
      <c r="Q60" s="176">
        <v>10516.29</v>
      </c>
      <c r="R60" s="277"/>
      <c r="S60" s="199">
        <f t="shared" si="17"/>
        <v>233.34000000000015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5">
        <v>225</v>
      </c>
      <c r="G61" s="268"/>
      <c r="H61" s="25"/>
      <c r="I61" s="965">
        <v>0</v>
      </c>
      <c r="J61" s="222"/>
      <c r="K61" s="25"/>
      <c r="L61" s="179">
        <v>543.56999999999994</v>
      </c>
      <c r="M61" s="222"/>
      <c r="N61" s="224">
        <f t="shared" si="16"/>
        <v>318.56999999999994</v>
      </c>
      <c r="O61" s="222"/>
      <c r="P61" s="25"/>
      <c r="Q61" s="179">
        <v>138.66</v>
      </c>
      <c r="R61" s="222"/>
      <c r="S61" s="196">
        <f t="shared" si="17"/>
        <v>404.90999999999997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5">
        <v>90</v>
      </c>
      <c r="G62" s="268"/>
      <c r="H62" s="25"/>
      <c r="I62" s="965">
        <v>0</v>
      </c>
      <c r="J62" s="222"/>
      <c r="K62" s="25"/>
      <c r="L62" s="179">
        <v>74.099999999999994</v>
      </c>
      <c r="M62" s="222"/>
      <c r="N62" s="224">
        <f t="shared" si="16"/>
        <v>-15.900000000000006</v>
      </c>
      <c r="O62" s="222"/>
      <c r="P62" s="25"/>
      <c r="Q62" s="179">
        <v>297</v>
      </c>
      <c r="R62" s="222"/>
      <c r="S62" s="196">
        <f t="shared" si="17"/>
        <v>-222.9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5">
        <v>1740</v>
      </c>
      <c r="G63" s="268"/>
      <c r="H63" s="25"/>
      <c r="I63" s="965">
        <v>0</v>
      </c>
      <c r="J63" s="222"/>
      <c r="K63" s="25"/>
      <c r="L63" s="472">
        <v>2087.3000000000002</v>
      </c>
      <c r="M63" s="222"/>
      <c r="N63" s="224">
        <f t="shared" si="16"/>
        <v>347.30000000000018</v>
      </c>
      <c r="O63" s="222"/>
      <c r="P63" s="25"/>
      <c r="Q63" s="472">
        <v>1630.6200000000001</v>
      </c>
      <c r="R63" s="222"/>
      <c r="S63" s="196">
        <f t="shared" si="17"/>
        <v>456.68000000000006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5">
        <v>472.79999999999995</v>
      </c>
      <c r="G64" s="268"/>
      <c r="H64" s="25"/>
      <c r="I64" s="965">
        <v>0</v>
      </c>
      <c r="J64" s="222"/>
      <c r="K64" s="25"/>
      <c r="L64" s="179">
        <v>906.55</v>
      </c>
      <c r="M64" s="222"/>
      <c r="N64" s="224">
        <f t="shared" si="16"/>
        <v>433.75</v>
      </c>
      <c r="O64" s="222"/>
      <c r="P64" s="25"/>
      <c r="Q64" s="179">
        <v>559.82999999999993</v>
      </c>
      <c r="R64" s="222"/>
      <c r="S64" s="196">
        <f t="shared" si="17"/>
        <v>346.72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5">
        <v>680</v>
      </c>
      <c r="G65" s="268"/>
      <c r="H65" s="25"/>
      <c r="I65" s="965">
        <v>0</v>
      </c>
      <c r="J65" s="222"/>
      <c r="K65" s="25"/>
      <c r="L65" s="179">
        <v>403.06</v>
      </c>
      <c r="M65" s="222"/>
      <c r="N65" s="224">
        <f t="shared" si="16"/>
        <v>-276.94</v>
      </c>
      <c r="O65" s="222"/>
      <c r="P65" s="25"/>
      <c r="Q65" s="179">
        <v>731.84</v>
      </c>
      <c r="R65" s="222"/>
      <c r="S65" s="196">
        <f t="shared" si="17"/>
        <v>-328.78000000000003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5">
        <v>1887.2499999999998</v>
      </c>
      <c r="G66" s="268"/>
      <c r="H66" s="25"/>
      <c r="I66" s="965">
        <v>0</v>
      </c>
      <c r="J66" s="222"/>
      <c r="K66" s="25"/>
      <c r="L66" s="179">
        <v>2081.31</v>
      </c>
      <c r="M66" s="222"/>
      <c r="N66" s="224">
        <f t="shared" si="16"/>
        <v>194.06000000000017</v>
      </c>
      <c r="O66" s="222"/>
      <c r="P66" s="25"/>
      <c r="Q66" s="179">
        <v>3376.37</v>
      </c>
      <c r="R66" s="222"/>
      <c r="S66" s="196">
        <f t="shared" si="17"/>
        <v>-1295.06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5">
        <v>964.78400000000033</v>
      </c>
      <c r="G67" s="268"/>
      <c r="H67" s="25"/>
      <c r="I67" s="965">
        <v>0</v>
      </c>
      <c r="J67" s="222"/>
      <c r="K67" s="25"/>
      <c r="L67" s="179">
        <v>-820.8</v>
      </c>
      <c r="M67" s="222"/>
      <c r="N67" s="224">
        <f t="shared" si="16"/>
        <v>-1785.5840000000003</v>
      </c>
      <c r="O67" s="222"/>
      <c r="P67" s="25"/>
      <c r="Q67" s="179">
        <v>1139.08</v>
      </c>
      <c r="R67" s="222"/>
      <c r="S67" s="196">
        <f>L67-Q67</f>
        <v>-1959.8799999999999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5">
        <v>13060.550837980763</v>
      </c>
      <c r="G68" s="268"/>
      <c r="H68" s="25"/>
      <c r="I68" s="965">
        <v>0</v>
      </c>
      <c r="J68" s="222"/>
      <c r="K68" s="25"/>
      <c r="L68" s="472">
        <v>10597.02</v>
      </c>
      <c r="M68" s="222"/>
      <c r="N68" s="224">
        <f t="shared" si="16"/>
        <v>-2463.530837980763</v>
      </c>
      <c r="O68" s="222"/>
      <c r="P68" s="25"/>
      <c r="Q68" s="179">
        <v>11498.539999999999</v>
      </c>
      <c r="R68" s="222"/>
      <c r="S68" s="196">
        <f>L68-Q68</f>
        <v>-901.51999999999862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5">
        <v>0</v>
      </c>
      <c r="G69" s="268"/>
      <c r="H69" s="25"/>
      <c r="I69" s="965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5">
        <v>0</v>
      </c>
      <c r="G70" s="268"/>
      <c r="H70" s="25"/>
      <c r="I70" s="965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5">
        <v>0</v>
      </c>
      <c r="G71" s="268"/>
      <c r="H71" s="25"/>
      <c r="I71" s="965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0.11406771604738537</v>
      </c>
      <c r="F72" s="41">
        <f>+SUM(F55:F71)</f>
        <v>64823.022337980772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0.13625860324266592</v>
      </c>
      <c r="L72" s="41">
        <f>+SUM(L55:L71)</f>
        <v>67151.360000000001</v>
      </c>
      <c r="M72" s="44"/>
      <c r="N72" s="41">
        <f>+SUM(N55:N71)</f>
        <v>2328.3376620192339</v>
      </c>
      <c r="O72" s="42" t="s">
        <v>108</v>
      </c>
      <c r="P72" s="40">
        <f>Q72/Q$27</f>
        <v>0.12362522026463185</v>
      </c>
      <c r="Q72" s="41">
        <f>+SUM(Q55:Q71)</f>
        <v>75752.250000000015</v>
      </c>
      <c r="R72" s="44"/>
      <c r="S72" s="284">
        <f>+SUM(S55:S71)</f>
        <v>-8600.89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0.85769819636308775</v>
      </c>
      <c r="F74" s="41">
        <f>F41+F54+F72</f>
        <v>487417.39791646041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0.82703811044494924</v>
      </c>
      <c r="L74" s="41">
        <f>L41+L54+L72</f>
        <v>407583.32</v>
      </c>
      <c r="M74" s="44"/>
      <c r="N74" s="46">
        <f t="shared" ref="N74:N82" si="18">L74-F74</f>
        <v>-79834.077916460403</v>
      </c>
      <c r="O74" s="42" t="s">
        <v>108</v>
      </c>
      <c r="P74" s="40">
        <f>Q74/Q$27</f>
        <v>0.89676030760958036</v>
      </c>
      <c r="Q74" s="41">
        <f>Q41+Q54+Q72</f>
        <v>549496.38</v>
      </c>
      <c r="R74" s="44"/>
      <c r="S74" s="280">
        <f>L74-Q74</f>
        <v>-141913.06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5">
        <v>150269.81357142859</v>
      </c>
      <c r="G75" s="268"/>
      <c r="H75" s="25"/>
      <c r="I75" s="965">
        <v>0</v>
      </c>
      <c r="J75" s="222"/>
      <c r="K75" s="25"/>
      <c r="L75" s="472">
        <v>137796.24</v>
      </c>
      <c r="M75" s="222"/>
      <c r="N75" s="224">
        <f t="shared" si="18"/>
        <v>-12473.573571428598</v>
      </c>
      <c r="O75" s="222"/>
      <c r="P75" s="25"/>
      <c r="Q75" s="472">
        <v>147274.36000000002</v>
      </c>
      <c r="R75" s="222"/>
      <c r="S75" s="196">
        <f>L75-Q75</f>
        <v>-9478.1200000000244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5">
        <v>0</v>
      </c>
      <c r="G76" s="268"/>
      <c r="H76" s="25"/>
      <c r="I76" s="965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5">
        <v>0</v>
      </c>
      <c r="G77" s="268"/>
      <c r="H77" s="25"/>
      <c r="I77" s="965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5">
        <v>182145.2285714286</v>
      </c>
      <c r="G78" s="268"/>
      <c r="H78" s="25"/>
      <c r="I78" s="965">
        <v>0</v>
      </c>
      <c r="J78" s="222"/>
      <c r="K78" s="25"/>
      <c r="L78" s="179">
        <v>165196.79999999999</v>
      </c>
      <c r="M78" s="222"/>
      <c r="N78" s="224">
        <f t="shared" si="18"/>
        <v>-16948.428571428609</v>
      </c>
      <c r="O78" s="222"/>
      <c r="P78" s="25"/>
      <c r="Q78" s="472">
        <v>160254.79999999999</v>
      </c>
      <c r="R78" s="222"/>
      <c r="S78" s="196">
        <f t="shared" si="19"/>
        <v>4942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5">
        <v>0</v>
      </c>
      <c r="G79" s="268"/>
      <c r="H79" s="25"/>
      <c r="I79" s="965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5">
        <v>0</v>
      </c>
      <c r="G80" s="268"/>
      <c r="H80" s="25"/>
      <c r="I80" s="965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5">
        <v>0</v>
      </c>
      <c r="G81" s="268"/>
      <c r="H81" s="25"/>
      <c r="I81" s="965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5">
        <v>60059.299999999996</v>
      </c>
      <c r="G82" s="268"/>
      <c r="H82" s="25"/>
      <c r="I82" s="965">
        <v>0</v>
      </c>
      <c r="J82" s="222"/>
      <c r="K82" s="25"/>
      <c r="L82" s="472">
        <v>53550</v>
      </c>
      <c r="M82" s="222"/>
      <c r="N82" s="224">
        <f t="shared" si="18"/>
        <v>-6509.2999999999956</v>
      </c>
      <c r="O82" s="222"/>
      <c r="P82" s="25"/>
      <c r="Q82" s="472">
        <v>55335</v>
      </c>
      <c r="R82" s="222"/>
      <c r="S82" s="196">
        <f t="shared" si="19"/>
        <v>-1785</v>
      </c>
      <c r="T82" s="25"/>
      <c r="U82" s="25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392474.3421428572</v>
      </c>
      <c r="G83" s="42"/>
      <c r="H83" s="40"/>
      <c r="I83" s="41">
        <f>+SUM(I75:I82)</f>
        <v>0</v>
      </c>
      <c r="J83" s="42"/>
      <c r="K83" s="40"/>
      <c r="L83" s="41">
        <f>+SUM(L75:L82)</f>
        <v>356543.04</v>
      </c>
      <c r="M83" s="44"/>
      <c r="N83" s="41">
        <f>+SUM(N75:N82)</f>
        <v>-35931.302142857203</v>
      </c>
      <c r="O83" s="42"/>
      <c r="P83" s="40"/>
      <c r="Q83" s="41">
        <f>+SUM(Q75:Q82)</f>
        <v>362864.16000000003</v>
      </c>
      <c r="R83" s="44"/>
      <c r="S83" s="284">
        <f>+SUM(S75:S82)</f>
        <v>-6321.1200000000244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">
      <c r="A84" t="str">
        <f t="shared" si="1"/>
        <v>Véhicules neufs</v>
      </c>
      <c r="B84" s="24" t="str">
        <f t="shared" si="0"/>
        <v>Véhicules neufs</v>
      </c>
      <c r="C84" s="376"/>
      <c r="D84" s="988"/>
      <c r="E84" s="989"/>
      <c r="F84" s="48"/>
      <c r="G84" s="49"/>
      <c r="H84" s="989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473342.3854028674</v>
      </c>
      <c r="G85" s="378"/>
      <c r="H85" s="308"/>
      <c r="I85" s="305">
        <f>I27-I74+I83</f>
        <v>0</v>
      </c>
      <c r="J85" s="378"/>
      <c r="K85" s="304"/>
      <c r="L85" s="305">
        <f>L27-L74+L83</f>
        <v>441782.61999999976</v>
      </c>
      <c r="M85" s="378"/>
      <c r="N85" s="305">
        <f>N27-N41-N54-N72+N83</f>
        <v>-31559.765402867641</v>
      </c>
      <c r="O85" s="378"/>
      <c r="P85" s="304"/>
      <c r="Q85" s="305">
        <f>Q27-Q74+Q83</f>
        <v>426125.02999999945</v>
      </c>
      <c r="R85" s="378"/>
      <c r="S85" s="309">
        <f>S27-S41-S54-S72+S83</f>
        <v>15657.590000000302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7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Q2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8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6" t="s">
        <v>2971</v>
      </c>
      <c r="H91" s="1434"/>
      <c r="I91" s="1435"/>
      <c r="J91" s="1436" t="s">
        <v>78</v>
      </c>
      <c r="K91" s="1434"/>
      <c r="L91" s="1435"/>
      <c r="M91" s="1436" t="s">
        <v>2441</v>
      </c>
      <c r="N91" s="1435"/>
      <c r="O91" s="1433" t="s">
        <v>79</v>
      </c>
      <c r="P91" s="1434"/>
      <c r="Q91" s="1435"/>
      <c r="R91" s="1437" t="s">
        <v>2445</v>
      </c>
      <c r="S91" s="1438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">
      <c r="A93" t="str">
        <f t="shared" ref="A93:A156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6592888.2657946562</v>
      </c>
      <c r="G93" s="182"/>
      <c r="H93" s="183"/>
      <c r="I93" s="176">
        <v>0</v>
      </c>
      <c r="J93" s="277"/>
      <c r="K93" s="183"/>
      <c r="L93" s="176">
        <v>7460702.4800000004</v>
      </c>
      <c r="M93" s="340"/>
      <c r="N93" s="341"/>
      <c r="O93" s="277"/>
      <c r="P93" s="183"/>
      <c r="Q93" s="176">
        <v>4642482.4099999899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">
      <c r="A94" t="str">
        <f t="shared" si="20"/>
        <v>Véhicules usagésCertifié</v>
      </c>
      <c r="B94" s="24" t="s">
        <v>140</v>
      </c>
      <c r="C94" s="250" t="s">
        <v>141</v>
      </c>
      <c r="D94" s="965">
        <v>46</v>
      </c>
      <c r="E94" s="965">
        <f>IF(D94=0,0,F94/D94)</f>
        <v>2400</v>
      </c>
      <c r="F94" s="965">
        <v>110400</v>
      </c>
      <c r="G94" s="181">
        <v>0</v>
      </c>
      <c r="H94" s="965">
        <f t="shared" ref="H94:H98" si="21">IF(G94=0,0,I94/G94)</f>
        <v>0</v>
      </c>
      <c r="I94" s="965">
        <v>0</v>
      </c>
      <c r="J94" s="181">
        <v>35</v>
      </c>
      <c r="K94" s="965">
        <f>IF(J94=0,0,L94/J94)</f>
        <v>1828.6842857142851</v>
      </c>
      <c r="L94" s="179">
        <v>64003.949999999983</v>
      </c>
      <c r="M94" s="181">
        <f>J94-D94</f>
        <v>-11</v>
      </c>
      <c r="N94" s="179">
        <f>L94-F94</f>
        <v>-46396.050000000017</v>
      </c>
      <c r="O94" s="181">
        <v>14</v>
      </c>
      <c r="P94" s="965">
        <f>IF(O94=0,0,Q94/O94)</f>
        <v>2570.5035714285705</v>
      </c>
      <c r="Q94" s="179">
        <v>35987.049999999988</v>
      </c>
      <c r="R94" s="181">
        <f>J94-O94</f>
        <v>21</v>
      </c>
      <c r="S94" s="344">
        <f>L94-Q94</f>
        <v>28016.899999999994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">
      <c r="A95" t="str">
        <f t="shared" si="20"/>
        <v>Véhicules usagésNon Certifié</v>
      </c>
      <c r="B95" s="24" t="s">
        <v>140</v>
      </c>
      <c r="C95" s="250" t="s">
        <v>142</v>
      </c>
      <c r="D95" s="965">
        <v>12</v>
      </c>
      <c r="E95" s="965">
        <f>IF(D95=0,0,F95/D95)</f>
        <v>1400</v>
      </c>
      <c r="F95" s="965">
        <v>16800</v>
      </c>
      <c r="G95" s="181">
        <v>0</v>
      </c>
      <c r="H95" s="965">
        <f t="shared" si="21"/>
        <v>0</v>
      </c>
      <c r="I95" s="965">
        <v>0</v>
      </c>
      <c r="J95" s="181">
        <v>9</v>
      </c>
      <c r="K95" s="965">
        <f>IF(J95=0,0,L95/J95)</f>
        <v>3424.6666666666665</v>
      </c>
      <c r="L95" s="472">
        <v>30822</v>
      </c>
      <c r="M95" s="181">
        <f>J95-D95</f>
        <v>-3</v>
      </c>
      <c r="N95" s="179">
        <f>L95-F95</f>
        <v>14022</v>
      </c>
      <c r="O95" s="181">
        <v>29</v>
      </c>
      <c r="P95" s="965">
        <f>IF(O95=0,0,Q95/O95)</f>
        <v>1877.6982758620659</v>
      </c>
      <c r="Q95" s="472">
        <v>54453.249999999913</v>
      </c>
      <c r="R95" s="181">
        <f>J95-O95</f>
        <v>-20</v>
      </c>
      <c r="S95" s="344">
        <f>L95-Q95</f>
        <v>-23631.249999999913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">
      <c r="A96" t="str">
        <f>+B96&amp;C96</f>
        <v>Véhicules usagésAutres marques</v>
      </c>
      <c r="B96" s="24" t="s">
        <v>140</v>
      </c>
      <c r="C96" s="250" t="s">
        <v>2810</v>
      </c>
      <c r="D96" s="965">
        <v>19</v>
      </c>
      <c r="E96" s="183">
        <f>IF(D96=0,0,F96/D96)</f>
        <v>1500</v>
      </c>
      <c r="F96" s="965">
        <v>28500</v>
      </c>
      <c r="G96" s="181">
        <v>0</v>
      </c>
      <c r="H96" s="965">
        <f t="shared" si="21"/>
        <v>0</v>
      </c>
      <c r="I96" s="965">
        <v>0</v>
      </c>
      <c r="J96" s="181">
        <v>19</v>
      </c>
      <c r="K96" s="965">
        <f>IF(J96=0,0,L96/J96)</f>
        <v>2094.4831578947342</v>
      </c>
      <c r="L96" s="472">
        <v>39795.179999999949</v>
      </c>
      <c r="M96" s="181">
        <f>J96-D96</f>
        <v>0</v>
      </c>
      <c r="N96" s="179">
        <f>L96-F96</f>
        <v>11295.179999999949</v>
      </c>
      <c r="O96" s="181">
        <v>19</v>
      </c>
      <c r="P96" s="965">
        <f>IF(O96=0,0,Q96/O96)</f>
        <v>1441.976842105262</v>
      </c>
      <c r="Q96" s="472">
        <v>27397.559999999976</v>
      </c>
      <c r="R96" s="181">
        <f>J96-O96</f>
        <v>0</v>
      </c>
      <c r="S96" s="344">
        <f>L96-Q96</f>
        <v>12397.619999999974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77</v>
      </c>
      <c r="E97" s="965">
        <f>IF(D97=0,0,F97/D97)</f>
        <v>2022.077922077922</v>
      </c>
      <c r="F97" s="346">
        <f>+F94+F95+F96</f>
        <v>155700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63</v>
      </c>
      <c r="K97" s="345">
        <f>IF(J97=0,0,L97/J97)</f>
        <v>2136.8433333333323</v>
      </c>
      <c r="L97" s="346">
        <f>+L94+L95+L96</f>
        <v>134621.12999999995</v>
      </c>
      <c r="M97" s="347">
        <f>J97-D97</f>
        <v>-14</v>
      </c>
      <c r="N97" s="346">
        <f>L97-F97</f>
        <v>-21078.870000000054</v>
      </c>
      <c r="O97" s="347">
        <f>+O95+O94+O96</f>
        <v>62</v>
      </c>
      <c r="P97" s="345">
        <f>IF(O97&lt;=0,0,Q97/O97)</f>
        <v>1900.6106451612882</v>
      </c>
      <c r="Q97" s="346">
        <f>+Q94+Q95+Q96</f>
        <v>117837.85999999987</v>
      </c>
      <c r="R97" s="347">
        <f>J97-O97</f>
        <v>1</v>
      </c>
      <c r="S97" s="348">
        <f>L97-Q97</f>
        <v>16783.270000000077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">
      <c r="A98" t="str">
        <f t="shared" si="20"/>
        <v>Véhicules usagés</v>
      </c>
      <c r="B98" s="24" t="s">
        <v>140</v>
      </c>
      <c r="C98" s="250"/>
      <c r="D98" s="25"/>
      <c r="E98" s="965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-0.18181818181818182</v>
      </c>
      <c r="N98" s="233">
        <f>N97/F97</f>
        <v>-0.13538131021194638</v>
      </c>
      <c r="O98" s="222"/>
      <c r="P98" s="25"/>
      <c r="Q98" s="264"/>
      <c r="R98" s="234">
        <f>R97/O97</f>
        <v>1.6129032258064516E-2</v>
      </c>
      <c r="S98" s="261">
        <f>IF(Q97=0,0,(S97/Q97))</f>
        <v>0.14242680578211531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">
      <c r="A99" t="str">
        <f t="shared" si="20"/>
        <v>Véhicules usagésRachat bail</v>
      </c>
      <c r="B99" s="24" t="s">
        <v>140</v>
      </c>
      <c r="C99" s="259" t="s">
        <v>93</v>
      </c>
      <c r="D99" s="965"/>
      <c r="E99" s="965"/>
      <c r="F99" s="965">
        <v>6532.8941807164829</v>
      </c>
      <c r="G99" s="181"/>
      <c r="H99" s="965"/>
      <c r="I99" s="965">
        <v>0</v>
      </c>
      <c r="J99" s="181"/>
      <c r="K99" s="965"/>
      <c r="L99" s="179">
        <v>9983.0099999999802</v>
      </c>
      <c r="M99" s="181"/>
      <c r="N99" s="179">
        <f>L99-F99</f>
        <v>3450.1158192834973</v>
      </c>
      <c r="O99" s="181"/>
      <c r="P99" s="965"/>
      <c r="Q99" s="179">
        <v>7056.6399999999794</v>
      </c>
      <c r="R99" s="181">
        <f>O99-K99</f>
        <v>0</v>
      </c>
      <c r="S99" s="344">
        <f>L99-Q99</f>
        <v>2926.3700000000008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">
      <c r="A100" t="str">
        <f t="shared" si="20"/>
        <v>Véhicules usagés</v>
      </c>
      <c r="B100" s="24" t="s">
        <v>140</v>
      </c>
      <c r="C100" s="250"/>
      <c r="D100" s="965"/>
      <c r="E100" s="965"/>
      <c r="F100" s="965"/>
      <c r="G100" s="222"/>
      <c r="H100" s="965"/>
      <c r="I100" s="965"/>
      <c r="J100" s="181"/>
      <c r="K100" s="965"/>
      <c r="L100" s="179"/>
      <c r="M100" s="181"/>
      <c r="N100" s="179"/>
      <c r="O100" s="181"/>
      <c r="P100" s="965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">
      <c r="A101" t="str">
        <f t="shared" si="20"/>
        <v>Véhicules usagésVentes au Gros</v>
      </c>
      <c r="B101" s="24" t="s">
        <v>140</v>
      </c>
      <c r="C101" s="250" t="s">
        <v>144</v>
      </c>
      <c r="D101" s="965">
        <v>81</v>
      </c>
      <c r="E101" s="965">
        <f>IF(D101=0,0,F101/D101)</f>
        <v>500</v>
      </c>
      <c r="F101" s="965">
        <v>40500</v>
      </c>
      <c r="G101" s="181">
        <v>0</v>
      </c>
      <c r="H101" s="965">
        <f t="shared" ref="H101" si="22">IF(G101=0,0,I101/G101)</f>
        <v>0</v>
      </c>
      <c r="I101" s="965">
        <v>0</v>
      </c>
      <c r="J101" s="181">
        <v>108</v>
      </c>
      <c r="K101" s="965">
        <f>IF(J101=0,0,L101/J101)</f>
        <v>634.12583333333521</v>
      </c>
      <c r="L101" s="179">
        <v>68485.5900000002</v>
      </c>
      <c r="M101" s="181">
        <f>J101-D101</f>
        <v>27</v>
      </c>
      <c r="N101" s="179">
        <f>L101-F101</f>
        <v>27985.5900000002</v>
      </c>
      <c r="O101" s="181">
        <v>60</v>
      </c>
      <c r="P101" s="965">
        <f>IF(O101=0,0,Q101/O101)</f>
        <v>404.78349999999881</v>
      </c>
      <c r="Q101" s="179">
        <v>24287.009999999929</v>
      </c>
      <c r="R101" s="181">
        <f>J101-O101</f>
        <v>48</v>
      </c>
      <c r="S101" s="344">
        <f>L101-Q101</f>
        <v>44198.580000000271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">
      <c r="A102" t="str">
        <f t="shared" si="20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">
      <c r="A103" t="str">
        <f t="shared" si="20"/>
        <v>Véhicules usagésRev. Finances</v>
      </c>
      <c r="B103" s="24" t="s">
        <v>140</v>
      </c>
      <c r="C103" s="250" t="s">
        <v>94</v>
      </c>
      <c r="D103" s="965">
        <v>0</v>
      </c>
      <c r="E103" s="965">
        <f>IF(D103=0,0,F103/D103)</f>
        <v>0</v>
      </c>
      <c r="F103" s="179">
        <v>26950</v>
      </c>
      <c r="G103" s="181">
        <v>0</v>
      </c>
      <c r="H103" s="965">
        <f>IF(G103=0,0,I103/G103)</f>
        <v>0</v>
      </c>
      <c r="I103" s="965">
        <v>0</v>
      </c>
      <c r="J103" s="181">
        <v>0</v>
      </c>
      <c r="K103" s="965">
        <f>IF(J103=0,0,L103/J103)</f>
        <v>0</v>
      </c>
      <c r="L103" s="179">
        <v>23648.46</v>
      </c>
      <c r="M103" s="181"/>
      <c r="N103" s="179">
        <f>L103-F103</f>
        <v>-3301.5400000000009</v>
      </c>
      <c r="O103" s="181">
        <v>0</v>
      </c>
      <c r="P103" s="965">
        <f>IF(O103=0,0,Q103/O103)</f>
        <v>0</v>
      </c>
      <c r="Q103" s="179">
        <v>34930.130000000005</v>
      </c>
      <c r="R103" s="181">
        <f>O103-K103</f>
        <v>0</v>
      </c>
      <c r="S103" s="344">
        <f>L103-Q103</f>
        <v>-11281.670000000006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">
      <c r="A104" t="str">
        <f t="shared" si="20"/>
        <v>Véhicules usagésRev. Protections</v>
      </c>
      <c r="B104" s="24" t="s">
        <v>140</v>
      </c>
      <c r="C104" s="250" t="s">
        <v>95</v>
      </c>
      <c r="D104" s="965">
        <v>0</v>
      </c>
      <c r="E104" s="965">
        <f>IF(D104=0,0,F104/D104)</f>
        <v>0</v>
      </c>
      <c r="F104" s="179">
        <v>73150</v>
      </c>
      <c r="G104" s="181">
        <v>0</v>
      </c>
      <c r="H104" s="965">
        <f>IF(G104=0,0,I104/G104)</f>
        <v>0</v>
      </c>
      <c r="I104" s="965">
        <v>0</v>
      </c>
      <c r="J104" s="181">
        <v>0</v>
      </c>
      <c r="K104" s="965">
        <f>IF(J104=0,0,L104/J104)</f>
        <v>0</v>
      </c>
      <c r="L104" s="179">
        <v>31423.86</v>
      </c>
      <c r="M104" s="181"/>
      <c r="N104" s="179">
        <f>L104-F104</f>
        <v>-41726.14</v>
      </c>
      <c r="O104" s="181">
        <v>0</v>
      </c>
      <c r="P104" s="965">
        <f>IF(O104=0,0,Q104/O104)</f>
        <v>0</v>
      </c>
      <c r="Q104" s="179">
        <v>86875.389999999898</v>
      </c>
      <c r="R104" s="181">
        <f>O104-K104</f>
        <v>0</v>
      </c>
      <c r="S104" s="344">
        <f>L104-Q104</f>
        <v>-55451.529999999897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">
      <c r="A105" t="str">
        <f t="shared" si="20"/>
        <v>Véhicules usagésRev. Autres</v>
      </c>
      <c r="B105" s="24" t="s">
        <v>140</v>
      </c>
      <c r="C105" s="250" t="s">
        <v>96</v>
      </c>
      <c r="D105" s="965">
        <v>0</v>
      </c>
      <c r="E105" s="351">
        <f>IF(D105=0,0,F105/D105)</f>
        <v>0</v>
      </c>
      <c r="F105" s="179">
        <v>15400</v>
      </c>
      <c r="G105" s="181">
        <v>0</v>
      </c>
      <c r="H105" s="351">
        <f>IF(G105=0,0,I105/G105)</f>
        <v>0</v>
      </c>
      <c r="I105" s="965">
        <v>0</v>
      </c>
      <c r="J105" s="181">
        <v>0</v>
      </c>
      <c r="K105" s="351">
        <f>IF(J105=0,0,L105/J105)</f>
        <v>0</v>
      </c>
      <c r="L105" s="179">
        <v>5189.84</v>
      </c>
      <c r="M105" s="350"/>
      <c r="N105" s="179">
        <f>L105-F105</f>
        <v>-10210.16</v>
      </c>
      <c r="O105" s="181">
        <v>0</v>
      </c>
      <c r="P105" s="351">
        <f>IF(O105=0,0,Q105/O105)</f>
        <v>0</v>
      </c>
      <c r="Q105" s="179">
        <v>23749.929999999989</v>
      </c>
      <c r="R105" s="181">
        <f>O105-K105</f>
        <v>0</v>
      </c>
      <c r="S105" s="344">
        <f>L105-Q105</f>
        <v>-18560.089999999989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">
      <c r="A106" t="str">
        <f t="shared" si="20"/>
        <v>Véhicules usagésTotal F&amp;I</v>
      </c>
      <c r="B106" s="24" t="s">
        <v>140</v>
      </c>
      <c r="C106" s="336" t="s">
        <v>97</v>
      </c>
      <c r="D106" s="345">
        <f>D98</f>
        <v>0</v>
      </c>
      <c r="E106" s="965">
        <f>IF(D106=0,0,F106/D106)</f>
        <v>0</v>
      </c>
      <c r="F106" s="346">
        <f>F103+F104+F105</f>
        <v>115500</v>
      </c>
      <c r="G106" s="347">
        <f>G98</f>
        <v>0</v>
      </c>
      <c r="H106" s="345">
        <f>IF(G106=0,0,I106/G106)</f>
        <v>0</v>
      </c>
      <c r="I106" s="346">
        <f>I103+I104+I105</f>
        <v>0</v>
      </c>
      <c r="J106" s="347">
        <f>J98</f>
        <v>0</v>
      </c>
      <c r="K106" s="345">
        <f>IF(J106&lt;=0,0,L106/J106)</f>
        <v>0</v>
      </c>
      <c r="L106" s="346">
        <f>L103+L104+L105</f>
        <v>60262.16</v>
      </c>
      <c r="M106" s="181">
        <f>J106-D106</f>
        <v>0</v>
      </c>
      <c r="N106" s="346">
        <f>L106-F106</f>
        <v>-55237.84</v>
      </c>
      <c r="O106" s="347">
        <f>O98</f>
        <v>0</v>
      </c>
      <c r="P106" s="345">
        <f>IF(O106&lt;=0,0,Q106/O106)</f>
        <v>0</v>
      </c>
      <c r="Q106" s="346">
        <f>Q103+Q104+Q105</f>
        <v>145555.4499999999</v>
      </c>
      <c r="R106" s="355"/>
      <c r="S106" s="348">
        <f>L106-Q106</f>
        <v>-85293.289999999892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0"/>
      <c r="I107" s="224"/>
      <c r="J107" s="222"/>
      <c r="K107" s="25"/>
      <c r="L107" s="224"/>
      <c r="M107" s="234"/>
      <c r="N107" s="233">
        <f>N106/F106</f>
        <v>-0.47824969696969694</v>
      </c>
      <c r="O107" s="222"/>
      <c r="P107" s="25"/>
      <c r="Q107" s="224"/>
      <c r="R107" s="223"/>
      <c r="S107" s="261">
        <f>IF(Q106=0,0,(S106/Q106))</f>
        <v>-0.58598486006535622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0"/>
        <v>Véhicules usagés</v>
      </c>
      <c r="B108" s="24" t="s">
        <v>140</v>
      </c>
      <c r="C108" s="250"/>
      <c r="D108" s="25"/>
      <c r="E108" s="25"/>
      <c r="F108" s="224"/>
      <c r="G108" s="222"/>
      <c r="H108" s="990"/>
      <c r="I108" s="224"/>
      <c r="J108" s="222"/>
      <c r="K108" s="25"/>
      <c r="L108" s="224"/>
      <c r="M108" s="234"/>
      <c r="N108" s="233"/>
      <c r="O108" s="222"/>
      <c r="P108" s="25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0"/>
        <v>Véhicules usagésTotal Dépt. Usagés</v>
      </c>
      <c r="B109" s="24" t="s">
        <v>140</v>
      </c>
      <c r="C109" s="255" t="s">
        <v>145</v>
      </c>
      <c r="D109" s="26">
        <f>D97+D101</f>
        <v>158</v>
      </c>
      <c r="E109" s="30">
        <f>IF(D109&lt;=0,0,F109/D109)</f>
        <v>2014.1322416501043</v>
      </c>
      <c r="F109" s="28">
        <f>F97+F106+F101+F99</f>
        <v>318232.89418071648</v>
      </c>
      <c r="G109" s="29"/>
      <c r="H109" s="30"/>
      <c r="I109" s="28"/>
      <c r="J109" s="29">
        <f>J97+J101</f>
        <v>171</v>
      </c>
      <c r="K109" s="30">
        <f>IF(J109&lt;=0,0,L109/J109)</f>
        <v>1598.5490643274861</v>
      </c>
      <c r="L109" s="28">
        <f>L97+L106+L101+L99</f>
        <v>273351.89000000013</v>
      </c>
      <c r="M109" s="29">
        <f>J109-D109</f>
        <v>13</v>
      </c>
      <c r="N109" s="28">
        <f>L109-F109</f>
        <v>-44881.004180716351</v>
      </c>
      <c r="O109" s="29">
        <f>O97+O101</f>
        <v>122</v>
      </c>
      <c r="P109" s="30">
        <f>IF(O109&lt;=0,0,Q109/O109)</f>
        <v>2415.8767213114729</v>
      </c>
      <c r="Q109" s="28">
        <f>Q97+Q106+Q101+Q99</f>
        <v>294736.95999999967</v>
      </c>
      <c r="R109" s="29">
        <f>J109-O109</f>
        <v>49</v>
      </c>
      <c r="S109" s="320">
        <f>L109-Q109</f>
        <v>-21385.069999999541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0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8.2278481012658222E-2</v>
      </c>
      <c r="N110" s="34">
        <f>N109/F109</f>
        <v>-0.14103194547584874</v>
      </c>
      <c r="O110" s="31"/>
      <c r="P110" s="322"/>
      <c r="Q110" s="32"/>
      <c r="R110" s="33">
        <f>O109/R109</f>
        <v>2.489795918367347</v>
      </c>
      <c r="S110" s="356">
        <f>IF(Q109=0,0,(S109/Q109))</f>
        <v>-7.2556458477415139E-2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0"/>
        <v>Véhicules usagés</v>
      </c>
      <c r="B111" s="24" t="s">
        <v>140</v>
      </c>
      <c r="C111" s="259"/>
      <c r="D111" s="56"/>
      <c r="E111" s="56"/>
      <c r="F111" s="282"/>
      <c r="G111" s="231"/>
      <c r="H111" s="56"/>
      <c r="I111" s="282"/>
      <c r="J111" s="231"/>
      <c r="K111" s="56"/>
      <c r="L111" s="282"/>
      <c r="M111" s="234"/>
      <c r="N111" s="233"/>
      <c r="O111" s="231"/>
      <c r="P111" s="56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">
      <c r="A112" t="str">
        <f t="shared" si="20"/>
        <v>Véhicules usagésDEPENSES</v>
      </c>
      <c r="B112" s="24" t="s">
        <v>140</v>
      </c>
      <c r="C112" s="262" t="s">
        <v>99</v>
      </c>
      <c r="D112" s="25"/>
      <c r="E112" s="456"/>
      <c r="F112" s="224"/>
      <c r="G112" s="222"/>
      <c r="H112" s="456"/>
      <c r="I112" s="224"/>
      <c r="J112" s="222"/>
      <c r="K112" s="456"/>
      <c r="L112" s="264"/>
      <c r="M112" s="222"/>
      <c r="N112" s="264"/>
      <c r="O112" s="222"/>
      <c r="P112" s="456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">
      <c r="A113" t="str">
        <f t="shared" si="20"/>
        <v>Véhicules usagésComm. vendeurs</v>
      </c>
      <c r="B113" s="24" t="s">
        <v>140</v>
      </c>
      <c r="C113" s="250" t="s">
        <v>100</v>
      </c>
      <c r="D113" s="452">
        <f>F113/(F98+F106)</f>
        <v>0.45412928447999701</v>
      </c>
      <c r="E113" s="37">
        <f>F113/D$97</f>
        <v>681.19392671999549</v>
      </c>
      <c r="F113" s="965">
        <v>52451.932357439655</v>
      </c>
      <c r="G113" s="292" t="e">
        <f>I113/I98</f>
        <v>#DIV/0!</v>
      </c>
      <c r="H113" s="37" t="e">
        <f>I113/G$97</f>
        <v>#DIV/0!</v>
      </c>
      <c r="I113" s="965">
        <v>0</v>
      </c>
      <c r="J113" s="292" t="e">
        <f>L113/L98</f>
        <v>#DIV/0!</v>
      </c>
      <c r="K113" s="37">
        <f>IF($J$97=0,0,L113/(J$94+J$95))</f>
        <v>1292.7870454545455</v>
      </c>
      <c r="L113" s="179">
        <v>56882.63</v>
      </c>
      <c r="M113" s="222"/>
      <c r="N113" s="224">
        <f t="shared" ref="N113:N154" si="23">L113-F113</f>
        <v>4430.6976425603425</v>
      </c>
      <c r="O113" s="292" t="e">
        <f>Q113/Q98</f>
        <v>#DIV/0!</v>
      </c>
      <c r="P113" s="37">
        <f>IF($J$97=0,0,Q113/(O$94+O$95))</f>
        <v>922.32581395348825</v>
      </c>
      <c r="Q113" s="179">
        <v>39660.009999999995</v>
      </c>
      <c r="R113" s="222"/>
      <c r="S113" s="196">
        <f t="shared" ref="S113:S118" si="24">L113-Q113</f>
        <v>17222.620000000003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">
      <c r="A114" t="str">
        <f t="shared" si="20"/>
        <v>Véhicules usagésComm. F&amp;I</v>
      </c>
      <c r="B114" s="24" t="s">
        <v>140</v>
      </c>
      <c r="C114" s="293" t="s">
        <v>101</v>
      </c>
      <c r="D114" s="300">
        <f>F114/(F106+F20)</f>
        <v>0.27</v>
      </c>
      <c r="E114" s="357">
        <f>F114/D$97</f>
        <v>405</v>
      </c>
      <c r="F114" s="176">
        <v>31185</v>
      </c>
      <c r="G114" s="319" t="e">
        <f>I114/I99</f>
        <v>#DIV/0!</v>
      </c>
      <c r="H114" s="357" t="e">
        <f>I114/G$97</f>
        <v>#DIV/0!</v>
      </c>
      <c r="I114" s="176">
        <v>0</v>
      </c>
      <c r="J114" s="319">
        <f>L114/L106</f>
        <v>0.16745284271257452</v>
      </c>
      <c r="K114" s="357">
        <f>IF($J$97=0,0,L114/(J$94+J$95))</f>
        <v>229.3425</v>
      </c>
      <c r="L114" s="179">
        <v>10091.07</v>
      </c>
      <c r="M114" s="277"/>
      <c r="N114" s="278">
        <f t="shared" si="23"/>
        <v>-21093.93</v>
      </c>
      <c r="O114" s="319">
        <f>Q114/(Q106+Q20)</f>
        <v>0.25734378204320091</v>
      </c>
      <c r="P114" s="357">
        <f>IF($J$97=0,0,Q114/(O$94+O$95))</f>
        <v>871.11139534883728</v>
      </c>
      <c r="Q114" s="179">
        <v>37457.79</v>
      </c>
      <c r="R114" s="277"/>
      <c r="S114" s="199">
        <f t="shared" si="24"/>
        <v>-27366.720000000001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">
      <c r="A115" t="str">
        <f t="shared" si="20"/>
        <v>Véhicules usagésFrais de livraison</v>
      </c>
      <c r="B115" s="24" t="s">
        <v>140</v>
      </c>
      <c r="C115" s="250" t="s">
        <v>102</v>
      </c>
      <c r="D115" s="36"/>
      <c r="E115" s="37">
        <f>F115/D$97</f>
        <v>85</v>
      </c>
      <c r="F115" s="965">
        <v>6545</v>
      </c>
      <c r="G115" s="268"/>
      <c r="H115" s="37" t="e">
        <f>I115/G$97</f>
        <v>#DIV/0!</v>
      </c>
      <c r="I115" s="965">
        <v>0</v>
      </c>
      <c r="J115" s="222"/>
      <c r="K115" s="37">
        <f>IF($J$97=0,0,L115/(J$94+J$95))</f>
        <v>101.10477272727272</v>
      </c>
      <c r="L115" s="180">
        <v>4448.6099999999997</v>
      </c>
      <c r="M115" s="222"/>
      <c r="N115" s="224">
        <f t="shared" si="23"/>
        <v>-2096.3900000000003</v>
      </c>
      <c r="O115" s="222"/>
      <c r="P115" s="37">
        <f>IF($J$97=0,0,Q115/(O$94+O$95))</f>
        <v>120.47302325581396</v>
      </c>
      <c r="Q115" s="180">
        <v>5180.34</v>
      </c>
      <c r="R115" s="222"/>
      <c r="S115" s="196">
        <f t="shared" si="24"/>
        <v>-731.73000000000047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">
      <c r="A116" t="str">
        <f t="shared" si="20"/>
        <v>Véhicules usagésService gratuit 1</v>
      </c>
      <c r="B116" s="24" t="s">
        <v>140</v>
      </c>
      <c r="C116" s="250" t="s">
        <v>103</v>
      </c>
      <c r="D116" s="36"/>
      <c r="E116" s="37">
        <f t="shared" ref="E116:E122" si="25">F116/D$97</f>
        <v>80</v>
      </c>
      <c r="F116" s="965">
        <v>6160</v>
      </c>
      <c r="G116" s="268"/>
      <c r="H116" s="37" t="e">
        <f t="shared" ref="H116:H122" si="26">I116/G$97</f>
        <v>#DIV/0!</v>
      </c>
      <c r="I116" s="965">
        <v>0</v>
      </c>
      <c r="J116" s="222"/>
      <c r="K116" s="37">
        <f t="shared" ref="K116:K122" si="27">IF($J$97=0,0,L116/(J$94+J$95))</f>
        <v>106.85704545454546</v>
      </c>
      <c r="L116" s="179">
        <v>4701.71</v>
      </c>
      <c r="M116" s="222"/>
      <c r="N116" s="224">
        <f t="shared" si="23"/>
        <v>-1458.29</v>
      </c>
      <c r="O116" s="222"/>
      <c r="P116" s="37">
        <f t="shared" ref="P116:P122" si="28">IF($J$97=0,0,Q116/(O$94+O$95))</f>
        <v>92.303720930232558</v>
      </c>
      <c r="Q116" s="179">
        <v>3969.06</v>
      </c>
      <c r="R116" s="222"/>
      <c r="S116" s="196">
        <f t="shared" si="24"/>
        <v>732.65000000000009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">
      <c r="A117" t="str">
        <f t="shared" si="20"/>
        <v>Véhicules usagésEntretien stock</v>
      </c>
      <c r="B117" s="24" t="s">
        <v>140</v>
      </c>
      <c r="C117" s="293" t="s">
        <v>104</v>
      </c>
      <c r="D117" s="274"/>
      <c r="E117" s="357">
        <f t="shared" si="25"/>
        <v>46.81818181818182</v>
      </c>
      <c r="F117" s="176">
        <v>3605</v>
      </c>
      <c r="G117" s="276"/>
      <c r="H117" s="357" t="e">
        <f t="shared" si="26"/>
        <v>#DIV/0!</v>
      </c>
      <c r="I117" s="176">
        <v>0</v>
      </c>
      <c r="J117" s="277"/>
      <c r="K117" s="357">
        <f t="shared" si="27"/>
        <v>101.98068181818184</v>
      </c>
      <c r="L117" s="349">
        <v>4487.1500000000005</v>
      </c>
      <c r="M117" s="277"/>
      <c r="N117" s="278">
        <f t="shared" si="23"/>
        <v>882.15000000000055</v>
      </c>
      <c r="O117" s="277"/>
      <c r="P117" s="357">
        <f t="shared" si="28"/>
        <v>188.72000000000003</v>
      </c>
      <c r="Q117" s="349">
        <v>8114.9600000000009</v>
      </c>
      <c r="R117" s="277"/>
      <c r="S117" s="199">
        <f t="shared" si="24"/>
        <v>-3627.8100000000004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">
      <c r="A118" t="str">
        <f t="shared" si="20"/>
        <v>Véhicules usagésPublicité 1</v>
      </c>
      <c r="B118" s="24" t="s">
        <v>140</v>
      </c>
      <c r="C118" s="250" t="s">
        <v>105</v>
      </c>
      <c r="D118" s="36"/>
      <c r="E118" s="37">
        <f t="shared" si="25"/>
        <v>23.668831168831169</v>
      </c>
      <c r="F118" s="965">
        <v>1822.5</v>
      </c>
      <c r="G118" s="268"/>
      <c r="H118" s="37" t="e">
        <f t="shared" si="26"/>
        <v>#DIV/0!</v>
      </c>
      <c r="I118" s="965">
        <v>0</v>
      </c>
      <c r="J118" s="222"/>
      <c r="K118" s="37">
        <f t="shared" si="27"/>
        <v>52.661363636363632</v>
      </c>
      <c r="L118" s="179">
        <v>2317.1</v>
      </c>
      <c r="M118" s="222"/>
      <c r="N118" s="224">
        <f t="shared" si="23"/>
        <v>494.59999999999991</v>
      </c>
      <c r="O118" s="222"/>
      <c r="P118" s="37">
        <f t="shared" si="28"/>
        <v>429.83162790697679</v>
      </c>
      <c r="Q118" s="179">
        <v>18482.760000000002</v>
      </c>
      <c r="R118" s="222"/>
      <c r="S118" s="196">
        <f t="shared" si="24"/>
        <v>-16165.660000000002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">
      <c r="A119" t="str">
        <f t="shared" si="20"/>
        <v>Véhicules usagésIntérêt de gros</v>
      </c>
      <c r="B119" s="24" t="s">
        <v>140</v>
      </c>
      <c r="C119" s="250" t="s">
        <v>106</v>
      </c>
      <c r="D119" s="36"/>
      <c r="E119" s="37">
        <f t="shared" si="25"/>
        <v>305.58795486480727</v>
      </c>
      <c r="F119" s="965">
        <v>23530.27252459016</v>
      </c>
      <c r="G119" s="268"/>
      <c r="H119" s="37" t="e">
        <f t="shared" si="26"/>
        <v>#DIV/0!</v>
      </c>
      <c r="I119" s="965">
        <v>0</v>
      </c>
      <c r="J119" s="222"/>
      <c r="K119" s="37">
        <f t="shared" si="27"/>
        <v>553.26045454545454</v>
      </c>
      <c r="L119" s="179">
        <v>24343.46</v>
      </c>
      <c r="M119" s="222"/>
      <c r="N119" s="224">
        <f t="shared" si="23"/>
        <v>813.18747540983895</v>
      </c>
      <c r="O119" s="222"/>
      <c r="P119" s="37">
        <f t="shared" si="28"/>
        <v>331.94883720930233</v>
      </c>
      <c r="Q119" s="179">
        <v>14273.8</v>
      </c>
      <c r="R119" s="222"/>
      <c r="S119" s="196">
        <f>L119-Q119</f>
        <v>10069.66</v>
      </c>
      <c r="T119" s="25"/>
      <c r="U119" s="25"/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5"/>
        <v>0</v>
      </c>
      <c r="F120" s="965">
        <v>0</v>
      </c>
      <c r="G120" s="268"/>
      <c r="H120" s="37" t="e">
        <f t="shared" si="26"/>
        <v>#DIV/0!</v>
      </c>
      <c r="I120" s="965">
        <v>0</v>
      </c>
      <c r="J120" s="222"/>
      <c r="K120" s="37">
        <f t="shared" si="27"/>
        <v>0</v>
      </c>
      <c r="L120" s="179">
        <v>0</v>
      </c>
      <c r="M120" s="222"/>
      <c r="N120" s="224">
        <f t="shared" si="23"/>
        <v>0</v>
      </c>
      <c r="O120" s="222"/>
      <c r="P120" s="37">
        <f t="shared" si="28"/>
        <v>0</v>
      </c>
      <c r="Q120" s="179"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5"/>
        <v>0</v>
      </c>
      <c r="F121" s="965">
        <v>0</v>
      </c>
      <c r="G121" s="268"/>
      <c r="H121" s="37" t="e">
        <f t="shared" si="26"/>
        <v>#DIV/0!</v>
      </c>
      <c r="I121" s="965">
        <v>0</v>
      </c>
      <c r="J121" s="222"/>
      <c r="K121" s="37">
        <f t="shared" si="27"/>
        <v>0</v>
      </c>
      <c r="L121" s="179">
        <v>0</v>
      </c>
      <c r="M121" s="222"/>
      <c r="N121" s="224">
        <f t="shared" si="23"/>
        <v>0</v>
      </c>
      <c r="O121" s="222"/>
      <c r="P121" s="37">
        <f t="shared" si="28"/>
        <v>0</v>
      </c>
      <c r="Q121" s="179"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" hidden="1">
      <c r="A122" t="str">
        <f t="shared" si="20"/>
        <v>Véhicules usagés[...]</v>
      </c>
      <c r="B122" s="24" t="s">
        <v>140</v>
      </c>
      <c r="C122" s="250" t="s">
        <v>42</v>
      </c>
      <c r="D122" s="36"/>
      <c r="E122" s="37">
        <f t="shared" si="25"/>
        <v>0</v>
      </c>
      <c r="F122" s="965">
        <v>0</v>
      </c>
      <c r="G122" s="268"/>
      <c r="H122" s="37" t="e">
        <f t="shared" si="26"/>
        <v>#DIV/0!</v>
      </c>
      <c r="I122" s="965">
        <v>0</v>
      </c>
      <c r="J122" s="222"/>
      <c r="K122" s="37">
        <f t="shared" si="27"/>
        <v>0</v>
      </c>
      <c r="L122" s="179">
        <v>0</v>
      </c>
      <c r="M122" s="222"/>
      <c r="N122" s="224">
        <f t="shared" si="23"/>
        <v>0</v>
      </c>
      <c r="O122" s="222"/>
      <c r="P122" s="37">
        <f t="shared" si="28"/>
        <v>0</v>
      </c>
      <c r="Q122" s="179">
        <v>0</v>
      </c>
      <c r="R122" s="222"/>
      <c r="S122" s="196">
        <f t="shared" ref="S122:S127" si="29">L122-Q122</f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">
      <c r="A123" t="str">
        <f t="shared" si="20"/>
        <v>Véhicules usagésTOTAL VARIABLES</v>
      </c>
      <c r="B123" s="24" t="s">
        <v>140</v>
      </c>
      <c r="C123" s="279" t="s">
        <v>107</v>
      </c>
      <c r="D123" s="39" t="s">
        <v>108</v>
      </c>
      <c r="E123" s="40" t="e">
        <f>F123/F$108</f>
        <v>#DIV/0!</v>
      </c>
      <c r="F123" s="41">
        <f>SUM(F113:F122)</f>
        <v>125299.70488202982</v>
      </c>
      <c r="G123" s="42" t="s">
        <v>108</v>
      </c>
      <c r="H123" s="40" t="e">
        <f>I123/I$108</f>
        <v>#DIV/0!</v>
      </c>
      <c r="I123" s="41">
        <f>SUM(I113:I122)</f>
        <v>0</v>
      </c>
      <c r="J123" s="42" t="s">
        <v>108</v>
      </c>
      <c r="K123" s="40" t="e">
        <f>L123/L$108</f>
        <v>#DIV/0!</v>
      </c>
      <c r="L123" s="41">
        <f>SUM(L113:L122)</f>
        <v>107271.73000000001</v>
      </c>
      <c r="M123" s="44"/>
      <c r="N123" s="41">
        <f t="shared" si="23"/>
        <v>-18027.974882029812</v>
      </c>
      <c r="O123" s="42" t="s">
        <v>108</v>
      </c>
      <c r="P123" s="40" t="e">
        <f>Q123/Q$108</f>
        <v>#DIV/0!</v>
      </c>
      <c r="Q123" s="41">
        <f>SUM(Q113:Q122)</f>
        <v>127138.71999999999</v>
      </c>
      <c r="R123" s="44"/>
      <c r="S123" s="284">
        <f t="shared" si="29"/>
        <v>-19866.989999999976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">
      <c r="A124" t="str">
        <f t="shared" si="20"/>
        <v>Véhicules usagésSalaires cadres</v>
      </c>
      <c r="B124" s="24" t="s">
        <v>140</v>
      </c>
      <c r="C124" s="266" t="s">
        <v>109</v>
      </c>
      <c r="D124" s="25"/>
      <c r="E124" s="25"/>
      <c r="F124" s="965">
        <v>20590.797616858239</v>
      </c>
      <c r="G124" s="222"/>
      <c r="H124" s="25"/>
      <c r="I124" s="965">
        <v>0</v>
      </c>
      <c r="J124" s="222"/>
      <c r="K124" s="25"/>
      <c r="L124" s="179">
        <v>21016.480000000003</v>
      </c>
      <c r="M124" s="222"/>
      <c r="N124" s="224">
        <f t="shared" si="23"/>
        <v>425.68238314176415</v>
      </c>
      <c r="O124" s="222"/>
      <c r="P124" s="25"/>
      <c r="Q124" s="179">
        <v>14171.61</v>
      </c>
      <c r="R124" s="222"/>
      <c r="S124" s="196">
        <f t="shared" si="29"/>
        <v>6844.8700000000026</v>
      </c>
      <c r="T124" s="25"/>
      <c r="U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">
      <c r="A125" t="str">
        <f t="shared" si="20"/>
        <v>Véhicules usagésSalaires commis</v>
      </c>
      <c r="B125" s="24" t="s">
        <v>140</v>
      </c>
      <c r="C125" s="267" t="s">
        <v>110</v>
      </c>
      <c r="D125" s="36"/>
      <c r="E125" s="25"/>
      <c r="F125" s="176">
        <v>5822.6052394636008</v>
      </c>
      <c r="G125" s="268"/>
      <c r="H125" s="25"/>
      <c r="I125" s="176">
        <v>0</v>
      </c>
      <c r="J125" s="222"/>
      <c r="K125" s="25"/>
      <c r="L125" s="176">
        <v>4749.47</v>
      </c>
      <c r="M125" s="222"/>
      <c r="N125" s="224">
        <f t="shared" si="23"/>
        <v>-1073.1352394636006</v>
      </c>
      <c r="O125" s="222"/>
      <c r="P125" s="25"/>
      <c r="Q125" s="176">
        <v>8864.36</v>
      </c>
      <c r="R125" s="222"/>
      <c r="S125" s="196">
        <f t="shared" si="29"/>
        <v>-4114.8900000000003</v>
      </c>
      <c r="T125" s="25"/>
      <c r="U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">
      <c r="A126" t="str">
        <f t="shared" si="20"/>
        <v>Véhicules usagésSalaires autres</v>
      </c>
      <c r="B126" s="24" t="s">
        <v>140</v>
      </c>
      <c r="C126" s="266" t="s">
        <v>111</v>
      </c>
      <c r="D126" s="269"/>
      <c r="E126" s="270"/>
      <c r="F126" s="965">
        <v>0</v>
      </c>
      <c r="G126" s="271"/>
      <c r="H126" s="270"/>
      <c r="I126" s="965">
        <v>0</v>
      </c>
      <c r="J126" s="272"/>
      <c r="K126" s="270"/>
      <c r="L126" s="179">
        <v>0</v>
      </c>
      <c r="M126" s="272"/>
      <c r="N126" s="273">
        <f t="shared" si="23"/>
        <v>0</v>
      </c>
      <c r="O126" s="272"/>
      <c r="P126" s="270"/>
      <c r="Q126" s="179">
        <v>8427</v>
      </c>
      <c r="R126" s="272"/>
      <c r="S126" s="198">
        <f t="shared" si="29"/>
        <v>-8427</v>
      </c>
      <c r="T126" s="25"/>
      <c r="U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" hidden="1">
      <c r="A127" t="str">
        <f t="shared" si="20"/>
        <v>Véhicules usagésSalaires spécialistes</v>
      </c>
      <c r="B127" s="24" t="s">
        <v>140</v>
      </c>
      <c r="C127" s="266" t="s">
        <v>112</v>
      </c>
      <c r="D127" s="36"/>
      <c r="E127" s="25"/>
      <c r="F127" s="965">
        <v>0</v>
      </c>
      <c r="G127" s="268"/>
      <c r="H127" s="25"/>
      <c r="I127" s="965">
        <v>0</v>
      </c>
      <c r="J127" s="222"/>
      <c r="K127" s="25"/>
      <c r="L127" s="179">
        <v>0</v>
      </c>
      <c r="M127" s="222"/>
      <c r="N127" s="224">
        <f t="shared" si="23"/>
        <v>0</v>
      </c>
      <c r="O127" s="222"/>
      <c r="P127" s="25"/>
      <c r="Q127" s="179">
        <v>0</v>
      </c>
      <c r="R127" s="222"/>
      <c r="S127" s="196">
        <f t="shared" si="29"/>
        <v>0</v>
      </c>
      <c r="T127" s="25"/>
      <c r="U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5">
        <v>0</v>
      </c>
      <c r="G128" s="268"/>
      <c r="H128" s="25"/>
      <c r="I128" s="965">
        <v>0</v>
      </c>
      <c r="J128" s="222"/>
      <c r="K128" s="25"/>
      <c r="L128" s="179">
        <v>0</v>
      </c>
      <c r="M128" s="222"/>
      <c r="N128" s="224">
        <f t="shared" si="23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5">
        <v>0</v>
      </c>
      <c r="G129" s="268"/>
      <c r="H129" s="25"/>
      <c r="I129" s="965">
        <v>0</v>
      </c>
      <c r="J129" s="222"/>
      <c r="K129" s="25"/>
      <c r="L129" s="179">
        <v>0</v>
      </c>
      <c r="M129" s="222"/>
      <c r="N129" s="224">
        <f t="shared" si="23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" hidden="1">
      <c r="A130" t="str">
        <f t="shared" si="20"/>
        <v>Véhicules usagés[...]</v>
      </c>
      <c r="B130" s="24" t="s">
        <v>140</v>
      </c>
      <c r="C130" s="266" t="s">
        <v>42</v>
      </c>
      <c r="D130" s="36"/>
      <c r="E130" s="25"/>
      <c r="F130" s="965">
        <v>0</v>
      </c>
      <c r="G130" s="268"/>
      <c r="H130" s="25"/>
      <c r="I130" s="965">
        <v>0</v>
      </c>
      <c r="J130" s="222"/>
      <c r="K130" s="25"/>
      <c r="L130" s="179">
        <v>0</v>
      </c>
      <c r="M130" s="222"/>
      <c r="N130" s="224">
        <f t="shared" si="23"/>
        <v>0</v>
      </c>
      <c r="O130" s="222"/>
      <c r="P130" s="25"/>
      <c r="Q130" s="179">
        <v>0</v>
      </c>
      <c r="R130" s="222"/>
      <c r="S130" s="196">
        <f>L130-Q130</f>
        <v>0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">
      <c r="A131" t="str">
        <f t="shared" si="20"/>
        <v>Véhicules usagésSalaires en absences</v>
      </c>
      <c r="B131" s="24" t="s">
        <v>140</v>
      </c>
      <c r="C131" s="267" t="s">
        <v>113</v>
      </c>
      <c r="D131" s="36"/>
      <c r="E131" s="25"/>
      <c r="F131" s="965">
        <v>14957.048824578258</v>
      </c>
      <c r="G131" s="268"/>
      <c r="H131" s="25"/>
      <c r="I131" s="965">
        <v>0</v>
      </c>
      <c r="J131" s="222"/>
      <c r="K131" s="25"/>
      <c r="L131" s="179">
        <v>11116.4</v>
      </c>
      <c r="M131" s="222"/>
      <c r="N131" s="224">
        <f t="shared" si="23"/>
        <v>-3840.6488245782584</v>
      </c>
      <c r="O131" s="222"/>
      <c r="P131" s="25"/>
      <c r="Q131" s="179">
        <v>13703.810000000001</v>
      </c>
      <c r="R131" s="222"/>
      <c r="S131" s="196">
        <f>L131-Q131</f>
        <v>-2587.4100000000017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">
      <c r="A132" t="str">
        <f t="shared" si="20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v>15870.963357306082</v>
      </c>
      <c r="G132" s="271"/>
      <c r="H132" s="270"/>
      <c r="I132" s="372">
        <v>0</v>
      </c>
      <c r="J132" s="272"/>
      <c r="K132" s="270"/>
      <c r="L132" s="373">
        <v>13703.62</v>
      </c>
      <c r="M132" s="272"/>
      <c r="N132" s="273">
        <f t="shared" si="23"/>
        <v>-2167.3433573060811</v>
      </c>
      <c r="O132" s="272"/>
      <c r="P132" s="270"/>
      <c r="Q132" s="373">
        <v>16441.62</v>
      </c>
      <c r="R132" s="272"/>
      <c r="S132" s="198">
        <f t="shared" ref="S132:S149" si="30">L132-Q132</f>
        <v>-2737.9999999999982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">
      <c r="A133" t="str">
        <f t="shared" si="20"/>
        <v>Véhicules usagésBénéfices marginaux</v>
      </c>
      <c r="B133" s="24" t="s">
        <v>140</v>
      </c>
      <c r="C133" s="266" t="s">
        <v>115</v>
      </c>
      <c r="D133" s="36"/>
      <c r="E133" s="25"/>
      <c r="F133" s="965">
        <v>10286.735509365051</v>
      </c>
      <c r="G133" s="268"/>
      <c r="H133" s="25"/>
      <c r="I133" s="965">
        <v>0</v>
      </c>
      <c r="J133" s="222"/>
      <c r="K133" s="25"/>
      <c r="L133" s="179">
        <v>5625.11</v>
      </c>
      <c r="M133" s="222"/>
      <c r="N133" s="224">
        <f t="shared" si="23"/>
        <v>-4661.6255093650516</v>
      </c>
      <c r="O133" s="222"/>
      <c r="P133" s="25"/>
      <c r="Q133" s="179">
        <v>7150.8899999999994</v>
      </c>
      <c r="R133" s="222"/>
      <c r="S133" s="196">
        <f t="shared" si="30"/>
        <v>-1525.7799999999997</v>
      </c>
      <c r="T133" s="25"/>
      <c r="U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">
      <c r="A134" t="str">
        <f t="shared" si="20"/>
        <v>Véhicules usagésCsst</v>
      </c>
      <c r="B134" s="24" t="s">
        <v>140</v>
      </c>
      <c r="C134" s="266" t="s">
        <v>116</v>
      </c>
      <c r="D134" s="36"/>
      <c r="E134" s="25"/>
      <c r="F134" s="965">
        <v>2880.2859426222144</v>
      </c>
      <c r="G134" s="268"/>
      <c r="H134" s="25"/>
      <c r="I134" s="965">
        <v>0</v>
      </c>
      <c r="J134" s="222"/>
      <c r="K134" s="25"/>
      <c r="L134" s="179">
        <v>1916.94</v>
      </c>
      <c r="M134" s="222"/>
      <c r="N134" s="224">
        <f t="shared" si="23"/>
        <v>-963.34594262221435</v>
      </c>
      <c r="O134" s="222"/>
      <c r="P134" s="25"/>
      <c r="Q134" s="179">
        <v>3103.18</v>
      </c>
      <c r="R134" s="222"/>
      <c r="S134" s="196">
        <f t="shared" si="30"/>
        <v>-1186.2399999999998</v>
      </c>
      <c r="T134" s="25"/>
      <c r="U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" hidden="1">
      <c r="A135" t="str">
        <f t="shared" si="20"/>
        <v>Véhicules usagés[...]</v>
      </c>
      <c r="B135" s="24" t="s">
        <v>140</v>
      </c>
      <c r="C135" s="250" t="s">
        <v>42</v>
      </c>
      <c r="D135" s="274"/>
      <c r="E135" s="275"/>
      <c r="F135" s="965">
        <v>0</v>
      </c>
      <c r="G135" s="276"/>
      <c r="H135" s="275"/>
      <c r="I135" s="965">
        <v>0</v>
      </c>
      <c r="J135" s="277"/>
      <c r="K135" s="275"/>
      <c r="L135" s="179">
        <v>0</v>
      </c>
      <c r="M135" s="222"/>
      <c r="N135" s="224">
        <f t="shared" si="23"/>
        <v>0</v>
      </c>
      <c r="O135" s="277"/>
      <c r="P135" s="275"/>
      <c r="Q135" s="179">
        <v>0</v>
      </c>
      <c r="R135" s="277"/>
      <c r="S135" s="199">
        <f t="shared" si="30"/>
        <v>0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">
      <c r="A136" t="str">
        <f t="shared" si="20"/>
        <v>Véhicules usagésTOTAL PERSONNEL</v>
      </c>
      <c r="B136" s="24" t="s">
        <v>140</v>
      </c>
      <c r="C136" s="279" t="s">
        <v>117</v>
      </c>
      <c r="D136" s="39" t="s">
        <v>108</v>
      </c>
      <c r="E136" s="40" t="e">
        <f>F136/F$108</f>
        <v>#DIV/0!</v>
      </c>
      <c r="F136" s="41">
        <f>+SUM(F124:F135)</f>
        <v>70408.436490193446</v>
      </c>
      <c r="G136" s="42" t="s">
        <v>108</v>
      </c>
      <c r="H136" s="40" t="e">
        <f>I136/I$108</f>
        <v>#DIV/0!</v>
      </c>
      <c r="I136" s="41">
        <f>+SUM(I124:I135)</f>
        <v>0</v>
      </c>
      <c r="J136" s="42" t="s">
        <v>108</v>
      </c>
      <c r="K136" s="40" t="e">
        <f>L136/L$108</f>
        <v>#DIV/0!</v>
      </c>
      <c r="L136" s="41">
        <f>SUM(L124:L135)</f>
        <v>58128.020000000011</v>
      </c>
      <c r="M136" s="809"/>
      <c r="N136" s="810">
        <f t="shared" si="23"/>
        <v>-12280.416490193435</v>
      </c>
      <c r="O136" s="42" t="s">
        <v>108</v>
      </c>
      <c r="P136" s="40" t="e">
        <f>Q136/Q$108</f>
        <v>#DIV/0!</v>
      </c>
      <c r="Q136" s="41">
        <f>SUM(Q124:Q135)</f>
        <v>71862.469999999987</v>
      </c>
      <c r="R136" s="43"/>
      <c r="S136" s="280">
        <f t="shared" si="30"/>
        <v>-13734.449999999975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" hidden="1">
      <c r="A137" t="str">
        <f t="shared" si="20"/>
        <v>Véhicules usagésPublicité 2</v>
      </c>
      <c r="B137" s="24" t="s">
        <v>140</v>
      </c>
      <c r="C137" s="250" t="s">
        <v>118</v>
      </c>
      <c r="D137" s="36"/>
      <c r="E137" s="25"/>
      <c r="F137" s="965">
        <v>0</v>
      </c>
      <c r="G137" s="268"/>
      <c r="H137" s="25"/>
      <c r="I137" s="965">
        <v>0</v>
      </c>
      <c r="J137" s="222"/>
      <c r="K137" s="25"/>
      <c r="L137" s="179">
        <v>0</v>
      </c>
      <c r="M137" s="222"/>
      <c r="N137" s="224">
        <f t="shared" si="23"/>
        <v>0</v>
      </c>
      <c r="O137" s="222"/>
      <c r="P137" s="25"/>
      <c r="Q137" s="179">
        <v>0</v>
      </c>
      <c r="R137" s="222"/>
      <c r="S137" s="196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" hidden="1">
      <c r="A138" t="str">
        <f t="shared" si="20"/>
        <v>Véhicules usagésService gratuit 2</v>
      </c>
      <c r="B138" s="24" t="s">
        <v>140</v>
      </c>
      <c r="C138" s="250" t="s">
        <v>119</v>
      </c>
      <c r="D138" s="36"/>
      <c r="E138" s="25"/>
      <c r="F138" s="965">
        <v>0</v>
      </c>
      <c r="G138" s="268"/>
      <c r="H138" s="25"/>
      <c r="I138" s="965">
        <v>0</v>
      </c>
      <c r="J138" s="222"/>
      <c r="K138" s="25"/>
      <c r="L138" s="179">
        <v>0</v>
      </c>
      <c r="M138" s="222"/>
      <c r="N138" s="224">
        <f t="shared" si="23"/>
        <v>0</v>
      </c>
      <c r="O138" s="222"/>
      <c r="P138" s="25"/>
      <c r="Q138" s="179">
        <v>0</v>
      </c>
      <c r="R138" s="222"/>
      <c r="S138" s="196">
        <f t="shared" si="30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">
      <c r="A139" t="str">
        <f t="shared" si="20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v>2290.75</v>
      </c>
      <c r="G139" s="276"/>
      <c r="H139" s="275"/>
      <c r="I139" s="176">
        <v>0</v>
      </c>
      <c r="J139" s="277"/>
      <c r="K139" s="275"/>
      <c r="L139" s="176">
        <v>1319.72</v>
      </c>
      <c r="M139" s="277"/>
      <c r="N139" s="278">
        <f t="shared" si="23"/>
        <v>-971.03</v>
      </c>
      <c r="O139" s="277"/>
      <c r="P139" s="275"/>
      <c r="Q139" s="176">
        <v>2606.04</v>
      </c>
      <c r="R139" s="277"/>
      <c r="S139" s="199">
        <f t="shared" si="30"/>
        <v>-1286.32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">
      <c r="A140" t="str">
        <f t="shared" si="20"/>
        <v>Véhicules usagésInformatique</v>
      </c>
      <c r="B140" s="24" t="s">
        <v>140</v>
      </c>
      <c r="C140" s="250" t="s">
        <v>121</v>
      </c>
      <c r="D140" s="36"/>
      <c r="E140" s="25"/>
      <c r="F140" s="965">
        <v>12253.545</v>
      </c>
      <c r="G140" s="268"/>
      <c r="H140" s="25"/>
      <c r="I140" s="965">
        <v>0</v>
      </c>
      <c r="J140" s="222"/>
      <c r="K140" s="25"/>
      <c r="L140" s="179">
        <v>12300.7</v>
      </c>
      <c r="M140" s="222"/>
      <c r="N140" s="224">
        <f t="shared" si="23"/>
        <v>47.155000000000655</v>
      </c>
      <c r="O140" s="222"/>
      <c r="P140" s="25"/>
      <c r="Q140" s="179">
        <v>4789.3599999999997</v>
      </c>
      <c r="R140" s="222"/>
      <c r="S140" s="196">
        <f t="shared" si="30"/>
        <v>7511.3400000000011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">
      <c r="A141" t="str">
        <f t="shared" si="20"/>
        <v>Véhicules usagésFrais de déplacement</v>
      </c>
      <c r="B141" s="24" t="s">
        <v>140</v>
      </c>
      <c r="C141" s="250" t="s">
        <v>122</v>
      </c>
      <c r="D141" s="36"/>
      <c r="E141" s="25"/>
      <c r="F141" s="965">
        <v>1496.25</v>
      </c>
      <c r="G141" s="268"/>
      <c r="H141" s="25"/>
      <c r="I141" s="965">
        <v>0</v>
      </c>
      <c r="J141" s="222"/>
      <c r="K141" s="25"/>
      <c r="L141" s="179">
        <v>3198.86</v>
      </c>
      <c r="M141" s="222"/>
      <c r="N141" s="224">
        <f t="shared" si="23"/>
        <v>1702.6100000000001</v>
      </c>
      <c r="O141" s="222"/>
      <c r="P141" s="25"/>
      <c r="Q141" s="179">
        <v>452.76</v>
      </c>
      <c r="R141" s="222"/>
      <c r="S141" s="196">
        <f t="shared" si="30"/>
        <v>2746.1000000000004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">
      <c r="A142" t="str">
        <f t="shared" si="20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v>8693.6710000000003</v>
      </c>
      <c r="G142" s="276"/>
      <c r="H142" s="275"/>
      <c r="I142" s="176">
        <v>0</v>
      </c>
      <c r="J142" s="277"/>
      <c r="K142" s="275"/>
      <c r="L142" s="176">
        <v>8922.0499999999993</v>
      </c>
      <c r="M142" s="277"/>
      <c r="N142" s="278">
        <f t="shared" si="23"/>
        <v>228.378999999999</v>
      </c>
      <c r="O142" s="277"/>
      <c r="P142" s="275"/>
      <c r="Q142" s="176">
        <v>2343.6099999999997</v>
      </c>
      <c r="R142" s="277"/>
      <c r="S142" s="199">
        <f t="shared" si="30"/>
        <v>6578.44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">
      <c r="A143" t="str">
        <f t="shared" si="20"/>
        <v>Véhicules usagésFournitures autres</v>
      </c>
      <c r="B143" s="24" t="s">
        <v>140</v>
      </c>
      <c r="C143" s="250" t="s">
        <v>124</v>
      </c>
      <c r="D143" s="36"/>
      <c r="E143" s="25"/>
      <c r="F143" s="965">
        <v>41.25</v>
      </c>
      <c r="G143" s="268"/>
      <c r="H143" s="25"/>
      <c r="I143" s="965">
        <v>0</v>
      </c>
      <c r="J143" s="222"/>
      <c r="K143" s="25"/>
      <c r="L143" s="179">
        <v>197.85000000000002</v>
      </c>
      <c r="M143" s="222"/>
      <c r="N143" s="224">
        <f t="shared" si="23"/>
        <v>156.60000000000002</v>
      </c>
      <c r="O143" s="222"/>
      <c r="P143" s="25"/>
      <c r="Q143" s="179">
        <v>30.81</v>
      </c>
      <c r="R143" s="222"/>
      <c r="S143" s="196">
        <f t="shared" si="30"/>
        <v>167.04000000000002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">
      <c r="A144" t="str">
        <f t="shared" si="20"/>
        <v>Véhicules usagésUniformes</v>
      </c>
      <c r="B144" s="24" t="s">
        <v>140</v>
      </c>
      <c r="C144" s="250" t="s">
        <v>125</v>
      </c>
      <c r="D144" s="36"/>
      <c r="E144" s="25"/>
      <c r="F144" s="965">
        <v>22.5</v>
      </c>
      <c r="G144" s="268"/>
      <c r="H144" s="25"/>
      <c r="I144" s="965">
        <v>0</v>
      </c>
      <c r="J144" s="222"/>
      <c r="K144" s="25"/>
      <c r="L144" s="179">
        <v>39.9</v>
      </c>
      <c r="M144" s="222"/>
      <c r="N144" s="224">
        <f t="shared" si="23"/>
        <v>17.399999999999999</v>
      </c>
      <c r="O144" s="222"/>
      <c r="P144" s="25"/>
      <c r="Q144" s="179">
        <v>66</v>
      </c>
      <c r="R144" s="222"/>
      <c r="S144" s="196">
        <f t="shared" si="30"/>
        <v>-26.1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">
      <c r="A145" t="str">
        <f t="shared" si="20"/>
        <v>Véhicules usagésPapeterie</v>
      </c>
      <c r="B145" s="24" t="s">
        <v>140</v>
      </c>
      <c r="C145" s="250" t="s">
        <v>126</v>
      </c>
      <c r="D145" s="36"/>
      <c r="E145" s="25"/>
      <c r="F145" s="965">
        <v>652.5</v>
      </c>
      <c r="G145" s="268"/>
      <c r="H145" s="25"/>
      <c r="I145" s="965">
        <v>0</v>
      </c>
      <c r="J145" s="222"/>
      <c r="K145" s="25"/>
      <c r="L145" s="472">
        <v>925.35</v>
      </c>
      <c r="M145" s="222"/>
      <c r="N145" s="224">
        <f t="shared" si="23"/>
        <v>272.85000000000002</v>
      </c>
      <c r="O145" s="222"/>
      <c r="P145" s="25"/>
      <c r="Q145" s="472">
        <v>405.04</v>
      </c>
      <c r="R145" s="222"/>
      <c r="S145" s="196">
        <f t="shared" si="30"/>
        <v>520.30999999999995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">
      <c r="A146" t="str">
        <f t="shared" si="20"/>
        <v>Véhicules usagésTéléphone</v>
      </c>
      <c r="B146" s="24" t="s">
        <v>140</v>
      </c>
      <c r="C146" s="250" t="s">
        <v>127</v>
      </c>
      <c r="D146" s="36"/>
      <c r="E146" s="25"/>
      <c r="F146" s="965">
        <v>190.05</v>
      </c>
      <c r="G146" s="268"/>
      <c r="H146" s="25"/>
      <c r="I146" s="965">
        <v>0</v>
      </c>
      <c r="J146" s="222"/>
      <c r="K146" s="25"/>
      <c r="L146" s="179">
        <v>354.6</v>
      </c>
      <c r="M146" s="222"/>
      <c r="N146" s="224">
        <f t="shared" si="23"/>
        <v>164.55</v>
      </c>
      <c r="O146" s="222"/>
      <c r="P146" s="25"/>
      <c r="Q146" s="179">
        <v>188.32999999999998</v>
      </c>
      <c r="R146" s="222"/>
      <c r="S146" s="196">
        <f t="shared" si="30"/>
        <v>166.27000000000004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">
      <c r="A147" t="str">
        <f t="shared" si="20"/>
        <v>Véhicules usagésFrais postaux</v>
      </c>
      <c r="B147" s="24" t="s">
        <v>140</v>
      </c>
      <c r="C147" s="250" t="s">
        <v>128</v>
      </c>
      <c r="D147" s="36"/>
      <c r="E147" s="25"/>
      <c r="F147" s="965">
        <v>254.99999999999994</v>
      </c>
      <c r="G147" s="268"/>
      <c r="H147" s="25"/>
      <c r="I147" s="965">
        <v>0</v>
      </c>
      <c r="J147" s="222"/>
      <c r="K147" s="25"/>
      <c r="L147" s="179">
        <v>291.06</v>
      </c>
      <c r="M147" s="222"/>
      <c r="N147" s="224">
        <f t="shared" si="23"/>
        <v>36.060000000000059</v>
      </c>
      <c r="O147" s="222"/>
      <c r="P147" s="25"/>
      <c r="Q147" s="179">
        <v>352.03999999999996</v>
      </c>
      <c r="R147" s="222"/>
      <c r="S147" s="196">
        <f t="shared" si="30"/>
        <v>-60.979999999999961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">
      <c r="A148" t="str">
        <f t="shared" si="20"/>
        <v>Véhicules usagésDivers</v>
      </c>
      <c r="B148" s="24" t="s">
        <v>140</v>
      </c>
      <c r="C148" s="250" t="s">
        <v>129</v>
      </c>
      <c r="D148" s="36"/>
      <c r="E148" s="25"/>
      <c r="F148" s="965">
        <v>716.74999999999989</v>
      </c>
      <c r="G148" s="268"/>
      <c r="H148" s="25"/>
      <c r="I148" s="965">
        <v>0</v>
      </c>
      <c r="J148" s="222"/>
      <c r="K148" s="25"/>
      <c r="L148" s="179">
        <v>815.99</v>
      </c>
      <c r="M148" s="222"/>
      <c r="N148" s="224">
        <f t="shared" si="23"/>
        <v>99.240000000000123</v>
      </c>
      <c r="O148" s="222"/>
      <c r="P148" s="25"/>
      <c r="Q148" s="179">
        <v>750.31</v>
      </c>
      <c r="R148" s="222"/>
      <c r="S148" s="196">
        <f t="shared" si="30"/>
        <v>65.680000000000064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">
      <c r="A149" t="str">
        <f t="shared" si="20"/>
        <v>Véhicules usagésFormation</v>
      </c>
      <c r="B149" s="24" t="s">
        <v>140</v>
      </c>
      <c r="C149" s="250" t="s">
        <v>130</v>
      </c>
      <c r="D149" s="36"/>
      <c r="E149" s="25"/>
      <c r="F149" s="965">
        <v>343.0440000000001</v>
      </c>
      <c r="G149" s="268"/>
      <c r="H149" s="25"/>
      <c r="I149" s="965">
        <v>0</v>
      </c>
      <c r="J149" s="222"/>
      <c r="K149" s="25"/>
      <c r="L149" s="224">
        <v>-411.19</v>
      </c>
      <c r="M149" s="222"/>
      <c r="N149" s="224">
        <f t="shared" si="23"/>
        <v>-754.23400000000015</v>
      </c>
      <c r="O149" s="222"/>
      <c r="P149" s="25"/>
      <c r="Q149" s="179">
        <v>253.12</v>
      </c>
      <c r="R149" s="222"/>
      <c r="S149" s="196">
        <f t="shared" si="30"/>
        <v>-664.31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">
      <c r="A150" t="str">
        <f t="shared" si="20"/>
        <v>Véhicules usagésFrais bancaires</v>
      </c>
      <c r="B150" s="24" t="s">
        <v>140</v>
      </c>
      <c r="C150" s="250" t="s">
        <v>131</v>
      </c>
      <c r="D150" s="36"/>
      <c r="E150" s="25"/>
      <c r="F150" s="965">
        <v>4897.706564242786</v>
      </c>
      <c r="G150" s="268"/>
      <c r="H150" s="25"/>
      <c r="I150" s="965">
        <v>0</v>
      </c>
      <c r="J150" s="222"/>
      <c r="K150" s="25"/>
      <c r="L150" s="179">
        <v>3828.5499999999997</v>
      </c>
      <c r="M150" s="222"/>
      <c r="N150" s="224">
        <f t="shared" si="23"/>
        <v>-1069.1565642427863</v>
      </c>
      <c r="O150" s="222"/>
      <c r="P150" s="25"/>
      <c r="Q150" s="179">
        <v>2555.23</v>
      </c>
      <c r="R150" s="222"/>
      <c r="S150" s="196">
        <f>L150-Q150</f>
        <v>1273.3199999999997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5">
        <v>0</v>
      </c>
      <c r="G151" s="268"/>
      <c r="H151" s="25"/>
      <c r="I151" s="965">
        <v>0</v>
      </c>
      <c r="J151" s="222"/>
      <c r="K151" s="25"/>
      <c r="L151" s="179">
        <v>0</v>
      </c>
      <c r="M151" s="222"/>
      <c r="N151" s="224">
        <f t="shared" si="23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5">
        <v>0</v>
      </c>
      <c r="G152" s="268"/>
      <c r="H152" s="25"/>
      <c r="I152" s="965">
        <v>0</v>
      </c>
      <c r="J152" s="222"/>
      <c r="K152" s="25"/>
      <c r="L152" s="179">
        <v>0</v>
      </c>
      <c r="M152" s="222"/>
      <c r="N152" s="224">
        <f t="shared" si="23"/>
        <v>0</v>
      </c>
      <c r="O152" s="222"/>
      <c r="P152" s="25"/>
      <c r="Q152" s="179"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" hidden="1">
      <c r="A153" t="str">
        <f t="shared" si="20"/>
        <v>Véhicules usagés[...]</v>
      </c>
      <c r="B153" s="24" t="s">
        <v>140</v>
      </c>
      <c r="C153" s="250" t="s">
        <v>42</v>
      </c>
      <c r="D153" s="36"/>
      <c r="E153" s="25"/>
      <c r="F153" s="965">
        <v>0</v>
      </c>
      <c r="G153" s="268"/>
      <c r="H153" s="25"/>
      <c r="I153" s="965">
        <v>0</v>
      </c>
      <c r="J153" s="222"/>
      <c r="K153" s="25"/>
      <c r="L153" s="179">
        <v>0</v>
      </c>
      <c r="M153" s="222"/>
      <c r="N153" s="224">
        <f t="shared" si="23"/>
        <v>0</v>
      </c>
      <c r="O153" s="222"/>
      <c r="P153" s="25"/>
      <c r="Q153" s="179"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">
      <c r="A154" t="str">
        <f t="shared" si="20"/>
        <v>Véhicules usagésTOTAL SEMI-FIXES</v>
      </c>
      <c r="B154" s="24" t="s">
        <v>140</v>
      </c>
      <c r="C154" s="279" t="s">
        <v>132</v>
      </c>
      <c r="D154" s="39" t="s">
        <v>108</v>
      </c>
      <c r="E154" s="40" t="e">
        <f>F154/F$108</f>
        <v>#DIV/0!</v>
      </c>
      <c r="F154" s="41">
        <f>+SUM(F137:F153)</f>
        <v>31853.016564242789</v>
      </c>
      <c r="G154" s="42" t="s">
        <v>108</v>
      </c>
      <c r="H154" s="40" t="e">
        <f>I154/I$108</f>
        <v>#DIV/0!</v>
      </c>
      <c r="I154" s="41">
        <f>+SUM(I137:I153)</f>
        <v>0</v>
      </c>
      <c r="J154" s="42" t="s">
        <v>108</v>
      </c>
      <c r="K154" s="40" t="e">
        <f>L154/L$108</f>
        <v>#DIV/0!</v>
      </c>
      <c r="L154" s="41">
        <f>+SUM(L137:L153)</f>
        <v>31783.439999999999</v>
      </c>
      <c r="M154" s="44"/>
      <c r="N154" s="41">
        <f t="shared" si="23"/>
        <v>-69.576564242790482</v>
      </c>
      <c r="O154" s="42" t="s">
        <v>108</v>
      </c>
      <c r="P154" s="40" t="e">
        <f>Q154/Q$108</f>
        <v>#DIV/0!</v>
      </c>
      <c r="Q154" s="41">
        <f>+SUM(Q137:Q153)</f>
        <v>14792.650000000001</v>
      </c>
      <c r="R154" s="44"/>
      <c r="S154" s="284">
        <f>L154-Q154</f>
        <v>16990.789999999997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">
      <c r="A155" t="str">
        <f t="shared" si="20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">
      <c r="A156" t="str">
        <f t="shared" si="20"/>
        <v>Véhicules usagésTOTAL DES DÉPENSES</v>
      </c>
      <c r="B156" s="24" t="s">
        <v>140</v>
      </c>
      <c r="C156" s="279" t="s">
        <v>133</v>
      </c>
      <c r="D156" s="39" t="s">
        <v>108</v>
      </c>
      <c r="E156" s="40" t="e">
        <f>F156/F$108</f>
        <v>#DIV/0!</v>
      </c>
      <c r="F156" s="41">
        <f>F123+F136+F154</f>
        <v>227561.15793646604</v>
      </c>
      <c r="G156" s="42" t="s">
        <v>108</v>
      </c>
      <c r="H156" s="40" t="e">
        <f>I156/I$108</f>
        <v>#DIV/0!</v>
      </c>
      <c r="I156" s="41">
        <f>I123+I136+I154</f>
        <v>0</v>
      </c>
      <c r="J156" s="42" t="s">
        <v>108</v>
      </c>
      <c r="K156" s="40" t="e">
        <f>L156/L$108</f>
        <v>#DIV/0!</v>
      </c>
      <c r="L156" s="41">
        <f>L123+L136+L154</f>
        <v>197183.19000000003</v>
      </c>
      <c r="M156" s="44"/>
      <c r="N156" s="46">
        <f t="shared" ref="N156:N163" si="31">L156-F156</f>
        <v>-30377.967936466011</v>
      </c>
      <c r="O156" s="42" t="s">
        <v>108</v>
      </c>
      <c r="P156" s="40" t="e">
        <f>Q156/Q$108</f>
        <v>#DIV/0!</v>
      </c>
      <c r="Q156" s="41">
        <f>Q123+Q136+Q154</f>
        <v>213793.83999999997</v>
      </c>
      <c r="R156" s="44"/>
      <c r="S156" s="280">
        <f t="shared" ref="S156:S163" si="32">L156-Q156</f>
        <v>-16610.649999999936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">
      <c r="A157" t="str">
        <f t="shared" ref="A157:A159" si="33">+B157&amp;C157</f>
        <v>Véhicules usagésRBSC used</v>
      </c>
      <c r="B157" s="24" t="s">
        <v>140</v>
      </c>
      <c r="C157" s="250" t="s">
        <v>394</v>
      </c>
      <c r="D157" s="455"/>
      <c r="E157" s="453"/>
      <c r="F157" s="965">
        <v>17250</v>
      </c>
      <c r="G157" s="360"/>
      <c r="H157" s="453"/>
      <c r="I157" s="965">
        <v>0</v>
      </c>
      <c r="J157" s="360"/>
      <c r="K157" s="453"/>
      <c r="L157" s="472">
        <v>13600</v>
      </c>
      <c r="M157" s="222"/>
      <c r="N157" s="224">
        <f t="shared" si="31"/>
        <v>-3650</v>
      </c>
      <c r="O157" s="360"/>
      <c r="P157" s="453"/>
      <c r="Q157" s="179">
        <v>4400</v>
      </c>
      <c r="R157" s="222"/>
      <c r="S157" s="196">
        <f t="shared" si="32"/>
        <v>9200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">
      <c r="A158" t="str">
        <f t="shared" si="33"/>
        <v>Véhicules usagésProgramme 360</v>
      </c>
      <c r="B158" s="24" t="s">
        <v>140</v>
      </c>
      <c r="C158" s="250" t="s">
        <v>395</v>
      </c>
      <c r="D158" s="455"/>
      <c r="E158" s="453"/>
      <c r="F158" s="965">
        <v>0</v>
      </c>
      <c r="G158" s="360"/>
      <c r="H158" s="453"/>
      <c r="I158" s="965">
        <v>0</v>
      </c>
      <c r="J158" s="360"/>
      <c r="K158" s="453"/>
      <c r="L158" s="179">
        <v>18900</v>
      </c>
      <c r="M158" s="222"/>
      <c r="N158" s="224">
        <f t="shared" si="31"/>
        <v>18900</v>
      </c>
      <c r="O158" s="360"/>
      <c r="P158" s="453"/>
      <c r="Q158" s="179">
        <v>-2050</v>
      </c>
      <c r="R158" s="222"/>
      <c r="S158" s="196">
        <f t="shared" si="32"/>
        <v>20950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" hidden="1">
      <c r="A159" t="str">
        <f t="shared" si="33"/>
        <v>Véhicules usagésProgramme used 3</v>
      </c>
      <c r="B159" s="24" t="s">
        <v>140</v>
      </c>
      <c r="C159" s="250" t="s">
        <v>146</v>
      </c>
      <c r="D159" s="36"/>
      <c r="E159" s="25"/>
      <c r="F159" s="965">
        <v>0</v>
      </c>
      <c r="G159" s="268"/>
      <c r="H159" s="25"/>
      <c r="I159" s="965">
        <v>0</v>
      </c>
      <c r="J159" s="222"/>
      <c r="K159" s="25"/>
      <c r="L159" s="179">
        <v>0</v>
      </c>
      <c r="M159" s="222"/>
      <c r="N159" s="224">
        <f t="shared" si="31"/>
        <v>0</v>
      </c>
      <c r="O159" s="222"/>
      <c r="P159" s="25"/>
      <c r="Q159" s="179">
        <v>0</v>
      </c>
      <c r="R159" s="222"/>
      <c r="S159" s="196">
        <f t="shared" si="32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" hidden="1">
      <c r="A160" t="str">
        <f>+B160&amp;C160</f>
        <v>Véhicules usagésFrais administration</v>
      </c>
      <c r="B160" s="24" t="s">
        <v>140</v>
      </c>
      <c r="C160" s="250" t="s">
        <v>137</v>
      </c>
      <c r="D160" s="36"/>
      <c r="E160" s="25"/>
      <c r="F160" s="965">
        <v>0</v>
      </c>
      <c r="G160" s="268"/>
      <c r="H160" s="25"/>
      <c r="I160" s="965">
        <v>0</v>
      </c>
      <c r="J160" s="222"/>
      <c r="K160" s="25"/>
      <c r="L160" s="472">
        <v>0</v>
      </c>
      <c r="M160" s="222"/>
      <c r="N160" s="224">
        <f t="shared" si="31"/>
        <v>0</v>
      </c>
      <c r="O160" s="222"/>
      <c r="P160" s="25"/>
      <c r="Q160" s="179">
        <v>0</v>
      </c>
      <c r="R160" s="222"/>
      <c r="S160" s="196">
        <f t="shared" si="32"/>
        <v>0</v>
      </c>
      <c r="T160" s="45"/>
      <c r="U160" s="25"/>
      <c r="W160" s="918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5">
        <v>0</v>
      </c>
      <c r="G161" s="268"/>
      <c r="H161" s="25"/>
      <c r="I161" s="965">
        <v>0</v>
      </c>
      <c r="J161" s="222"/>
      <c r="K161" s="25"/>
      <c r="L161" s="472">
        <v>0</v>
      </c>
      <c r="M161" s="222"/>
      <c r="N161" s="224">
        <f t="shared" si="31"/>
        <v>0</v>
      </c>
      <c r="O161" s="222"/>
      <c r="P161" s="25"/>
      <c r="Q161" s="179">
        <v>0</v>
      </c>
      <c r="R161" s="222"/>
      <c r="S161" s="196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" hidden="1">
      <c r="A162" t="str">
        <f>+B162&amp;C162</f>
        <v>Véhicules usagés[...]</v>
      </c>
      <c r="B162" s="24" t="s">
        <v>140</v>
      </c>
      <c r="C162" s="250" t="s">
        <v>42</v>
      </c>
      <c r="D162" s="36"/>
      <c r="E162" s="25"/>
      <c r="F162" s="965">
        <v>0</v>
      </c>
      <c r="G162" s="268"/>
      <c r="H162" s="25"/>
      <c r="I162" s="965">
        <v>0</v>
      </c>
      <c r="J162" s="222"/>
      <c r="K162" s="25"/>
      <c r="L162" s="472">
        <v>0</v>
      </c>
      <c r="M162" s="222"/>
      <c r="N162" s="224">
        <f t="shared" si="31"/>
        <v>0</v>
      </c>
      <c r="O162" s="222"/>
      <c r="P162" s="25"/>
      <c r="Q162" s="179">
        <v>0</v>
      </c>
      <c r="R162" s="222"/>
      <c r="S162" s="196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">
      <c r="A163" t="str">
        <f>+B163&amp;C163</f>
        <v>Véhicules usagés[...]</v>
      </c>
      <c r="B163" s="24" t="s">
        <v>140</v>
      </c>
      <c r="C163" s="293" t="s">
        <v>42</v>
      </c>
      <c r="D163" s="274"/>
      <c r="E163" s="275"/>
      <c r="F163" s="965">
        <v>38942.75</v>
      </c>
      <c r="G163" s="268"/>
      <c r="H163" s="25"/>
      <c r="I163" s="965">
        <v>0</v>
      </c>
      <c r="J163" s="222"/>
      <c r="K163" s="25"/>
      <c r="L163" s="472">
        <v>36890</v>
      </c>
      <c r="M163" s="222"/>
      <c r="N163" s="224">
        <f t="shared" si="31"/>
        <v>-2052.75</v>
      </c>
      <c r="O163" s="222"/>
      <c r="P163" s="25"/>
      <c r="Q163" s="179">
        <v>35105</v>
      </c>
      <c r="R163" s="222"/>
      <c r="S163" s="196">
        <f t="shared" si="32"/>
        <v>1785</v>
      </c>
      <c r="T163" s="45"/>
      <c r="U163" s="25"/>
      <c r="W163" s="918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">
      <c r="B164" s="24"/>
      <c r="C164" s="279" t="s">
        <v>138</v>
      </c>
      <c r="D164" s="39"/>
      <c r="E164" s="40"/>
      <c r="F164" s="41">
        <f>+SUM(F157:F163)</f>
        <v>56192.75</v>
      </c>
      <c r="G164" s="42"/>
      <c r="H164" s="40"/>
      <c r="I164" s="41">
        <f>+SUM(I157:I163)</f>
        <v>0</v>
      </c>
      <c r="J164" s="42"/>
      <c r="K164" s="40"/>
      <c r="L164" s="41">
        <f>+SUM(L157:L163)</f>
        <v>69390</v>
      </c>
      <c r="M164" s="44"/>
      <c r="N164" s="41">
        <f>SUM(N157:N160)</f>
        <v>15250</v>
      </c>
      <c r="O164" s="42"/>
      <c r="P164" s="40"/>
      <c r="Q164" s="41">
        <f>+SUM(Q157:Q163)</f>
        <v>37455</v>
      </c>
      <c r="R164" s="44"/>
      <c r="S164" s="284">
        <f>+SUM(S157:S163)</f>
        <v>31935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">
      <c r="B165" s="24"/>
      <c r="C165" s="250"/>
      <c r="D165" s="36"/>
      <c r="E165" s="25"/>
      <c r="F165" s="224"/>
      <c r="G165" s="268"/>
      <c r="H165" s="25"/>
      <c r="I165" s="224"/>
      <c r="J165" s="222"/>
      <c r="K165" s="25"/>
      <c r="L165" s="224"/>
      <c r="M165" s="222"/>
      <c r="N165" s="224"/>
      <c r="O165" s="222"/>
      <c r="P165" s="25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146864.48624425044</v>
      </c>
      <c r="G166" s="306"/>
      <c r="H166" s="304"/>
      <c r="I166" s="305">
        <f>I109-I156+I164</f>
        <v>0</v>
      </c>
      <c r="J166" s="307"/>
      <c r="K166" s="308"/>
      <c r="L166" s="305">
        <f>L109-L156+L164</f>
        <v>145558.7000000001</v>
      </c>
      <c r="M166" s="307"/>
      <c r="N166" s="305">
        <f>L166-F166</f>
        <v>-1305.7862442503392</v>
      </c>
      <c r="O166" s="307"/>
      <c r="P166" s="308"/>
      <c r="Q166" s="305">
        <f>Q109-Q156+Q164</f>
        <v>118398.1199999997</v>
      </c>
      <c r="R166" s="307"/>
      <c r="S166" s="309">
        <f>L166-Q166</f>
        <v>27160.580000000395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57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7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  Q2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6" t="s">
        <v>2971</v>
      </c>
      <c r="H171" s="1434"/>
      <c r="I171" s="1435"/>
      <c r="J171" s="1436" t="s">
        <v>78</v>
      </c>
      <c r="K171" s="1434"/>
      <c r="L171" s="1435"/>
      <c r="M171" s="1436" t="s">
        <v>2441</v>
      </c>
      <c r="N171" s="1435"/>
      <c r="O171" s="1433" t="s">
        <v>79</v>
      </c>
      <c r="P171" s="1434"/>
      <c r="Q171" s="1435"/>
      <c r="R171" s="1437" t="s">
        <v>2445</v>
      </c>
      <c r="S171" s="1438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">
      <c r="A172" t="str">
        <f t="shared" ref="A172:A227" si="34">+B172&amp;C172</f>
        <v>Service</v>
      </c>
      <c r="B172" s="24" t="s">
        <v>147</v>
      </c>
      <c r="C172" s="250"/>
      <c r="D172" s="456" t="s">
        <v>148</v>
      </c>
      <c r="E172" s="456" t="s">
        <v>149</v>
      </c>
      <c r="F172" s="253" t="s">
        <v>83</v>
      </c>
      <c r="G172" s="251" t="s">
        <v>148</v>
      </c>
      <c r="H172" s="456" t="s">
        <v>149</v>
      </c>
      <c r="I172" s="253" t="s">
        <v>83</v>
      </c>
      <c r="J172" s="251" t="s">
        <v>148</v>
      </c>
      <c r="K172" s="456" t="s">
        <v>149</v>
      </c>
      <c r="L172" s="253" t="s">
        <v>83</v>
      </c>
      <c r="M172" s="251" t="s">
        <v>2444</v>
      </c>
      <c r="N172" s="253" t="s">
        <v>2443</v>
      </c>
      <c r="O172" s="456" t="s">
        <v>148</v>
      </c>
      <c r="P172" s="456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">
      <c r="A173" t="str">
        <f t="shared" si="34"/>
        <v>ServiceM/O Client</v>
      </c>
      <c r="B173" s="24" t="s">
        <v>147</v>
      </c>
      <c r="C173" s="250" t="s">
        <v>151</v>
      </c>
      <c r="D173" s="1425">
        <v>851.6636051680814</v>
      </c>
      <c r="E173" s="37">
        <v>302340.57983466896</v>
      </c>
      <c r="F173" s="37">
        <v>238849.05806938847</v>
      </c>
      <c r="G173" s="310">
        <v>0</v>
      </c>
      <c r="H173" s="37">
        <v>0</v>
      </c>
      <c r="I173" s="37">
        <v>0</v>
      </c>
      <c r="J173" s="223">
        <v>839</v>
      </c>
      <c r="K173" s="965">
        <v>278984.77</v>
      </c>
      <c r="L173" s="179">
        <v>218932.18</v>
      </c>
      <c r="M173" s="292">
        <f>(K173-E173)/E173</f>
        <v>-7.7250000140374017E-2</v>
      </c>
      <c r="N173" s="224">
        <f>L173-F173</f>
        <v>-19916.878069388476</v>
      </c>
      <c r="O173" s="223">
        <v>804</v>
      </c>
      <c r="P173" s="965">
        <v>259162.83999999988</v>
      </c>
      <c r="Q173" s="179">
        <v>206730.98999999987</v>
      </c>
      <c r="R173" s="292">
        <f>IF(O173=0,0,J173/O173)</f>
        <v>1.0435323383084578</v>
      </c>
      <c r="S173" s="196">
        <f>L173-Q173</f>
        <v>12201.190000000119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">
      <c r="A174" t="str">
        <f t="shared" si="34"/>
        <v>Service% profit / ventes</v>
      </c>
      <c r="B174" s="24" t="s">
        <v>147</v>
      </c>
      <c r="C174" s="250" t="s">
        <v>152</v>
      </c>
      <c r="D174" s="1425"/>
      <c r="E174" s="990"/>
      <c r="F174" s="226">
        <f>F173/E173</f>
        <v>0.79</v>
      </c>
      <c r="G174" s="222"/>
      <c r="H174" s="990"/>
      <c r="I174" s="226" t="e">
        <f>I173/H173</f>
        <v>#DIV/0!</v>
      </c>
      <c r="J174" s="223"/>
      <c r="K174" s="25"/>
      <c r="L174" s="226">
        <f>L173/K173</f>
        <v>0.7847459916897972</v>
      </c>
      <c r="M174" s="292"/>
      <c r="N174" s="224"/>
      <c r="O174" s="223"/>
      <c r="P174" s="25"/>
      <c r="Q174" s="226">
        <f>Q173/P173</f>
        <v>0.79768762373494584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">
      <c r="A175" t="str">
        <f t="shared" si="34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>
        <f>IFERROR(H173/G173,0)</f>
        <v>0</v>
      </c>
      <c r="I175" s="317"/>
      <c r="J175" s="301"/>
      <c r="K175" s="494">
        <f>IFERROR(K173/J173,0)</f>
        <v>332.52058402860553</v>
      </c>
      <c r="L175" s="317"/>
      <c r="M175" s="319"/>
      <c r="N175" s="278"/>
      <c r="O175" s="301"/>
      <c r="P175" s="494">
        <f>IFERROR(P173/O173,0)</f>
        <v>322.34184079601977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">
      <c r="A176" t="str">
        <f t="shared" si="34"/>
        <v>ServiceM/O Garantie</v>
      </c>
      <c r="B176" s="24" t="s">
        <v>147</v>
      </c>
      <c r="C176" s="311" t="s">
        <v>153</v>
      </c>
      <c r="D176" s="932">
        <v>562.94706130118902</v>
      </c>
      <c r="E176" s="37">
        <v>106959.9416472259</v>
      </c>
      <c r="F176" s="37">
        <v>71021.401253757998</v>
      </c>
      <c r="G176" s="313">
        <v>0</v>
      </c>
      <c r="H176" s="37">
        <v>0</v>
      </c>
      <c r="I176" s="37">
        <v>0</v>
      </c>
      <c r="J176" s="313">
        <v>703</v>
      </c>
      <c r="K176" s="185">
        <v>102487.87</v>
      </c>
      <c r="L176" s="179">
        <v>64320.060000000012</v>
      </c>
      <c r="M176" s="292">
        <f>(K176-E176)/E176</f>
        <v>-4.1810715099075552E-2</v>
      </c>
      <c r="N176" s="273">
        <f>L176-F176</f>
        <v>-6701.3412537579861</v>
      </c>
      <c r="O176" s="313">
        <v>605</v>
      </c>
      <c r="P176" s="185">
        <v>112031.1899999999</v>
      </c>
      <c r="Q176" s="179">
        <v>76090.359999999899</v>
      </c>
      <c r="R176" s="292">
        <f>IF(O176=0,0,J176/O176)</f>
        <v>1.1619834710743802</v>
      </c>
      <c r="S176" s="196">
        <f>L176-Q176</f>
        <v>-11770.299999999886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">
      <c r="A177" t="str">
        <f t="shared" si="34"/>
        <v>Service% profit / ventes</v>
      </c>
      <c r="B177" s="24" t="s">
        <v>147</v>
      </c>
      <c r="C177" s="250" t="s">
        <v>152</v>
      </c>
      <c r="D177" s="1425"/>
      <c r="E177" s="25"/>
      <c r="F177" s="226">
        <f>F176/E176</f>
        <v>0.66400000000000003</v>
      </c>
      <c r="G177" s="222"/>
      <c r="H177" s="25"/>
      <c r="I177" s="226" t="e">
        <f>I176/H176</f>
        <v>#DIV/0!</v>
      </c>
      <c r="J177" s="222"/>
      <c r="K177" s="25"/>
      <c r="L177" s="226">
        <f>L176/K176</f>
        <v>0.62758705005772897</v>
      </c>
      <c r="M177" s="234"/>
      <c r="N177" s="233"/>
      <c r="O177" s="222"/>
      <c r="P177" s="25"/>
      <c r="Q177" s="226">
        <f>Q176/P176</f>
        <v>0.67918907225746661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">
      <c r="A178" t="str">
        <f t="shared" si="34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991"/>
      <c r="L178" s="317"/>
      <c r="M178" s="323"/>
      <c r="N178" s="298"/>
      <c r="O178" s="277"/>
      <c r="P178" s="991"/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">
      <c r="A179" t="str">
        <f t="shared" si="34"/>
        <v>ServiceM/O Interne</v>
      </c>
      <c r="B179" s="24" t="s">
        <v>147</v>
      </c>
      <c r="C179" s="250" t="s">
        <v>154</v>
      </c>
      <c r="D179" s="1425">
        <v>697.5</v>
      </c>
      <c r="E179" s="37">
        <v>279000</v>
      </c>
      <c r="F179" s="37">
        <v>210087</v>
      </c>
      <c r="G179" s="222">
        <v>0</v>
      </c>
      <c r="H179" s="37">
        <v>0</v>
      </c>
      <c r="I179" s="37">
        <v>0</v>
      </c>
      <c r="J179" s="223">
        <v>549</v>
      </c>
      <c r="K179" s="185">
        <v>215544.86</v>
      </c>
      <c r="L179" s="179">
        <v>167129.12</v>
      </c>
      <c r="M179" s="292">
        <f>(K179-E179)/E179</f>
        <v>-0.22743777777777782</v>
      </c>
      <c r="N179" s="224">
        <f>L179-F179</f>
        <v>-42957.880000000005</v>
      </c>
      <c r="O179" s="223">
        <v>460</v>
      </c>
      <c r="P179" s="185">
        <v>204248.85999999981</v>
      </c>
      <c r="Q179" s="179">
        <v>160666.46999999991</v>
      </c>
      <c r="R179" s="292">
        <f>IF(O179=0,0,J179/O179)</f>
        <v>1.1934782608695653</v>
      </c>
      <c r="S179" s="196">
        <f>L179-Q179</f>
        <v>6462.6500000000815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">
      <c r="A180" t="str">
        <f t="shared" si="34"/>
        <v>Service% profit / ventes</v>
      </c>
      <c r="B180" s="24" t="s">
        <v>147</v>
      </c>
      <c r="C180" s="250" t="s">
        <v>152</v>
      </c>
      <c r="D180" s="1425"/>
      <c r="E180" s="990"/>
      <c r="F180" s="226">
        <f>F179/E179</f>
        <v>0.753</v>
      </c>
      <c r="G180" s="222"/>
      <c r="H180" s="990"/>
      <c r="I180" s="226" t="e">
        <f>I179/H179</f>
        <v>#DIV/0!</v>
      </c>
      <c r="J180" s="223"/>
      <c r="K180" s="990"/>
      <c r="L180" s="226">
        <f>L179/K179</f>
        <v>0.77537975157468386</v>
      </c>
      <c r="M180" s="292"/>
      <c r="N180" s="224">
        <f>L180-F180</f>
        <v>2.2379751574683859E-2</v>
      </c>
      <c r="O180" s="223"/>
      <c r="P180" s="990"/>
      <c r="Q180" s="226">
        <f>Q179/P179</f>
        <v>0.78662113462958894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">
      <c r="A181" t="str">
        <f t="shared" si="34"/>
        <v>Service</v>
      </c>
      <c r="B181" s="24" t="s">
        <v>147</v>
      </c>
      <c r="C181" s="250"/>
      <c r="D181" s="1425"/>
      <c r="E181" s="188"/>
      <c r="F181" s="189"/>
      <c r="G181" s="222"/>
      <c r="H181" s="188"/>
      <c r="I181" s="317"/>
      <c r="J181" s="223"/>
      <c r="K181" s="992"/>
      <c r="L181" s="226"/>
      <c r="M181" s="292"/>
      <c r="N181" s="224"/>
      <c r="O181" s="223"/>
      <c r="P181" s="992"/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">
      <c r="A182" t="str">
        <f t="shared" si="34"/>
        <v>ServiceM/O Esthétique</v>
      </c>
      <c r="B182" s="24" t="s">
        <v>147</v>
      </c>
      <c r="C182" s="311" t="s">
        <v>155</v>
      </c>
      <c r="D182" s="932">
        <v>278.7382392018427</v>
      </c>
      <c r="E182" s="37">
        <v>76653.015780506728</v>
      </c>
      <c r="F182" s="37">
        <v>54883.559298842825</v>
      </c>
      <c r="G182" s="272">
        <v>0</v>
      </c>
      <c r="H182" s="37">
        <v>0</v>
      </c>
      <c r="I182" s="37">
        <v>0</v>
      </c>
      <c r="J182" s="313">
        <v>192</v>
      </c>
      <c r="K182" s="185">
        <v>44687.67</v>
      </c>
      <c r="L182" s="180">
        <v>31443.55</v>
      </c>
      <c r="M182" s="314">
        <f>IF(E182=0,0,(K182-E182)/E182)</f>
        <v>-0.41701354415119685</v>
      </c>
      <c r="N182" s="273">
        <f>L182-F182</f>
        <v>-23440.009298842826</v>
      </c>
      <c r="O182" s="313">
        <v>198</v>
      </c>
      <c r="P182" s="185">
        <v>41149.709999999897</v>
      </c>
      <c r="Q182" s="180">
        <v>29151.179999999989</v>
      </c>
      <c r="R182" s="292">
        <f>IF(O182=0,0,J182/O182)</f>
        <v>0.96969696969696972</v>
      </c>
      <c r="S182" s="198">
        <f>L182-Q182</f>
        <v>2292.3700000000099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">
      <c r="A183" t="str">
        <f t="shared" si="34"/>
        <v>Service% profit / ventes</v>
      </c>
      <c r="B183" s="24" t="s">
        <v>147</v>
      </c>
      <c r="C183" s="250" t="s">
        <v>152</v>
      </c>
      <c r="D183" s="56"/>
      <c r="E183" s="993"/>
      <c r="F183" s="226">
        <f>IFERROR(F182/E182,0)</f>
        <v>0.71600000000000008</v>
      </c>
      <c r="G183" s="231"/>
      <c r="H183" s="993"/>
      <c r="I183" s="226">
        <f>IFERROR(I182/H182,0)</f>
        <v>0</v>
      </c>
      <c r="J183" s="227"/>
      <c r="K183" s="993"/>
      <c r="L183" s="226">
        <f>IFERROR(L182/K182,0)</f>
        <v>0.70362921136859458</v>
      </c>
      <c r="M183" s="223">
        <f>J183-D183</f>
        <v>0</v>
      </c>
      <c r="N183" s="229"/>
      <c r="O183" s="227"/>
      <c r="P183" s="993"/>
      <c r="Q183" s="226">
        <f>IFERROR(Q182/P182,0)</f>
        <v>0.70841762918863982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">
      <c r="A184" t="str">
        <f t="shared" si="34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4"/>
        <v>ServiceAjustement M/O</v>
      </c>
      <c r="B185" s="24" t="s">
        <v>147</v>
      </c>
      <c r="C185" s="250" t="s">
        <v>156</v>
      </c>
      <c r="D185" s="25"/>
      <c r="E185" s="25"/>
      <c r="F185" s="224">
        <v>-10773.305386402306</v>
      </c>
      <c r="G185" s="222"/>
      <c r="H185" s="37"/>
      <c r="I185" s="37">
        <v>0</v>
      </c>
      <c r="J185" s="223"/>
      <c r="K185" s="37"/>
      <c r="L185" s="37">
        <v>-4385.42</v>
      </c>
      <c r="M185" s="227"/>
      <c r="N185" s="224">
        <f>L185-F185</f>
        <v>6387.8853864023058</v>
      </c>
      <c r="O185" s="223"/>
      <c r="P185" s="37"/>
      <c r="Q185" s="37">
        <v>-7297.7199999999993</v>
      </c>
      <c r="R185" s="206"/>
      <c r="S185" s="196">
        <f>L185-Q185</f>
        <v>2912.2999999999993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4"/>
        <v>ServiceSous-total M/O</v>
      </c>
      <c r="B186" s="24" t="s">
        <v>147</v>
      </c>
      <c r="C186" s="332" t="s">
        <v>157</v>
      </c>
      <c r="D186" s="58"/>
      <c r="E186" s="58">
        <f>E173+E176+E179+E182+E185</f>
        <v>764953.53726240166</v>
      </c>
      <c r="F186" s="59">
        <f>F173+F176+F179+F182+F185</f>
        <v>564067.713235587</v>
      </c>
      <c r="G186" s="60"/>
      <c r="H186" s="58">
        <f>H173+H176+H179+H182+H185</f>
        <v>0</v>
      </c>
      <c r="I186" s="59">
        <f>I173+I176+I179+I182+I185</f>
        <v>0</v>
      </c>
      <c r="J186" s="60"/>
      <c r="K186" s="58">
        <f>K173+K176+K179+K182+K185</f>
        <v>641705.17000000004</v>
      </c>
      <c r="L186" s="59">
        <f>L173+L176+L179+L182+L185</f>
        <v>477439.49</v>
      </c>
      <c r="M186" s="61">
        <f>(K186-E186)/E186</f>
        <v>-0.16111876245906395</v>
      </c>
      <c r="N186" s="59">
        <f>L186-F186</f>
        <v>-86628.223235587007</v>
      </c>
      <c r="O186" s="60"/>
      <c r="P186" s="58">
        <f>P173+P176+P179+P182+P185</f>
        <v>616592.59999999951</v>
      </c>
      <c r="Q186" s="59">
        <f>Q173+Q176+Q179+Q182+Q185</f>
        <v>465341.27999999968</v>
      </c>
      <c r="R186" s="234">
        <f>IF(O186=0,0,J186/O186)</f>
        <v>0</v>
      </c>
      <c r="S186" s="334">
        <f>L186-Q186</f>
        <v>12098.210000000312</v>
      </c>
      <c r="T186" s="4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">
      <c r="A187" t="str">
        <f t="shared" si="34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0.73738820171256381</v>
      </c>
      <c r="G187" s="64"/>
      <c r="H187" s="62"/>
      <c r="I187" s="233" t="e">
        <f>I186/H186</f>
        <v>#DIV/0!</v>
      </c>
      <c r="J187" s="64"/>
      <c r="K187" s="65"/>
      <c r="L187" s="233">
        <f>L186/K186</f>
        <v>0.74401689797824122</v>
      </c>
      <c r="M187" s="64"/>
      <c r="N187" s="63">
        <f>N186/F186</f>
        <v>-0.15357770211429581</v>
      </c>
      <c r="O187" s="64"/>
      <c r="P187" s="65"/>
      <c r="Q187" s="233">
        <f>Q186/P186</f>
        <v>0.75469812644524126</v>
      </c>
      <c r="R187" s="64"/>
      <c r="S187" s="261">
        <f>IF(R186=0,0,S186/R186)</f>
        <v>0</v>
      </c>
      <c r="T187" s="4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">
      <c r="A188" t="str">
        <f t="shared" si="34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4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">
      <c r="A189" t="str">
        <f t="shared" si="34"/>
        <v>ServiceSous-traitement</v>
      </c>
      <c r="B189" s="24" t="s">
        <v>147</v>
      </c>
      <c r="C189" s="250" t="s">
        <v>159</v>
      </c>
      <c r="D189" s="37"/>
      <c r="E189" s="37">
        <v>19237.248376026684</v>
      </c>
      <c r="F189" s="37">
        <v>2885.5872564040023</v>
      </c>
      <c r="G189" s="223"/>
      <c r="H189" s="37">
        <v>0</v>
      </c>
      <c r="I189" s="37">
        <v>0</v>
      </c>
      <c r="J189" s="223"/>
      <c r="K189" s="965">
        <v>36592.25</v>
      </c>
      <c r="L189" s="179">
        <v>3788.4900000000007</v>
      </c>
      <c r="M189" s="972">
        <f>IF(E189=0,0,(K189-E189)/E189)</f>
        <v>0.90215613401347927</v>
      </c>
      <c r="N189" s="224">
        <f>L189-F189</f>
        <v>902.90274359599834</v>
      </c>
      <c r="O189" s="223"/>
      <c r="P189" s="965">
        <v>23266.870000000003</v>
      </c>
      <c r="Q189" s="179">
        <v>2851.8199999999993</v>
      </c>
      <c r="R189" s="292">
        <f>IF(O189=0,0,J189/O189)</f>
        <v>0</v>
      </c>
      <c r="S189" s="196">
        <f>L189-Q189</f>
        <v>936.67000000000144</v>
      </c>
      <c r="T189" s="4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">
      <c r="A190" t="str">
        <f t="shared" si="34"/>
        <v>Service% profit / ventes</v>
      </c>
      <c r="B190" s="24" t="s">
        <v>147</v>
      </c>
      <c r="C190" s="250" t="s">
        <v>152</v>
      </c>
      <c r="D190" s="25"/>
      <c r="E190" s="990"/>
      <c r="F190" s="226">
        <f>IFERROR(F189/E189,0)</f>
        <v>0.15</v>
      </c>
      <c r="G190" s="222"/>
      <c r="H190" s="990"/>
      <c r="I190" s="226">
        <f>IFERROR(I189/H189,0)</f>
        <v>0</v>
      </c>
      <c r="J190" s="227"/>
      <c r="K190" s="993"/>
      <c r="L190" s="226">
        <f>IFERROR(L189/K189,0)</f>
        <v>0.10353257861978973</v>
      </c>
      <c r="M190" s="227"/>
      <c r="N190" s="229"/>
      <c r="O190" s="227"/>
      <c r="P190" s="993"/>
      <c r="Q190" s="226">
        <f>IFERROR(Q189/P189,0)</f>
        <v>0.12256998900152874</v>
      </c>
      <c r="R190" s="227"/>
      <c r="S190" s="325"/>
      <c r="T190" s="4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" hidden="1">
      <c r="A191" t="str">
        <f t="shared" si="34"/>
        <v>Service</v>
      </c>
      <c r="B191" s="24" t="s">
        <v>147</v>
      </c>
      <c r="C191" s="250"/>
      <c r="D191" s="25"/>
      <c r="E191" s="990"/>
      <c r="F191" s="226"/>
      <c r="G191" s="222"/>
      <c r="H191" s="990"/>
      <c r="I191" s="226"/>
      <c r="J191" s="227"/>
      <c r="K191" s="993"/>
      <c r="L191" s="226"/>
      <c r="M191" s="227"/>
      <c r="N191" s="229"/>
      <c r="O191" s="227"/>
      <c r="P191" s="993"/>
      <c r="Q191" s="226"/>
      <c r="R191" s="227"/>
      <c r="S191" s="325"/>
      <c r="T191" s="4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" hidden="1">
      <c r="A192" t="str">
        <f t="shared" si="34"/>
        <v>ServiceM.O. Recond. MCPA</v>
      </c>
      <c r="B192" s="24" t="s">
        <v>147</v>
      </c>
      <c r="C192" s="250" t="s">
        <v>160</v>
      </c>
      <c r="D192" s="25"/>
      <c r="E192" s="37">
        <v>0</v>
      </c>
      <c r="F192" s="37">
        <v>0</v>
      </c>
      <c r="G192" s="222"/>
      <c r="H192" s="37">
        <v>0</v>
      </c>
      <c r="I192" s="37">
        <v>0</v>
      </c>
      <c r="J192" s="227"/>
      <c r="K192" s="965">
        <v>0</v>
      </c>
      <c r="L192" s="226">
        <v>0</v>
      </c>
      <c r="M192" s="227"/>
      <c r="N192" s="229"/>
      <c r="O192" s="227"/>
      <c r="P192" s="965">
        <v>0</v>
      </c>
      <c r="Q192" s="226">
        <v>0</v>
      </c>
      <c r="R192" s="227"/>
      <c r="S192" s="325"/>
      <c r="T192" s="4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" hidden="1">
      <c r="A193" t="str">
        <f t="shared" si="34"/>
        <v>Service% profit / ventes</v>
      </c>
      <c r="B193" s="24" t="s">
        <v>147</v>
      </c>
      <c r="C193" s="250" t="s">
        <v>152</v>
      </c>
      <c r="D193" s="25"/>
      <c r="E193" s="990"/>
      <c r="F193" s="226">
        <f>IF(F192=0,0,F192/E192)</f>
        <v>0</v>
      </c>
      <c r="G193" s="222"/>
      <c r="H193" s="990"/>
      <c r="I193" s="226">
        <f>IF(I192=0,0,I192/H192)</f>
        <v>0</v>
      </c>
      <c r="J193" s="227"/>
      <c r="K193" s="993"/>
      <c r="L193" s="226">
        <f>IF(L192=0,0,L192/K192)</f>
        <v>0</v>
      </c>
      <c r="M193" s="227"/>
      <c r="N193" s="229"/>
      <c r="O193" s="227"/>
      <c r="P193" s="993"/>
      <c r="Q193" s="226">
        <f>IF(Q192=0,0,Q192/P192)</f>
        <v>0</v>
      </c>
      <c r="R193" s="227"/>
      <c r="S193" s="325"/>
      <c r="T193" s="4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4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4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4"/>
        <v>ServiceTotal Mécanique</v>
      </c>
      <c r="B195" s="24" t="s">
        <v>147</v>
      </c>
      <c r="C195" s="255" t="s">
        <v>161</v>
      </c>
      <c r="D195" s="26"/>
      <c r="E195" s="26">
        <f>E186+E189+E192</f>
        <v>784190.78563842829</v>
      </c>
      <c r="F195" s="28">
        <f>F186+F189+F192</f>
        <v>566953.30049199099</v>
      </c>
      <c r="G195" s="29"/>
      <c r="H195" s="26">
        <f>H186+H189+H192</f>
        <v>0</v>
      </c>
      <c r="I195" s="28">
        <f>I186+I189+I192</f>
        <v>0</v>
      </c>
      <c r="J195" s="29"/>
      <c r="K195" s="26">
        <f>K186+K189+K192</f>
        <v>678297.42</v>
      </c>
      <c r="L195" s="28">
        <f>L186+L189+L192</f>
        <v>481227.98</v>
      </c>
      <c r="M195" s="70">
        <f>L196-F196</f>
        <v>-1.3514224758509052E-2</v>
      </c>
      <c r="N195" s="28">
        <f>L195-F195</f>
        <v>-85725.320491991006</v>
      </c>
      <c r="O195" s="29"/>
      <c r="P195" s="26">
        <f>P186+P189+P192</f>
        <v>639859.46999999951</v>
      </c>
      <c r="Q195" s="28">
        <f>Q186+Q189+Q192</f>
        <v>468193.09999999969</v>
      </c>
      <c r="R195" s="70">
        <f>L196-Q196</f>
        <v>-2.224782771189282E-2</v>
      </c>
      <c r="S195" s="320">
        <f>L195-Q195</f>
        <v>13034.880000000296</v>
      </c>
      <c r="T195" s="45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4"/>
        <v>Service</v>
      </c>
      <c r="B196" s="24" t="s">
        <v>147</v>
      </c>
      <c r="C196" s="321"/>
      <c r="D196" s="322"/>
      <c r="E196" s="322"/>
      <c r="F196" s="34">
        <f>F195/E195</f>
        <v>0.72297878383054559</v>
      </c>
      <c r="G196" s="31"/>
      <c r="H196" s="322"/>
      <c r="I196" s="34" t="e">
        <f>I195/H195</f>
        <v>#DIV/0!</v>
      </c>
      <c r="J196" s="31"/>
      <c r="K196" s="322"/>
      <c r="L196" s="34">
        <f>L195/K195</f>
        <v>0.70946455907203654</v>
      </c>
      <c r="M196" s="33"/>
      <c r="N196" s="34">
        <f>N195/F195</f>
        <v>-0.15120349492206897</v>
      </c>
      <c r="O196" s="31"/>
      <c r="P196" s="322"/>
      <c r="Q196" s="34">
        <f>Q195/P195</f>
        <v>0.73171238678392936</v>
      </c>
      <c r="R196" s="33"/>
      <c r="S196" s="258">
        <f>L195/S195</f>
        <v>36.918481796532767</v>
      </c>
      <c r="T196" s="56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4"/>
        <v>Service</v>
      </c>
      <c r="B197" s="24" t="s">
        <v>147</v>
      </c>
      <c r="C197" s="259"/>
      <c r="D197" s="56"/>
      <c r="E197" s="56"/>
      <c r="F197" s="233"/>
      <c r="G197" s="231"/>
      <c r="H197" s="56"/>
      <c r="I197" s="233"/>
      <c r="J197" s="231"/>
      <c r="K197" s="56"/>
      <c r="L197" s="649"/>
      <c r="M197" s="234"/>
      <c r="N197" s="233"/>
      <c r="O197" s="231"/>
      <c r="P197" s="56"/>
      <c r="Q197" s="233"/>
      <c r="R197" s="234"/>
      <c r="S197" s="261"/>
      <c r="T197" s="56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">
      <c r="A198" t="str">
        <f t="shared" si="34"/>
        <v>ServiceDEPENSES</v>
      </c>
      <c r="B198" s="24" t="s">
        <v>147</v>
      </c>
      <c r="C198" s="262" t="s">
        <v>99</v>
      </c>
      <c r="D198" s="25"/>
      <c r="E198" s="25"/>
      <c r="F198" s="224"/>
      <c r="G198" s="222"/>
      <c r="H198" s="25"/>
      <c r="I198" s="224"/>
      <c r="J198" s="222"/>
      <c r="K198" s="25"/>
      <c r="L198" s="264"/>
      <c r="M198" s="222"/>
      <c r="N198" s="264"/>
      <c r="O198" s="222"/>
      <c r="P198" s="25"/>
      <c r="Q198" s="264"/>
      <c r="R198" s="222"/>
      <c r="S198" s="26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">
      <c r="A199" t="str">
        <f t="shared" si="34"/>
        <v>ServiceSalaires cadres</v>
      </c>
      <c r="B199" s="24" t="s">
        <v>147</v>
      </c>
      <c r="C199" s="266" t="s">
        <v>109</v>
      </c>
      <c r="D199" s="25"/>
      <c r="E199" s="25"/>
      <c r="F199" s="965">
        <v>34411.65648688245</v>
      </c>
      <c r="G199" s="222"/>
      <c r="H199" s="25"/>
      <c r="I199" s="965">
        <v>0</v>
      </c>
      <c r="J199" s="222"/>
      <c r="K199" s="25"/>
      <c r="L199" s="179">
        <v>25765.22</v>
      </c>
      <c r="M199" s="222"/>
      <c r="N199" s="224">
        <f t="shared" ref="N199:N230" si="35">L199-F199</f>
        <v>-8646.4364868824487</v>
      </c>
      <c r="O199" s="222"/>
      <c r="P199" s="25"/>
      <c r="Q199" s="179">
        <v>36507.94</v>
      </c>
      <c r="R199" s="222"/>
      <c r="S199" s="196">
        <f t="shared" ref="S199:S204" si="36">L199-Q199</f>
        <v>-10742.720000000001</v>
      </c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">
      <c r="A200" t="str">
        <f t="shared" si="34"/>
        <v>ServiceSalaires commis</v>
      </c>
      <c r="B200" s="24" t="s">
        <v>147</v>
      </c>
      <c r="C200" s="267" t="s">
        <v>110</v>
      </c>
      <c r="D200" s="36"/>
      <c r="E200" s="25"/>
      <c r="F200" s="176">
        <v>15630.386305356204</v>
      </c>
      <c r="G200" s="268"/>
      <c r="H200" s="25"/>
      <c r="I200" s="176">
        <v>0</v>
      </c>
      <c r="J200" s="222"/>
      <c r="K200" s="25"/>
      <c r="L200" s="179">
        <v>8984.7000000000007</v>
      </c>
      <c r="M200" s="222"/>
      <c r="N200" s="224">
        <f t="shared" si="35"/>
        <v>-6645.6863053562029</v>
      </c>
      <c r="O200" s="222"/>
      <c r="P200" s="25"/>
      <c r="Q200" s="179">
        <v>15732.939999999999</v>
      </c>
      <c r="R200" s="222"/>
      <c r="S200" s="196">
        <f t="shared" si="36"/>
        <v>-6748.239999999998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">
      <c r="A201" t="str">
        <f t="shared" si="34"/>
        <v>ServiceSalaires autres</v>
      </c>
      <c r="B201" s="24" t="s">
        <v>147</v>
      </c>
      <c r="C201" s="266" t="s">
        <v>111</v>
      </c>
      <c r="D201" s="269"/>
      <c r="E201" s="270"/>
      <c r="F201" s="965">
        <v>44589.213652968043</v>
      </c>
      <c r="G201" s="271"/>
      <c r="H201" s="270"/>
      <c r="I201" s="965">
        <v>0</v>
      </c>
      <c r="J201" s="272"/>
      <c r="K201" s="270"/>
      <c r="L201" s="180">
        <v>45775.119999999995</v>
      </c>
      <c r="M201" s="272"/>
      <c r="N201" s="273">
        <f t="shared" si="35"/>
        <v>1185.9063470319525</v>
      </c>
      <c r="O201" s="272"/>
      <c r="P201" s="270"/>
      <c r="Q201" s="180">
        <v>31190.47</v>
      </c>
      <c r="R201" s="272"/>
      <c r="S201" s="198">
        <f t="shared" si="36"/>
        <v>14584.649999999994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">
      <c r="A202" t="str">
        <f t="shared" si="34"/>
        <v>ServiceSalaires spécialistes</v>
      </c>
      <c r="B202" s="24" t="s">
        <v>147</v>
      </c>
      <c r="C202" s="266" t="s">
        <v>112</v>
      </c>
      <c r="D202" s="36"/>
      <c r="E202" s="25"/>
      <c r="F202" s="965">
        <v>45733.513409961684</v>
      </c>
      <c r="G202" s="268"/>
      <c r="H202" s="25"/>
      <c r="I202" s="965">
        <v>0</v>
      </c>
      <c r="J202" s="222"/>
      <c r="K202" s="25"/>
      <c r="L202" s="179">
        <v>45532.57</v>
      </c>
      <c r="M202" s="222"/>
      <c r="N202" s="224">
        <f t="shared" si="35"/>
        <v>-200.94340996168467</v>
      </c>
      <c r="O202" s="222"/>
      <c r="P202" s="25"/>
      <c r="Q202" s="179">
        <v>45118.130000000005</v>
      </c>
      <c r="R202" s="222"/>
      <c r="S202" s="196">
        <f t="shared" si="36"/>
        <v>414.43999999999505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" hidden="1">
      <c r="A203" t="str">
        <f t="shared" si="34"/>
        <v>Service[...]</v>
      </c>
      <c r="B203" s="24" t="s">
        <v>147</v>
      </c>
      <c r="C203" s="250" t="s">
        <v>42</v>
      </c>
      <c r="D203" s="36"/>
      <c r="E203" s="25"/>
      <c r="F203" s="965">
        <v>0</v>
      </c>
      <c r="G203" s="268"/>
      <c r="H203" s="25"/>
      <c r="I203" s="965">
        <v>0</v>
      </c>
      <c r="J203" s="222"/>
      <c r="K203" s="25"/>
      <c r="L203" s="179">
        <v>0</v>
      </c>
      <c r="M203" s="222"/>
      <c r="N203" s="224">
        <f t="shared" si="35"/>
        <v>0</v>
      </c>
      <c r="O203" s="222"/>
      <c r="P203" s="25"/>
      <c r="Q203" s="179"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" hidden="1">
      <c r="A204" t="str">
        <f t="shared" si="34"/>
        <v>Service[...]</v>
      </c>
      <c r="B204" s="24" t="s">
        <v>147</v>
      </c>
      <c r="C204" s="250" t="s">
        <v>42</v>
      </c>
      <c r="D204" s="36"/>
      <c r="E204" s="25"/>
      <c r="F204" s="965">
        <v>0</v>
      </c>
      <c r="G204" s="268"/>
      <c r="H204" s="25"/>
      <c r="I204" s="965">
        <v>0</v>
      </c>
      <c r="J204" s="222"/>
      <c r="K204" s="25"/>
      <c r="L204" s="179">
        <v>0</v>
      </c>
      <c r="M204" s="222"/>
      <c r="N204" s="224">
        <f t="shared" si="35"/>
        <v>0</v>
      </c>
      <c r="O204" s="222"/>
      <c r="P204" s="25"/>
      <c r="Q204" s="179"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" hidden="1">
      <c r="A205" t="str">
        <f t="shared" si="34"/>
        <v>Service[...]</v>
      </c>
      <c r="B205" s="24" t="s">
        <v>147</v>
      </c>
      <c r="C205" s="250" t="s">
        <v>42</v>
      </c>
      <c r="D205" s="36"/>
      <c r="E205" s="25"/>
      <c r="F205" s="965">
        <v>0</v>
      </c>
      <c r="G205" s="268"/>
      <c r="H205" s="25"/>
      <c r="I205" s="965">
        <v>0</v>
      </c>
      <c r="J205" s="222"/>
      <c r="K205" s="25"/>
      <c r="L205" s="179">
        <v>0</v>
      </c>
      <c r="M205" s="222"/>
      <c r="N205" s="224">
        <f t="shared" si="35"/>
        <v>0</v>
      </c>
      <c r="O205" s="222"/>
      <c r="P205" s="25"/>
      <c r="Q205" s="179"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">
      <c r="A206" t="str">
        <f t="shared" si="34"/>
        <v>ServiceSalaires en absences</v>
      </c>
      <c r="B206" s="24" t="s">
        <v>147</v>
      </c>
      <c r="C206" s="267" t="s">
        <v>113</v>
      </c>
      <c r="D206" s="36"/>
      <c r="E206" s="25"/>
      <c r="F206" s="965">
        <v>48521.508490690321</v>
      </c>
      <c r="G206" s="268"/>
      <c r="H206" s="25"/>
      <c r="I206" s="965">
        <v>0</v>
      </c>
      <c r="J206" s="222"/>
      <c r="K206" s="25"/>
      <c r="L206" s="179">
        <v>40734.720000000001</v>
      </c>
      <c r="M206" s="222"/>
      <c r="N206" s="224">
        <f t="shared" si="35"/>
        <v>-7786.78849069032</v>
      </c>
      <c r="O206" s="222"/>
      <c r="P206" s="25"/>
      <c r="Q206" s="179">
        <v>33736.950000000004</v>
      </c>
      <c r="R206" s="222"/>
      <c r="S206" s="196">
        <f>L206-Q206</f>
        <v>6997.7699999999968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">
      <c r="A207" t="str">
        <f t="shared" si="34"/>
        <v>ServiceDéduction à la source</v>
      </c>
      <c r="B207" s="24" t="s">
        <v>147</v>
      </c>
      <c r="C207" s="266" t="s">
        <v>114</v>
      </c>
      <c r="D207" s="269"/>
      <c r="E207" s="270"/>
      <c r="F207" s="373">
        <v>51271.067302861527</v>
      </c>
      <c r="G207" s="271"/>
      <c r="H207" s="270"/>
      <c r="I207" s="373">
        <v>0</v>
      </c>
      <c r="J207" s="272"/>
      <c r="K207" s="270"/>
      <c r="L207" s="180">
        <v>45075.93</v>
      </c>
      <c r="M207" s="272"/>
      <c r="N207" s="273">
        <f t="shared" si="35"/>
        <v>-6195.1373028615271</v>
      </c>
      <c r="O207" s="272"/>
      <c r="P207" s="270"/>
      <c r="Q207" s="180">
        <v>44367.229999999996</v>
      </c>
      <c r="R207" s="272"/>
      <c r="S207" s="198">
        <f t="shared" ref="S207:S217" si="37">L207-Q207</f>
        <v>708.70000000000437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">
      <c r="A208" t="str">
        <f t="shared" si="34"/>
        <v>ServiceBénéfices marginaux</v>
      </c>
      <c r="B208" s="24" t="s">
        <v>147</v>
      </c>
      <c r="C208" s="266" t="s">
        <v>115</v>
      </c>
      <c r="D208" s="36"/>
      <c r="E208" s="25"/>
      <c r="F208" s="965">
        <v>35054.218607808289</v>
      </c>
      <c r="G208" s="268"/>
      <c r="H208" s="25"/>
      <c r="I208" s="965">
        <v>0</v>
      </c>
      <c r="J208" s="222"/>
      <c r="K208" s="25"/>
      <c r="L208" s="179">
        <v>19122.72</v>
      </c>
      <c r="M208" s="222"/>
      <c r="N208" s="224">
        <f t="shared" si="35"/>
        <v>-15931.498607808287</v>
      </c>
      <c r="O208" s="222"/>
      <c r="P208" s="25"/>
      <c r="Q208" s="179">
        <v>18558.46</v>
      </c>
      <c r="R208" s="222"/>
      <c r="S208" s="196">
        <f t="shared" si="37"/>
        <v>564.26000000000204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">
      <c r="A209" t="str">
        <f t="shared" si="34"/>
        <v>ServiceCsst</v>
      </c>
      <c r="B209" s="24" t="s">
        <v>147</v>
      </c>
      <c r="C209" s="266" t="s">
        <v>116</v>
      </c>
      <c r="D209" s="36"/>
      <c r="E209" s="25"/>
      <c r="F209" s="965">
        <v>9304.7492512600547</v>
      </c>
      <c r="G209" s="268"/>
      <c r="H209" s="25"/>
      <c r="I209" s="965">
        <v>0</v>
      </c>
      <c r="J209" s="222"/>
      <c r="K209" s="25"/>
      <c r="L209" s="179">
        <v>5729.32</v>
      </c>
      <c r="M209" s="722"/>
      <c r="N209" s="193">
        <f t="shared" si="35"/>
        <v>-3575.429251260055</v>
      </c>
      <c r="O209" s="722"/>
      <c r="P209" s="723"/>
      <c r="Q209" s="176">
        <v>7650.09</v>
      </c>
      <c r="R209" s="722"/>
      <c r="S209" s="724">
        <f t="shared" si="37"/>
        <v>-1920.7700000000004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" hidden="1">
      <c r="A210" t="str">
        <f t="shared" si="34"/>
        <v>Service[...]</v>
      </c>
      <c r="B210" s="24" t="s">
        <v>147</v>
      </c>
      <c r="C210" s="250" t="s">
        <v>42</v>
      </c>
      <c r="D210" s="274"/>
      <c r="E210" s="275"/>
      <c r="F210" s="965">
        <v>0</v>
      </c>
      <c r="G210" s="276"/>
      <c r="H210" s="275"/>
      <c r="I210" s="965">
        <v>0</v>
      </c>
      <c r="J210" s="277"/>
      <c r="K210" s="275"/>
      <c r="L210" s="179">
        <v>0</v>
      </c>
      <c r="M210" s="277"/>
      <c r="N210" s="278">
        <f t="shared" si="35"/>
        <v>0</v>
      </c>
      <c r="O210" s="277"/>
      <c r="P210" s="275"/>
      <c r="Q210" s="179">
        <v>0</v>
      </c>
      <c r="R210" s="277"/>
      <c r="S210" s="199">
        <f t="shared" si="37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">
      <c r="A211" t="str">
        <f t="shared" si="34"/>
        <v>ServiceTOTAL PERSONNEL</v>
      </c>
      <c r="B211" s="24" t="s">
        <v>147</v>
      </c>
      <c r="C211" s="279" t="s">
        <v>117</v>
      </c>
      <c r="D211" s="39" t="s">
        <v>162</v>
      </c>
      <c r="E211" s="40" t="e">
        <f>F211/F$194</f>
        <v>#DIV/0!</v>
      </c>
      <c r="F211" s="41">
        <f>+SUM(F199:F210)</f>
        <v>284516.31350778858</v>
      </c>
      <c r="G211" s="42" t="s">
        <v>162</v>
      </c>
      <c r="H211" s="40" t="e">
        <f>I211/I$194</f>
        <v>#DIV/0!</v>
      </c>
      <c r="I211" s="41">
        <f>+SUM(I199:I210)</f>
        <v>0</v>
      </c>
      <c r="J211" s="42" t="s">
        <v>162</v>
      </c>
      <c r="K211" s="40" t="e">
        <f>L211/L$194</f>
        <v>#DIV/0!</v>
      </c>
      <c r="L211" s="41">
        <f>+SUM(L199:L210)</f>
        <v>236720.3</v>
      </c>
      <c r="M211" s="43"/>
      <c r="N211" s="46">
        <f t="shared" si="35"/>
        <v>-47796.013507788593</v>
      </c>
      <c r="O211" s="42" t="s">
        <v>162</v>
      </c>
      <c r="P211" s="40" t="e">
        <f>Q211/Q$194</f>
        <v>#DIV/0!</v>
      </c>
      <c r="Q211" s="41">
        <f>+SUM(Q199:Q210)</f>
        <v>232862.21000000002</v>
      </c>
      <c r="R211" s="43"/>
      <c r="S211" s="280">
        <f t="shared" si="37"/>
        <v>3858.0899999999674</v>
      </c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">
      <c r="A212" t="str">
        <f t="shared" si="34"/>
        <v>ServicePublicité 2</v>
      </c>
      <c r="B212" s="24" t="s">
        <v>147</v>
      </c>
      <c r="C212" s="250" t="s">
        <v>118</v>
      </c>
      <c r="D212" s="36"/>
      <c r="E212" s="25"/>
      <c r="F212" s="965">
        <v>7420.2684193532705</v>
      </c>
      <c r="G212" s="268"/>
      <c r="H212" s="25"/>
      <c r="I212" s="965">
        <v>0</v>
      </c>
      <c r="J212" s="222"/>
      <c r="K212" s="25"/>
      <c r="L212" s="179">
        <v>8252.4699999999993</v>
      </c>
      <c r="M212" s="222"/>
      <c r="N212" s="224">
        <f t="shared" si="35"/>
        <v>832.20158064672887</v>
      </c>
      <c r="O212" s="222"/>
      <c r="P212" s="25"/>
      <c r="Q212" s="179">
        <v>19776.23</v>
      </c>
      <c r="R212" s="222"/>
      <c r="S212" s="196">
        <f t="shared" si="37"/>
        <v>-11523.76</v>
      </c>
      <c r="T212" s="25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">
      <c r="A213" t="str">
        <f t="shared" si="34"/>
        <v>ServiceService gratuit 2</v>
      </c>
      <c r="B213" s="24" t="s">
        <v>147</v>
      </c>
      <c r="C213" s="250" t="s">
        <v>119</v>
      </c>
      <c r="D213" s="36"/>
      <c r="E213" s="25"/>
      <c r="F213" s="965">
        <v>11250</v>
      </c>
      <c r="G213" s="268"/>
      <c r="H213" s="25"/>
      <c r="I213" s="965">
        <v>0</v>
      </c>
      <c r="J213" s="222"/>
      <c r="K213" s="25"/>
      <c r="L213" s="179">
        <v>19329.61</v>
      </c>
      <c r="M213" s="222"/>
      <c r="N213" s="224">
        <f t="shared" si="35"/>
        <v>8079.6100000000006</v>
      </c>
      <c r="O213" s="222"/>
      <c r="P213" s="25"/>
      <c r="Q213" s="179">
        <v>12806.560000000001</v>
      </c>
      <c r="R213" s="222"/>
      <c r="S213" s="196">
        <f t="shared" si="37"/>
        <v>6523.0499999999993</v>
      </c>
      <c r="T213" s="25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">
      <c r="A214" t="str">
        <f t="shared" si="34"/>
        <v>ServiceFrais véhicules de cie</v>
      </c>
      <c r="B214" s="24" t="s">
        <v>147</v>
      </c>
      <c r="C214" s="293" t="s">
        <v>120</v>
      </c>
      <c r="D214" s="274"/>
      <c r="E214" s="275"/>
      <c r="F214" s="176">
        <v>22359.750000000004</v>
      </c>
      <c r="G214" s="276"/>
      <c r="H214" s="275"/>
      <c r="I214" s="176">
        <v>0</v>
      </c>
      <c r="J214" s="277"/>
      <c r="K214" s="275"/>
      <c r="L214" s="179">
        <v>21144.100000000002</v>
      </c>
      <c r="M214" s="277"/>
      <c r="N214" s="278">
        <f t="shared" si="35"/>
        <v>-1215.6500000000015</v>
      </c>
      <c r="O214" s="277"/>
      <c r="P214" s="275"/>
      <c r="Q214" s="179">
        <v>18897.870000000003</v>
      </c>
      <c r="R214" s="277"/>
      <c r="S214" s="199">
        <f t="shared" si="37"/>
        <v>2246.2299999999996</v>
      </c>
      <c r="T214" s="25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">
      <c r="A215" t="str">
        <f t="shared" si="34"/>
        <v>ServiceInformatique</v>
      </c>
      <c r="B215" s="24" t="s">
        <v>147</v>
      </c>
      <c r="C215" s="250" t="s">
        <v>121</v>
      </c>
      <c r="D215" s="36"/>
      <c r="E215" s="25"/>
      <c r="F215" s="965">
        <v>19909.232499999998</v>
      </c>
      <c r="G215" s="268"/>
      <c r="H215" s="25"/>
      <c r="I215" s="965">
        <v>0</v>
      </c>
      <c r="J215" s="222"/>
      <c r="K215" s="25"/>
      <c r="L215" s="180">
        <v>19814.849999999999</v>
      </c>
      <c r="M215" s="222"/>
      <c r="N215" s="224">
        <f t="shared" si="35"/>
        <v>-94.382499999999709</v>
      </c>
      <c r="O215" s="222"/>
      <c r="P215" s="25"/>
      <c r="Q215" s="180">
        <v>18248.79</v>
      </c>
      <c r="R215" s="222"/>
      <c r="S215" s="196">
        <f t="shared" si="37"/>
        <v>1566.0599999999977</v>
      </c>
      <c r="T215" s="25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">
      <c r="A216" t="str">
        <f t="shared" si="34"/>
        <v>ServiceFrais de déplacement</v>
      </c>
      <c r="B216" s="24" t="s">
        <v>147</v>
      </c>
      <c r="C216" s="250" t="s">
        <v>122</v>
      </c>
      <c r="D216" s="36"/>
      <c r="E216" s="25"/>
      <c r="F216" s="965">
        <v>3993.75</v>
      </c>
      <c r="G216" s="268"/>
      <c r="H216" s="25"/>
      <c r="I216" s="965">
        <v>0</v>
      </c>
      <c r="J216" s="222"/>
      <c r="K216" s="25"/>
      <c r="L216" s="179">
        <v>5799.4599999999991</v>
      </c>
      <c r="M216" s="222"/>
      <c r="N216" s="224">
        <f t="shared" si="35"/>
        <v>1805.7099999999991</v>
      </c>
      <c r="O216" s="222"/>
      <c r="P216" s="25"/>
      <c r="Q216" s="179">
        <v>1447.0900000000001</v>
      </c>
      <c r="R216" s="222"/>
      <c r="S216" s="196">
        <f t="shared" si="37"/>
        <v>4352.369999999999</v>
      </c>
      <c r="T216" s="25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">
      <c r="A217" t="str">
        <f t="shared" si="34"/>
        <v>ServiceServices extérieurs</v>
      </c>
      <c r="B217" s="24" t="s">
        <v>147</v>
      </c>
      <c r="C217" s="293" t="s">
        <v>123</v>
      </c>
      <c r="D217" s="274"/>
      <c r="E217" s="275"/>
      <c r="F217" s="176">
        <v>13301.56</v>
      </c>
      <c r="G217" s="276"/>
      <c r="H217" s="275"/>
      <c r="I217" s="176">
        <v>0</v>
      </c>
      <c r="J217" s="277"/>
      <c r="K217" s="275"/>
      <c r="L217" s="176">
        <v>25562.870000000003</v>
      </c>
      <c r="M217" s="722"/>
      <c r="N217" s="193">
        <f t="shared" si="35"/>
        <v>12261.310000000003</v>
      </c>
      <c r="O217" s="722"/>
      <c r="P217" s="723"/>
      <c r="Q217" s="176">
        <v>6401.91</v>
      </c>
      <c r="R217" s="277"/>
      <c r="S217" s="199">
        <f t="shared" si="37"/>
        <v>19160.960000000003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" hidden="1">
      <c r="A218" t="str">
        <f t="shared" si="34"/>
        <v>ServiceFournitures d'atelier</v>
      </c>
      <c r="B218" s="24" t="s">
        <v>147</v>
      </c>
      <c r="C218" s="250" t="s">
        <v>350</v>
      </c>
      <c r="D218" s="36"/>
      <c r="E218" s="25"/>
      <c r="F218" s="965">
        <v>0</v>
      </c>
      <c r="G218" s="268"/>
      <c r="H218" s="25"/>
      <c r="I218" s="965">
        <v>0</v>
      </c>
      <c r="J218" s="222"/>
      <c r="K218" s="25"/>
      <c r="L218" s="179">
        <v>0</v>
      </c>
      <c r="M218" s="222"/>
      <c r="N218" s="224">
        <f t="shared" si="35"/>
        <v>0</v>
      </c>
      <c r="O218" s="222"/>
      <c r="P218" s="25"/>
      <c r="Q218" s="179"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">
      <c r="A219" t="str">
        <f t="shared" si="34"/>
        <v>ServiceFournitures autres</v>
      </c>
      <c r="B219" s="24" t="s">
        <v>147</v>
      </c>
      <c r="C219" s="250" t="s">
        <v>124</v>
      </c>
      <c r="D219" s="36"/>
      <c r="E219" s="25"/>
      <c r="F219" s="965">
        <v>9750</v>
      </c>
      <c r="G219" s="268"/>
      <c r="H219" s="25"/>
      <c r="I219" s="965">
        <v>0</v>
      </c>
      <c r="J219" s="222"/>
      <c r="K219" s="25"/>
      <c r="L219" s="179">
        <v>14489.099999999999</v>
      </c>
      <c r="M219" s="222"/>
      <c r="N219" s="224">
        <f t="shared" si="35"/>
        <v>4739.0999999999985</v>
      </c>
      <c r="O219" s="222"/>
      <c r="P219" s="25"/>
      <c r="Q219" s="179">
        <v>8559.130000000001</v>
      </c>
      <c r="R219" s="222"/>
      <c r="S219" s="196">
        <f t="shared" ref="S219:S227" si="38">L219-Q219</f>
        <v>5929.9699999999975</v>
      </c>
      <c r="T219" s="25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">
      <c r="A220" t="str">
        <f t="shared" si="34"/>
        <v>ServiceUniformes</v>
      </c>
      <c r="B220" s="24" t="s">
        <v>147</v>
      </c>
      <c r="C220" s="250" t="s">
        <v>125</v>
      </c>
      <c r="D220" s="36"/>
      <c r="E220" s="25"/>
      <c r="F220" s="965">
        <v>3975</v>
      </c>
      <c r="G220" s="268"/>
      <c r="H220" s="25"/>
      <c r="I220" s="965">
        <v>0</v>
      </c>
      <c r="J220" s="222"/>
      <c r="K220" s="25"/>
      <c r="L220" s="179">
        <v>4214.71</v>
      </c>
      <c r="M220" s="222"/>
      <c r="N220" s="224">
        <f t="shared" si="35"/>
        <v>239.71000000000004</v>
      </c>
      <c r="O220" s="222"/>
      <c r="P220" s="25"/>
      <c r="Q220" s="179">
        <v>2987.61</v>
      </c>
      <c r="R220" s="222"/>
      <c r="S220" s="196">
        <f t="shared" si="38"/>
        <v>1227.0999999999999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">
      <c r="A221" t="str">
        <f t="shared" si="34"/>
        <v>ServicePapeterie</v>
      </c>
      <c r="B221" s="24" t="s">
        <v>147</v>
      </c>
      <c r="C221" s="250" t="s">
        <v>126</v>
      </c>
      <c r="D221" s="36"/>
      <c r="E221" s="25"/>
      <c r="F221" s="965">
        <v>1087.5</v>
      </c>
      <c r="G221" s="268"/>
      <c r="H221" s="25"/>
      <c r="I221" s="965">
        <v>0</v>
      </c>
      <c r="J221" s="222"/>
      <c r="K221" s="25"/>
      <c r="L221" s="472">
        <v>1277.02</v>
      </c>
      <c r="M221" s="222"/>
      <c r="N221" s="224">
        <f t="shared" si="35"/>
        <v>189.51999999999998</v>
      </c>
      <c r="O221" s="222"/>
      <c r="P221" s="25"/>
      <c r="Q221" s="472">
        <v>2200.88</v>
      </c>
      <c r="R221" s="222"/>
      <c r="S221" s="196">
        <f t="shared" si="38"/>
        <v>-923.86000000000013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">
      <c r="A222" t="str">
        <f t="shared" si="34"/>
        <v>ServiceTéléphone</v>
      </c>
      <c r="B222" s="24" t="s">
        <v>147</v>
      </c>
      <c r="C222" s="250" t="s">
        <v>127</v>
      </c>
      <c r="D222" s="36"/>
      <c r="E222" s="25"/>
      <c r="F222" s="965">
        <v>342.75</v>
      </c>
      <c r="G222" s="268"/>
      <c r="H222" s="25"/>
      <c r="I222" s="965">
        <v>0</v>
      </c>
      <c r="J222" s="222"/>
      <c r="K222" s="25"/>
      <c r="L222" s="179">
        <v>606.23</v>
      </c>
      <c r="M222" s="222"/>
      <c r="N222" s="224">
        <f t="shared" si="35"/>
        <v>263.48</v>
      </c>
      <c r="O222" s="222"/>
      <c r="P222" s="25"/>
      <c r="Q222" s="179">
        <v>343.61</v>
      </c>
      <c r="R222" s="222"/>
      <c r="S222" s="196">
        <f t="shared" si="38"/>
        <v>262.62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">
      <c r="A223" t="str">
        <f t="shared" si="34"/>
        <v>ServiceFrais postaux</v>
      </c>
      <c r="B223" s="24" t="s">
        <v>147</v>
      </c>
      <c r="C223" s="250" t="s">
        <v>128</v>
      </c>
      <c r="D223" s="36"/>
      <c r="E223" s="25"/>
      <c r="F223" s="965">
        <v>425</v>
      </c>
      <c r="G223" s="268"/>
      <c r="H223" s="25"/>
      <c r="I223" s="965">
        <v>0</v>
      </c>
      <c r="J223" s="222"/>
      <c r="K223" s="25"/>
      <c r="L223" s="179">
        <v>1268.73</v>
      </c>
      <c r="M223" s="222"/>
      <c r="N223" s="224">
        <f t="shared" si="35"/>
        <v>843.73</v>
      </c>
      <c r="O223" s="222"/>
      <c r="P223" s="25"/>
      <c r="Q223" s="179">
        <v>295.78000000000003</v>
      </c>
      <c r="R223" s="222"/>
      <c r="S223" s="196">
        <f t="shared" si="38"/>
        <v>972.95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">
      <c r="A224" t="str">
        <f t="shared" si="34"/>
        <v>ServiceDivers</v>
      </c>
      <c r="B224" s="24" t="s">
        <v>147</v>
      </c>
      <c r="C224" s="250" t="s">
        <v>129</v>
      </c>
      <c r="D224" s="36"/>
      <c r="E224" s="25"/>
      <c r="F224" s="965">
        <v>1145</v>
      </c>
      <c r="G224" s="268"/>
      <c r="H224" s="25"/>
      <c r="I224" s="965">
        <v>0</v>
      </c>
      <c r="J224" s="222"/>
      <c r="K224" s="25"/>
      <c r="L224" s="179">
        <v>2676.41</v>
      </c>
      <c r="M224" s="222"/>
      <c r="N224" s="224">
        <f t="shared" si="35"/>
        <v>1531.4099999999999</v>
      </c>
      <c r="O224" s="222"/>
      <c r="P224" s="25"/>
      <c r="Q224" s="179">
        <v>3875.77</v>
      </c>
      <c r="R224" s="222"/>
      <c r="S224" s="196">
        <f t="shared" si="38"/>
        <v>-1199.3600000000001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">
      <c r="A225" t="str">
        <f t="shared" si="34"/>
        <v>ServiceFormation</v>
      </c>
      <c r="B225" s="24" t="s">
        <v>147</v>
      </c>
      <c r="C225" s="250" t="s">
        <v>130</v>
      </c>
      <c r="D225" s="36"/>
      <c r="E225" s="25"/>
      <c r="F225" s="965">
        <v>5346.7400000000007</v>
      </c>
      <c r="G225" s="268"/>
      <c r="H225" s="25"/>
      <c r="I225" s="965">
        <v>0</v>
      </c>
      <c r="J225" s="222"/>
      <c r="K225" s="25"/>
      <c r="L225" s="179">
        <v>5167.3599999999997</v>
      </c>
      <c r="M225" s="222"/>
      <c r="N225" s="224">
        <f t="shared" si="35"/>
        <v>-179.38000000000102</v>
      </c>
      <c r="O225" s="222"/>
      <c r="P225" s="25"/>
      <c r="Q225" s="179">
        <v>4736.12</v>
      </c>
      <c r="R225" s="222"/>
      <c r="S225" s="196">
        <f t="shared" si="38"/>
        <v>431.23999999999978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">
      <c r="A226" t="str">
        <f t="shared" si="34"/>
        <v>ServiceFrais bancaires</v>
      </c>
      <c r="B226" s="24" t="s">
        <v>147</v>
      </c>
      <c r="C226" s="250" t="s">
        <v>131</v>
      </c>
      <c r="D226" s="36"/>
      <c r="E226" s="25"/>
      <c r="F226" s="965">
        <v>8162.8442737379773</v>
      </c>
      <c r="G226" s="268"/>
      <c r="H226" s="25"/>
      <c r="I226" s="965">
        <v>0</v>
      </c>
      <c r="J226" s="222"/>
      <c r="K226" s="25"/>
      <c r="L226" s="179">
        <v>6526.8799999999992</v>
      </c>
      <c r="M226" s="222"/>
      <c r="N226" s="224">
        <f t="shared" si="35"/>
        <v>-1635.9642737379781</v>
      </c>
      <c r="O226" s="222"/>
      <c r="P226" s="25"/>
      <c r="Q226" s="179">
        <v>6388.09</v>
      </c>
      <c r="R226" s="222"/>
      <c r="S226" s="196">
        <f t="shared" si="38"/>
        <v>138.78999999999905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" hidden="1">
      <c r="A227" t="str">
        <f t="shared" si="34"/>
        <v>Service[...]</v>
      </c>
      <c r="B227" s="24" t="s">
        <v>147</v>
      </c>
      <c r="C227" s="250" t="s">
        <v>42</v>
      </c>
      <c r="D227" s="36"/>
      <c r="E227" s="25"/>
      <c r="F227" s="965">
        <v>0</v>
      </c>
      <c r="G227" s="268"/>
      <c r="H227" s="25"/>
      <c r="I227" s="965">
        <v>0</v>
      </c>
      <c r="J227" s="222"/>
      <c r="K227" s="25"/>
      <c r="L227" s="179">
        <v>0</v>
      </c>
      <c r="M227" s="222"/>
      <c r="N227" s="224">
        <f t="shared" si="35"/>
        <v>0</v>
      </c>
      <c r="O227" s="222"/>
      <c r="P227" s="25"/>
      <c r="Q227" s="179">
        <v>0</v>
      </c>
      <c r="R227" s="222"/>
      <c r="S227" s="196">
        <f t="shared" si="38"/>
        <v>0</v>
      </c>
      <c r="T227" s="25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" hidden="1">
      <c r="B228" s="24" t="s">
        <v>147</v>
      </c>
      <c r="C228" s="250" t="s">
        <v>42</v>
      </c>
      <c r="D228" s="36"/>
      <c r="E228" s="25"/>
      <c r="F228" s="965">
        <v>0</v>
      </c>
      <c r="G228" s="268"/>
      <c r="H228" s="25"/>
      <c r="I228" s="965">
        <v>0</v>
      </c>
      <c r="J228" s="222"/>
      <c r="K228" s="25"/>
      <c r="L228" s="179">
        <v>0</v>
      </c>
      <c r="M228" s="222"/>
      <c r="N228" s="224">
        <f t="shared" si="35"/>
        <v>0</v>
      </c>
      <c r="O228" s="222"/>
      <c r="P228" s="25"/>
      <c r="Q228" s="179">
        <v>0</v>
      </c>
      <c r="R228" s="222"/>
      <c r="S228" s="196">
        <f>L228-Q228</f>
        <v>0</v>
      </c>
      <c r="T228" s="25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" hidden="1">
      <c r="A229" t="str">
        <f t="shared" ref="A229" si="39">+B229&amp;C229</f>
        <v>Service[...]</v>
      </c>
      <c r="B229" s="24" t="s">
        <v>147</v>
      </c>
      <c r="C229" s="250" t="s">
        <v>42</v>
      </c>
      <c r="D229" s="36"/>
      <c r="E229" s="25"/>
      <c r="F229" s="965">
        <v>0</v>
      </c>
      <c r="G229" s="268"/>
      <c r="H229" s="25"/>
      <c r="I229" s="965">
        <v>0</v>
      </c>
      <c r="J229" s="222"/>
      <c r="K229" s="25"/>
      <c r="L229" s="179">
        <v>0</v>
      </c>
      <c r="M229" s="222"/>
      <c r="N229" s="224">
        <f t="shared" si="35"/>
        <v>0</v>
      </c>
      <c r="O229" s="222"/>
      <c r="P229" s="25"/>
      <c r="Q229" s="179">
        <v>0</v>
      </c>
      <c r="R229" s="222"/>
      <c r="S229" s="196">
        <f t="shared" ref="S229" si="40">L229-Q229</f>
        <v>0</v>
      </c>
      <c r="T229" s="25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">
      <c r="B230" s="24"/>
      <c r="C230" s="279" t="s">
        <v>132</v>
      </c>
      <c r="D230" s="39" t="s">
        <v>162</v>
      </c>
      <c r="E230" s="40" t="e">
        <f>F230/F$194</f>
        <v>#DIV/0!</v>
      </c>
      <c r="F230" s="41">
        <f>+SUM(F212:F229)</f>
        <v>108469.39519309126</v>
      </c>
      <c r="G230" s="42" t="s">
        <v>162</v>
      </c>
      <c r="H230" s="40" t="e">
        <f>I230/I$194</f>
        <v>#DIV/0!</v>
      </c>
      <c r="I230" s="41">
        <f>+SUM(I212:I229)</f>
        <v>0</v>
      </c>
      <c r="J230" s="42" t="s">
        <v>162</v>
      </c>
      <c r="K230" s="40" t="e">
        <f>L230/L$194</f>
        <v>#DIV/0!</v>
      </c>
      <c r="L230" s="41">
        <f>+SUM(L212:L229)</f>
        <v>136129.79999999999</v>
      </c>
      <c r="M230" s="44"/>
      <c r="N230" s="41">
        <f t="shared" si="35"/>
        <v>27660.404806908729</v>
      </c>
      <c r="O230" s="42" t="s">
        <v>162</v>
      </c>
      <c r="P230" s="40" t="e">
        <f>Q230/Q$194</f>
        <v>#DIV/0!</v>
      </c>
      <c r="Q230" s="41">
        <f>+SUM(Q212:Q229)</f>
        <v>106965.44000000002</v>
      </c>
      <c r="R230" s="44"/>
      <c r="S230" s="284">
        <f>L230-Q230</f>
        <v>29164.359999999971</v>
      </c>
      <c r="T230" s="25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25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">
      <c r="B232" s="24"/>
      <c r="C232" s="279" t="s">
        <v>133</v>
      </c>
      <c r="D232" s="39" t="s">
        <v>108</v>
      </c>
      <c r="E232" s="40" t="e">
        <f>F232/F$194</f>
        <v>#DIV/0!</v>
      </c>
      <c r="F232" s="41">
        <f>F211+F230</f>
        <v>392985.70870087983</v>
      </c>
      <c r="G232" s="42" t="s">
        <v>108</v>
      </c>
      <c r="H232" s="40" t="e">
        <f>I232/I$194</f>
        <v>#DIV/0!</v>
      </c>
      <c r="I232" s="41">
        <f>I211+I230</f>
        <v>0</v>
      </c>
      <c r="J232" s="42" t="s">
        <v>108</v>
      </c>
      <c r="K232" s="40" t="e">
        <f>L232/L$194</f>
        <v>#DIV/0!</v>
      </c>
      <c r="L232" s="41">
        <f>L211+L230</f>
        <v>372850.1</v>
      </c>
      <c r="M232" s="44"/>
      <c r="N232" s="46">
        <f>L232-F232</f>
        <v>-20135.608700879849</v>
      </c>
      <c r="O232" s="42" t="s">
        <v>108</v>
      </c>
      <c r="P232" s="40" t="e">
        <f>Q232/Q$194</f>
        <v>#DIV/0!</v>
      </c>
      <c r="Q232" s="41">
        <f>Q211+Q230</f>
        <v>339827.65</v>
      </c>
      <c r="R232" s="44"/>
      <c r="S232" s="280">
        <f>L232-Q232</f>
        <v>33022.449999999953</v>
      </c>
      <c r="T232" s="25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">
      <c r="B233" s="24"/>
      <c r="C233" s="250"/>
      <c r="D233" s="36"/>
      <c r="E233" s="25"/>
      <c r="F233" s="224"/>
      <c r="G233" s="268"/>
      <c r="H233" s="25"/>
      <c r="I233" s="224"/>
      <c r="J233" s="222"/>
      <c r="K233" s="25"/>
      <c r="L233" s="224"/>
      <c r="M233" s="222"/>
      <c r="N233" s="224">
        <f>L233-F233</f>
        <v>0</v>
      </c>
      <c r="O233" s="222"/>
      <c r="P233" s="25"/>
      <c r="Q233" s="224"/>
      <c r="R233" s="222"/>
      <c r="S233" s="196"/>
      <c r="T233" s="25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173967.59179111116</v>
      </c>
      <c r="G234" s="306"/>
      <c r="H234" s="304"/>
      <c r="I234" s="305">
        <f>I195-I232</f>
        <v>0</v>
      </c>
      <c r="J234" s="307"/>
      <c r="K234" s="308"/>
      <c r="L234" s="305">
        <f>L195-L232</f>
        <v>108377.88</v>
      </c>
      <c r="M234" s="307"/>
      <c r="N234" s="305">
        <f>L234-F234</f>
        <v>-65589.711791111156</v>
      </c>
      <c r="O234" s="307"/>
      <c r="P234" s="308"/>
      <c r="Q234" s="305">
        <f>Q195-Q232</f>
        <v>128365.44999999966</v>
      </c>
      <c r="R234" s="307"/>
      <c r="S234" s="309">
        <f>L234-Q234</f>
        <v>-19987.569999999658</v>
      </c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" hidden="1">
      <c r="B237" s="24"/>
      <c r="C237" s="21">
        <f>C2</f>
        <v>0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  Q2 2026</v>
      </c>
      <c r="T237" s="19"/>
      <c r="U237" s="2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5" hidden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hidden="1" thickTop="1">
      <c r="B239" s="24"/>
      <c r="C239" s="249"/>
      <c r="D239" s="1433" t="s">
        <v>77</v>
      </c>
      <c r="E239" s="1434"/>
      <c r="F239" s="1435"/>
      <c r="G239" s="1436" t="s">
        <v>2971</v>
      </c>
      <c r="H239" s="1434"/>
      <c r="I239" s="1435"/>
      <c r="J239" s="1436" t="s">
        <v>78</v>
      </c>
      <c r="K239" s="1434"/>
      <c r="L239" s="1435"/>
      <c r="M239" s="1436" t="s">
        <v>2441</v>
      </c>
      <c r="N239" s="1435"/>
      <c r="O239" s="1433" t="s">
        <v>79</v>
      </c>
      <c r="P239" s="1434"/>
      <c r="Q239" s="1435"/>
      <c r="R239" s="1437" t="s">
        <v>2445</v>
      </c>
      <c r="S239" s="1438"/>
      <c r="T239" s="455"/>
      <c r="U239" s="25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0" hidden="1">
      <c r="A240" t="str">
        <f t="shared" ref="A240:A285" si="41">+B240&amp;C240</f>
        <v>Carrosserie</v>
      </c>
      <c r="B240" s="24" t="s">
        <v>163</v>
      </c>
      <c r="C240" s="250"/>
      <c r="D240" s="456" t="s">
        <v>148</v>
      </c>
      <c r="E240" s="456" t="s">
        <v>149</v>
      </c>
      <c r="F240" s="253" t="s">
        <v>83</v>
      </c>
      <c r="G240" s="251" t="s">
        <v>148</v>
      </c>
      <c r="H240" s="456" t="s">
        <v>149</v>
      </c>
      <c r="I240" s="253" t="s">
        <v>83</v>
      </c>
      <c r="J240" s="251" t="s">
        <v>148</v>
      </c>
      <c r="K240" s="456" t="s">
        <v>149</v>
      </c>
      <c r="L240" s="253" t="s">
        <v>83</v>
      </c>
      <c r="M240" s="251" t="s">
        <v>148</v>
      </c>
      <c r="N240" s="253" t="s">
        <v>2443</v>
      </c>
      <c r="O240" s="456" t="s">
        <v>148</v>
      </c>
      <c r="P240" s="456" t="s">
        <v>149</v>
      </c>
      <c r="Q240" s="253" t="s">
        <v>83</v>
      </c>
      <c r="R240" s="251" t="s">
        <v>150</v>
      </c>
      <c r="S240" s="254" t="s">
        <v>83</v>
      </c>
      <c r="T240" s="456"/>
      <c r="U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" hidden="1">
      <c r="A241" t="str">
        <f t="shared" si="41"/>
        <v>Carrosserie</v>
      </c>
      <c r="B241" s="24" t="s">
        <v>163</v>
      </c>
      <c r="C241" s="250"/>
      <c r="D241" s="456"/>
      <c r="E241" s="456"/>
      <c r="F241" s="253"/>
      <c r="G241" s="251"/>
      <c r="H241" s="456"/>
      <c r="I241" s="253"/>
      <c r="J241" s="251"/>
      <c r="K241" s="965"/>
      <c r="L241" s="179"/>
      <c r="M241" s="251"/>
      <c r="N241" s="253"/>
      <c r="O241" s="456"/>
      <c r="P241" s="456"/>
      <c r="Q241" s="253"/>
      <c r="R241" s="251"/>
      <c r="S241" s="254"/>
      <c r="T241" s="456"/>
      <c r="U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" hidden="1">
      <c r="A242" t="str">
        <f t="shared" si="41"/>
        <v>CarrosserieM/O Sous-traitement</v>
      </c>
      <c r="B242" s="24" t="s">
        <v>163</v>
      </c>
      <c r="C242" s="250" t="s">
        <v>164</v>
      </c>
      <c r="D242" s="456">
        <v>0</v>
      </c>
      <c r="E242" s="37">
        <v>0</v>
      </c>
      <c r="F242" s="37">
        <v>0</v>
      </c>
      <c r="G242" s="310">
        <v>0</v>
      </c>
      <c r="H242" s="37">
        <v>0</v>
      </c>
      <c r="I242" s="37">
        <v>0</v>
      </c>
      <c r="J242" s="223">
        <v>0</v>
      </c>
      <c r="K242" s="965">
        <v>0</v>
      </c>
      <c r="L242" s="179">
        <v>0</v>
      </c>
      <c r="M242" s="292">
        <f>IFERROR((K242-E242)/E242,0)</f>
        <v>0</v>
      </c>
      <c r="N242" s="224">
        <f>L242-F242</f>
        <v>0</v>
      </c>
      <c r="O242" s="223">
        <v>1</v>
      </c>
      <c r="P242" s="965">
        <v>4637.87</v>
      </c>
      <c r="Q242" s="179">
        <v>0</v>
      </c>
      <c r="R242" s="292">
        <f>IF(O242=0,0,J242/O242)</f>
        <v>0</v>
      </c>
      <c r="S242" s="196">
        <f>L242-Q242</f>
        <v>0</v>
      </c>
      <c r="T242" s="456"/>
      <c r="U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" hidden="1">
      <c r="A243" t="str">
        <f t="shared" si="41"/>
        <v>Carrosserie% profit / ventes</v>
      </c>
      <c r="B243" s="24" t="s">
        <v>163</v>
      </c>
      <c r="C243" s="250" t="s">
        <v>152</v>
      </c>
      <c r="D243" s="456"/>
      <c r="E243" s="990"/>
      <c r="F243" s="226">
        <f>IFERROR(F242/E242,0)</f>
        <v>0</v>
      </c>
      <c r="G243" s="222"/>
      <c r="H243" s="990"/>
      <c r="I243" s="226">
        <f>IFERROR(I242/H242,0)</f>
        <v>0</v>
      </c>
      <c r="J243" s="223"/>
      <c r="K243" s="25"/>
      <c r="L243" s="226">
        <f>IFERROR(L242/K242,0)</f>
        <v>0</v>
      </c>
      <c r="M243" s="292"/>
      <c r="N243" s="801">
        <f>IFERROR(N242/M242,0)</f>
        <v>0</v>
      </c>
      <c r="O243" s="223"/>
      <c r="P243" s="25"/>
      <c r="Q243" s="226">
        <f>IFERROR(Q242/P242,0)</f>
        <v>0</v>
      </c>
      <c r="R243" s="223"/>
      <c r="S243" s="196">
        <f>IFERROR(S242/R242,0)</f>
        <v>0</v>
      </c>
      <c r="T243" s="456"/>
      <c r="U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" hidden="1">
      <c r="A244" t="str">
        <f t="shared" si="41"/>
        <v>Carrosserie</v>
      </c>
      <c r="B244" s="24" t="s">
        <v>163</v>
      </c>
      <c r="C244" s="250"/>
      <c r="D244" s="456"/>
      <c r="E244" s="190"/>
      <c r="F244" s="191"/>
      <c r="G244" s="251"/>
      <c r="H244" s="190"/>
      <c r="I244" s="191"/>
      <c r="J244" s="251"/>
      <c r="K244" s="456"/>
      <c r="L244" s="253"/>
      <c r="M244" s="251"/>
      <c r="N244" s="253"/>
      <c r="O244" s="251"/>
      <c r="P244" s="456"/>
      <c r="Q244" s="253"/>
      <c r="R244" s="209"/>
      <c r="S244" s="254"/>
      <c r="T244" s="456"/>
      <c r="U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" hidden="1">
      <c r="A245" t="str">
        <f t="shared" si="41"/>
        <v>CarrosserieM/O Carrosserie</v>
      </c>
      <c r="B245" s="24" t="s">
        <v>163</v>
      </c>
      <c r="C245" s="311" t="s">
        <v>165</v>
      </c>
      <c r="D245" s="270">
        <v>0</v>
      </c>
      <c r="E245" s="37">
        <v>0</v>
      </c>
      <c r="F245" s="37">
        <v>0</v>
      </c>
      <c r="G245" s="312">
        <v>0</v>
      </c>
      <c r="H245" s="37">
        <v>0</v>
      </c>
      <c r="I245" s="37">
        <v>0</v>
      </c>
      <c r="J245" s="313">
        <v>0</v>
      </c>
      <c r="K245" s="185">
        <v>0</v>
      </c>
      <c r="L245" s="180">
        <v>0</v>
      </c>
      <c r="M245" s="314">
        <f>IFERROR((K245-E245)/E245,0)</f>
        <v>0</v>
      </c>
      <c r="N245" s="273">
        <f>L245-F245</f>
        <v>0</v>
      </c>
      <c r="O245" s="313">
        <v>0</v>
      </c>
      <c r="P245" s="185">
        <v>0</v>
      </c>
      <c r="Q245" s="180">
        <v>0</v>
      </c>
      <c r="R245" s="292">
        <f>IF(O245=0,0,J245/O245)</f>
        <v>0</v>
      </c>
      <c r="S245" s="198">
        <f>L245-Q245</f>
        <v>0</v>
      </c>
      <c r="T245" s="452"/>
      <c r="U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" hidden="1">
      <c r="A246" t="str">
        <f t="shared" si="41"/>
        <v>Carrosserie% profit / ventes</v>
      </c>
      <c r="B246" s="24" t="s">
        <v>163</v>
      </c>
      <c r="C246" s="250" t="s">
        <v>152</v>
      </c>
      <c r="D246" s="25"/>
      <c r="E246" s="990"/>
      <c r="F246" s="226" t="e">
        <f>F245/E245</f>
        <v>#DIV/0!</v>
      </c>
      <c r="G246" s="222"/>
      <c r="H246" s="990"/>
      <c r="I246" s="226" t="e">
        <f>I245/H245</f>
        <v>#DIV/0!</v>
      </c>
      <c r="J246" s="223"/>
      <c r="K246" s="25"/>
      <c r="L246" s="226">
        <f>IFERROR(L245/K245,0)</f>
        <v>0</v>
      </c>
      <c r="M246" s="292"/>
      <c r="N246" s="224">
        <f>IFERROR(N245/F245,0)</f>
        <v>0</v>
      </c>
      <c r="O246" s="223"/>
      <c r="P246" s="25"/>
      <c r="Q246" s="226">
        <f>IFERROR(Q245/P245,0)</f>
        <v>0</v>
      </c>
      <c r="R246" s="223"/>
      <c r="S246" s="196">
        <f>IF(Q245=0,0,S245/Q245)</f>
        <v>0</v>
      </c>
      <c r="T246" s="452"/>
      <c r="U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" hidden="1">
      <c r="A247" t="str">
        <f t="shared" si="4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452"/>
      <c r="U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" hidden="1">
      <c r="A248" t="str">
        <f t="shared" si="41"/>
        <v>CarrosserieM/O Esthétique Carr.</v>
      </c>
      <c r="B248" s="24" t="s">
        <v>163</v>
      </c>
      <c r="C248" s="311" t="s">
        <v>166</v>
      </c>
      <c r="D248" s="315">
        <v>0</v>
      </c>
      <c r="E248" s="37">
        <v>0</v>
      </c>
      <c r="F248" s="37">
        <v>0</v>
      </c>
      <c r="G248" s="313">
        <v>0</v>
      </c>
      <c r="H248" s="37">
        <v>0</v>
      </c>
      <c r="I248" s="37">
        <v>0</v>
      </c>
      <c r="J248" s="313">
        <v>0</v>
      </c>
      <c r="K248" s="965">
        <v>0</v>
      </c>
      <c r="L248" s="179"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965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452"/>
      <c r="U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0" hidden="1">
      <c r="A249" t="str">
        <f t="shared" si="41"/>
        <v>Carrosserie% profit / ventes</v>
      </c>
      <c r="B249" s="24" t="s">
        <v>163</v>
      </c>
      <c r="C249" s="250" t="s">
        <v>152</v>
      </c>
      <c r="D249" s="25"/>
      <c r="E249" s="25"/>
      <c r="F249" s="226" t="e">
        <f>F248/E248</f>
        <v>#DIV/0!</v>
      </c>
      <c r="G249" s="222"/>
      <c r="H249" s="25"/>
      <c r="I249" s="226" t="e">
        <f>I248/H248</f>
        <v>#DIV/0!</v>
      </c>
      <c r="J249" s="222"/>
      <c r="K249" s="25"/>
      <c r="L249" s="226">
        <f>IFERROR(L248/K248,0)</f>
        <v>0</v>
      </c>
      <c r="M249" s="234"/>
      <c r="N249" s="233">
        <f>IF(L248=0,0,N248/L248)</f>
        <v>0</v>
      </c>
      <c r="O249" s="222"/>
      <c r="P249" s="25"/>
      <c r="Q249" s="226">
        <f>IFERROR(Q248/P248,0)</f>
        <v>0</v>
      </c>
      <c r="R249" s="234"/>
      <c r="S249" s="261">
        <f>IF(Q248=0,0,S248/Q248)</f>
        <v>0</v>
      </c>
      <c r="T249" s="452"/>
      <c r="U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0" hidden="1">
      <c r="A250" t="str">
        <f t="shared" si="41"/>
        <v>Carrosserie</v>
      </c>
      <c r="B250" s="24" t="s">
        <v>163</v>
      </c>
      <c r="C250" s="250"/>
      <c r="D250" s="25"/>
      <c r="E250" s="25"/>
      <c r="F250" s="226"/>
      <c r="G250" s="222"/>
      <c r="H250" s="25"/>
      <c r="I250" s="226"/>
      <c r="J250" s="222"/>
      <c r="K250" s="25"/>
      <c r="L250" s="226"/>
      <c r="M250" s="234"/>
      <c r="N250" s="233"/>
      <c r="O250" s="222"/>
      <c r="P250" s="25"/>
      <c r="Q250" s="226"/>
      <c r="R250" s="234"/>
      <c r="S250" s="261"/>
      <c r="T250" s="452"/>
      <c r="U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hidden="1" thickTop="1">
      <c r="A251" t="str">
        <f t="shared" si="41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>
        <f>H245+H248+H242</f>
        <v>0</v>
      </c>
      <c r="I251" s="28">
        <f>I245+I248+I242</f>
        <v>0</v>
      </c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452"/>
      <c r="U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hidden="1" thickBot="1">
      <c r="A252" t="str">
        <f t="shared" si="4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 t="e">
        <f>I251/H251</f>
        <v>#DIV/0!</v>
      </c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IF(P251=0,0,Q251/P251)</f>
        <v>0</v>
      </c>
      <c r="R252" s="33"/>
      <c r="S252" s="258">
        <f>IF(R251=0,0,S251/R251)</f>
        <v>0</v>
      </c>
      <c r="T252" s="452"/>
      <c r="U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" hidden="1">
      <c r="A253" t="str">
        <f t="shared" si="41"/>
        <v>Carrosserie</v>
      </c>
      <c r="B253" s="24" t="s">
        <v>163</v>
      </c>
      <c r="C253" s="250"/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" hidden="1">
      <c r="A254" t="str">
        <f t="shared" si="41"/>
        <v>CarrosserieDEPENSES</v>
      </c>
      <c r="B254" s="24" t="s">
        <v>163</v>
      </c>
      <c r="C254" s="262" t="s">
        <v>99</v>
      </c>
      <c r="D254" s="25"/>
      <c r="E254" s="25"/>
      <c r="F254" s="224"/>
      <c r="G254" s="222"/>
      <c r="H254" s="25"/>
      <c r="I254" s="224"/>
      <c r="J254" s="222"/>
      <c r="K254" s="25"/>
      <c r="L254" s="264"/>
      <c r="M254" s="222"/>
      <c r="N254" s="264"/>
      <c r="O254" s="222"/>
      <c r="P254" s="25"/>
      <c r="Q254" s="264"/>
      <c r="R254" s="222"/>
      <c r="S254" s="265"/>
      <c r="T254" s="25"/>
      <c r="U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" hidden="1">
      <c r="A255" t="str">
        <f t="shared" si="41"/>
        <v>CarrosserieSalaires cadres</v>
      </c>
      <c r="B255" s="24" t="s">
        <v>163</v>
      </c>
      <c r="C255" s="266" t="s">
        <v>109</v>
      </c>
      <c r="D255" s="25"/>
      <c r="E255" s="25"/>
      <c r="F255" s="965">
        <v>0</v>
      </c>
      <c r="G255" s="222"/>
      <c r="H255" s="25"/>
      <c r="I255" s="965">
        <v>0</v>
      </c>
      <c r="J255" s="222"/>
      <c r="K255" s="25"/>
      <c r="L255" s="179">
        <v>0</v>
      </c>
      <c r="M255" s="222"/>
      <c r="N255" s="224">
        <f t="shared" ref="N255:N265" si="42">L255-F255</f>
        <v>0</v>
      </c>
      <c r="O255" s="222"/>
      <c r="P255" s="25"/>
      <c r="Q255" s="179">
        <v>0</v>
      </c>
      <c r="R255" s="222"/>
      <c r="S255" s="196">
        <f t="shared" ref="S255" si="43">L255-Q255</f>
        <v>0</v>
      </c>
      <c r="T255" s="25"/>
      <c r="U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" hidden="1">
      <c r="A256" t="str">
        <f t="shared" si="41"/>
        <v>CarrosserieSalaires commis</v>
      </c>
      <c r="B256" s="24" t="s">
        <v>163</v>
      </c>
      <c r="C256" s="267" t="s">
        <v>110</v>
      </c>
      <c r="D256" s="36"/>
      <c r="E256" s="25"/>
      <c r="F256" s="176">
        <v>0</v>
      </c>
      <c r="G256" s="268"/>
      <c r="H256" s="25"/>
      <c r="I256" s="176">
        <v>0</v>
      </c>
      <c r="J256" s="222"/>
      <c r="K256" s="25"/>
      <c r="L256" s="179">
        <v>0</v>
      </c>
      <c r="M256" s="222"/>
      <c r="N256" s="224">
        <f t="shared" si="42"/>
        <v>0</v>
      </c>
      <c r="O256" s="222"/>
      <c r="P256" s="25"/>
      <c r="Q256" s="179">
        <v>0</v>
      </c>
      <c r="R256" s="222"/>
      <c r="S256" s="196">
        <f>L256-Q256</f>
        <v>0</v>
      </c>
      <c r="T256" s="25"/>
      <c r="U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" hidden="1">
      <c r="A257" t="str">
        <f t="shared" si="41"/>
        <v>CarrosserieSalaires autres</v>
      </c>
      <c r="B257" s="24" t="s">
        <v>163</v>
      </c>
      <c r="C257" s="266" t="s">
        <v>111</v>
      </c>
      <c r="D257" s="269"/>
      <c r="E257" s="270"/>
      <c r="F257" s="965">
        <v>0</v>
      </c>
      <c r="G257" s="271"/>
      <c r="H257" s="270"/>
      <c r="I257" s="965">
        <v>0</v>
      </c>
      <c r="J257" s="272"/>
      <c r="K257" s="270"/>
      <c r="L257" s="180">
        <v>0</v>
      </c>
      <c r="M257" s="272"/>
      <c r="N257" s="273">
        <f t="shared" si="42"/>
        <v>0</v>
      </c>
      <c r="O257" s="272"/>
      <c r="P257" s="270"/>
      <c r="Q257" s="180">
        <v>0</v>
      </c>
      <c r="R257" s="272"/>
      <c r="S257" s="198">
        <f t="shared" ref="S257:S265" si="44">L257-Q257</f>
        <v>0</v>
      </c>
      <c r="T257" s="25"/>
      <c r="U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" hidden="1">
      <c r="A258" t="str">
        <f t="shared" si="41"/>
        <v>CarrosserieSalaires spécialistes</v>
      </c>
      <c r="B258" s="24" t="s">
        <v>163</v>
      </c>
      <c r="C258" s="266" t="s">
        <v>112</v>
      </c>
      <c r="D258" s="36"/>
      <c r="E258" s="25"/>
      <c r="F258" s="965">
        <v>0</v>
      </c>
      <c r="G258" s="268"/>
      <c r="H258" s="25"/>
      <c r="I258" s="965">
        <v>0</v>
      </c>
      <c r="J258" s="222"/>
      <c r="K258" s="25"/>
      <c r="L258" s="179">
        <v>0</v>
      </c>
      <c r="M258" s="222"/>
      <c r="N258" s="224">
        <f t="shared" si="42"/>
        <v>0</v>
      </c>
      <c r="O258" s="222"/>
      <c r="P258" s="25"/>
      <c r="Q258" s="179">
        <v>0</v>
      </c>
      <c r="R258" s="222"/>
      <c r="S258" s="196">
        <f t="shared" si="44"/>
        <v>0</v>
      </c>
      <c r="T258" s="25"/>
      <c r="U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" hidden="1">
      <c r="A259" t="str">
        <f t="shared" si="41"/>
        <v>Carrosserie[...]</v>
      </c>
      <c r="B259" s="24" t="s">
        <v>163</v>
      </c>
      <c r="C259" s="250" t="s">
        <v>42</v>
      </c>
      <c r="D259" s="36"/>
      <c r="E259" s="25"/>
      <c r="F259" s="965">
        <v>0</v>
      </c>
      <c r="G259" s="268"/>
      <c r="H259" s="25"/>
      <c r="I259" s="965">
        <v>0</v>
      </c>
      <c r="J259" s="222"/>
      <c r="K259" s="25"/>
      <c r="L259" s="179">
        <v>0</v>
      </c>
      <c r="M259" s="222"/>
      <c r="N259" s="224">
        <f t="shared" si="42"/>
        <v>0</v>
      </c>
      <c r="O259" s="222"/>
      <c r="P259" s="25"/>
      <c r="Q259" s="179">
        <v>0</v>
      </c>
      <c r="R259" s="222"/>
      <c r="S259" s="196">
        <f t="shared" si="44"/>
        <v>0</v>
      </c>
      <c r="T259" s="25"/>
      <c r="U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" hidden="1">
      <c r="A260" t="str">
        <f t="shared" si="41"/>
        <v>Carrosserie[...]</v>
      </c>
      <c r="B260" s="24" t="s">
        <v>163</v>
      </c>
      <c r="C260" s="250" t="s">
        <v>42</v>
      </c>
      <c r="D260" s="36"/>
      <c r="E260" s="25"/>
      <c r="F260" s="965">
        <v>0</v>
      </c>
      <c r="G260" s="268"/>
      <c r="H260" s="25"/>
      <c r="I260" s="965">
        <v>0</v>
      </c>
      <c r="J260" s="222"/>
      <c r="K260" s="25"/>
      <c r="L260" s="179">
        <v>0</v>
      </c>
      <c r="M260" s="222"/>
      <c r="N260" s="224">
        <f t="shared" si="42"/>
        <v>0</v>
      </c>
      <c r="O260" s="222"/>
      <c r="P260" s="25"/>
      <c r="Q260" s="179">
        <v>0</v>
      </c>
      <c r="R260" s="222"/>
      <c r="S260" s="196">
        <f t="shared" si="44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" hidden="1">
      <c r="A261" t="str">
        <f t="shared" si="41"/>
        <v>Carrosserie[...]</v>
      </c>
      <c r="B261" s="24" t="s">
        <v>163</v>
      </c>
      <c r="C261" s="250" t="s">
        <v>42</v>
      </c>
      <c r="D261" s="36"/>
      <c r="E261" s="25"/>
      <c r="F261" s="965">
        <v>0</v>
      </c>
      <c r="G261" s="268"/>
      <c r="H261" s="25"/>
      <c r="I261" s="965">
        <v>0</v>
      </c>
      <c r="J261" s="222"/>
      <c r="K261" s="25"/>
      <c r="L261" s="179">
        <v>0</v>
      </c>
      <c r="M261" s="222"/>
      <c r="N261" s="224">
        <f t="shared" si="42"/>
        <v>0</v>
      </c>
      <c r="O261" s="222"/>
      <c r="P261" s="25"/>
      <c r="Q261" s="179">
        <v>0</v>
      </c>
      <c r="R261" s="222"/>
      <c r="S261" s="196">
        <f t="shared" si="44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" hidden="1">
      <c r="A262" t="str">
        <f t="shared" si="41"/>
        <v>CarrosserieSalaires en absences</v>
      </c>
      <c r="B262" s="24" t="s">
        <v>163</v>
      </c>
      <c r="C262" s="267" t="s">
        <v>113</v>
      </c>
      <c r="D262" s="36"/>
      <c r="E262" s="25"/>
      <c r="F262" s="176">
        <v>0</v>
      </c>
      <c r="G262" s="268"/>
      <c r="H262" s="25"/>
      <c r="I262" s="176">
        <v>0</v>
      </c>
      <c r="J262" s="222"/>
      <c r="K262" s="25"/>
      <c r="L262" s="179">
        <v>0</v>
      </c>
      <c r="M262" s="222"/>
      <c r="N262" s="224">
        <f t="shared" si="42"/>
        <v>0</v>
      </c>
      <c r="O262" s="222"/>
      <c r="P262" s="25"/>
      <c r="Q262" s="179">
        <v>0</v>
      </c>
      <c r="R262" s="222"/>
      <c r="S262" s="196">
        <f t="shared" si="44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" hidden="1">
      <c r="A263" t="str">
        <f t="shared" si="41"/>
        <v>CarrosserieDéduction à la source</v>
      </c>
      <c r="B263" s="24" t="s">
        <v>163</v>
      </c>
      <c r="C263" s="266" t="s">
        <v>114</v>
      </c>
      <c r="D263" s="269"/>
      <c r="E263" s="270"/>
      <c r="F263" s="965">
        <v>0</v>
      </c>
      <c r="G263" s="271"/>
      <c r="H263" s="270"/>
      <c r="I263" s="965">
        <v>0</v>
      </c>
      <c r="J263" s="272"/>
      <c r="K263" s="270"/>
      <c r="L263" s="180">
        <v>0</v>
      </c>
      <c r="M263" s="272"/>
      <c r="N263" s="273">
        <f t="shared" si="42"/>
        <v>0</v>
      </c>
      <c r="O263" s="272"/>
      <c r="P263" s="270"/>
      <c r="Q263" s="180">
        <v>0</v>
      </c>
      <c r="R263" s="272"/>
      <c r="S263" s="198">
        <f t="shared" si="44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" hidden="1">
      <c r="A264" t="str">
        <f t="shared" si="41"/>
        <v>CarrosserieBénéfices marginaux</v>
      </c>
      <c r="B264" s="24" t="s">
        <v>163</v>
      </c>
      <c r="C264" s="266" t="s">
        <v>115</v>
      </c>
      <c r="D264" s="36"/>
      <c r="E264" s="25"/>
      <c r="F264" s="965">
        <v>0</v>
      </c>
      <c r="G264" s="268"/>
      <c r="H264" s="25"/>
      <c r="I264" s="965">
        <v>0</v>
      </c>
      <c r="J264" s="222"/>
      <c r="K264" s="25"/>
      <c r="L264" s="179">
        <v>0</v>
      </c>
      <c r="M264" s="222"/>
      <c r="N264" s="224">
        <f t="shared" si="42"/>
        <v>0</v>
      </c>
      <c r="O264" s="222"/>
      <c r="P264" s="25"/>
      <c r="Q264" s="179">
        <v>0</v>
      </c>
      <c r="R264" s="222"/>
      <c r="S264" s="196">
        <f t="shared" si="44"/>
        <v>0</v>
      </c>
      <c r="T264" s="25"/>
      <c r="U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" hidden="1">
      <c r="A265" t="str">
        <f t="shared" si="41"/>
        <v>CarrosserieCsst</v>
      </c>
      <c r="B265" s="24" t="s">
        <v>163</v>
      </c>
      <c r="C265" s="266" t="s">
        <v>116</v>
      </c>
      <c r="D265" s="36"/>
      <c r="E265" s="25"/>
      <c r="F265" s="965">
        <v>0</v>
      </c>
      <c r="G265" s="268"/>
      <c r="H265" s="25"/>
      <c r="I265" s="965">
        <v>0</v>
      </c>
      <c r="J265" s="222"/>
      <c r="K265" s="25"/>
      <c r="L265" s="179">
        <v>0</v>
      </c>
      <c r="M265" s="722"/>
      <c r="N265" s="193">
        <f t="shared" si="42"/>
        <v>0</v>
      </c>
      <c r="O265" s="222"/>
      <c r="P265" s="25"/>
      <c r="Q265" s="179">
        <v>0</v>
      </c>
      <c r="R265" s="222"/>
      <c r="S265" s="196">
        <f t="shared" si="44"/>
        <v>0</v>
      </c>
      <c r="T265" s="25"/>
      <c r="U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" hidden="1">
      <c r="A266" t="str">
        <f t="shared" si="41"/>
        <v>Carrosserie[...]</v>
      </c>
      <c r="B266" s="24" t="s">
        <v>163</v>
      </c>
      <c r="C266" s="250" t="s">
        <v>42</v>
      </c>
      <c r="D266" s="274"/>
      <c r="E266" s="275"/>
      <c r="F266" s="965">
        <v>0</v>
      </c>
      <c r="G266" s="276"/>
      <c r="H266" s="275"/>
      <c r="I266" s="965">
        <v>0</v>
      </c>
      <c r="J266" s="277"/>
      <c r="K266" s="275"/>
      <c r="L266" s="179">
        <v>0</v>
      </c>
      <c r="M266" s="277"/>
      <c r="N266" s="278">
        <f>L266-F266</f>
        <v>0</v>
      </c>
      <c r="O266" s="277"/>
      <c r="P266" s="275"/>
      <c r="Q266" s="179">
        <v>0</v>
      </c>
      <c r="R266" s="277"/>
      <c r="S266" s="199">
        <f>L266-Q266</f>
        <v>0</v>
      </c>
      <c r="T266" s="25"/>
      <c r="U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" hidden="1">
      <c r="A267" t="str">
        <f t="shared" si="4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F267/F$244</f>
        <v>#DIV/0!</v>
      </c>
      <c r="F267" s="41">
        <f>+SUM(F255:F266)</f>
        <v>0</v>
      </c>
      <c r="G267" s="42" t="s">
        <v>108</v>
      </c>
      <c r="H267" s="40" t="e">
        <f>I267/I$244</f>
        <v>#DIV/0!</v>
      </c>
      <c r="I267" s="41">
        <f>+SUM(I255:I266)</f>
        <v>0</v>
      </c>
      <c r="J267" s="42" t="s">
        <v>108</v>
      </c>
      <c r="K267" s="40">
        <f>IF(L245=0,0,L267/L$244)</f>
        <v>0</v>
      </c>
      <c r="L267" s="41">
        <f>+SUM(L255:L266)</f>
        <v>0</v>
      </c>
      <c r="M267" s="43"/>
      <c r="N267" s="46">
        <f>L267-F267</f>
        <v>0</v>
      </c>
      <c r="O267" s="42" t="s">
        <v>108</v>
      </c>
      <c r="P267" s="40">
        <f>IF(Q245=0,0,Q267/Q$244)</f>
        <v>0</v>
      </c>
      <c r="Q267" s="41">
        <f>+SUM(Q255:Q266)</f>
        <v>0</v>
      </c>
      <c r="R267" s="43"/>
      <c r="S267" s="280">
        <f t="shared" ref="S267:S273" si="45">L267-Q267</f>
        <v>0</v>
      </c>
      <c r="T267" s="25"/>
      <c r="U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" hidden="1">
      <c r="A268" t="str">
        <f t="shared" si="41"/>
        <v>CarrosseriePublicité 2</v>
      </c>
      <c r="B268" s="24" t="s">
        <v>163</v>
      </c>
      <c r="C268" s="281" t="s">
        <v>118</v>
      </c>
      <c r="D268" s="36"/>
      <c r="E268" s="25"/>
      <c r="F268" s="965">
        <v>0</v>
      </c>
      <c r="G268" s="268"/>
      <c r="H268" s="25"/>
      <c r="I268" s="965">
        <v>0</v>
      </c>
      <c r="J268" s="222"/>
      <c r="K268" s="25"/>
      <c r="L268" s="179">
        <v>0</v>
      </c>
      <c r="M268" s="222"/>
      <c r="N268" s="224">
        <f t="shared" ref="N268:N285" si="46">L268-F268</f>
        <v>0</v>
      </c>
      <c r="O268" s="222"/>
      <c r="P268" s="25"/>
      <c r="Q268" s="179">
        <v>0</v>
      </c>
      <c r="R268" s="222"/>
      <c r="S268" s="196">
        <f t="shared" si="45"/>
        <v>0</v>
      </c>
      <c r="T268" s="25"/>
      <c r="U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" hidden="1">
      <c r="A269" t="str">
        <f t="shared" si="41"/>
        <v>CarrosserieService gratuit 2</v>
      </c>
      <c r="B269" s="24" t="s">
        <v>163</v>
      </c>
      <c r="C269" s="266" t="s">
        <v>119</v>
      </c>
      <c r="D269" s="36"/>
      <c r="E269" s="25"/>
      <c r="F269" s="965">
        <v>0</v>
      </c>
      <c r="G269" s="268"/>
      <c r="H269" s="25"/>
      <c r="I269" s="965">
        <v>0</v>
      </c>
      <c r="J269" s="222"/>
      <c r="K269" s="25"/>
      <c r="L269" s="179">
        <v>0</v>
      </c>
      <c r="M269" s="222"/>
      <c r="N269" s="224">
        <f t="shared" si="46"/>
        <v>0</v>
      </c>
      <c r="O269" s="222"/>
      <c r="P269" s="25"/>
      <c r="Q269" s="179">
        <v>0</v>
      </c>
      <c r="R269" s="222"/>
      <c r="S269" s="196">
        <f t="shared" si="45"/>
        <v>0</v>
      </c>
      <c r="T269" s="25"/>
      <c r="U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" hidden="1">
      <c r="A270" t="str">
        <f t="shared" si="41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v>0</v>
      </c>
      <c r="G270" s="276"/>
      <c r="H270" s="275"/>
      <c r="I270" s="176">
        <v>0</v>
      </c>
      <c r="J270" s="277"/>
      <c r="K270" s="275"/>
      <c r="L270" s="179">
        <v>0</v>
      </c>
      <c r="M270" s="277"/>
      <c r="N270" s="278">
        <f t="shared" si="46"/>
        <v>0</v>
      </c>
      <c r="O270" s="277"/>
      <c r="P270" s="275"/>
      <c r="Q270" s="179">
        <v>0</v>
      </c>
      <c r="R270" s="277"/>
      <c r="S270" s="199">
        <f t="shared" si="45"/>
        <v>0</v>
      </c>
      <c r="T270" s="25"/>
      <c r="U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" hidden="1">
      <c r="A271" t="str">
        <f t="shared" si="41"/>
        <v>CarrosserieInformatique</v>
      </c>
      <c r="B271" s="24" t="s">
        <v>163</v>
      </c>
      <c r="C271" s="266" t="s">
        <v>121</v>
      </c>
      <c r="D271" s="36"/>
      <c r="E271" s="25"/>
      <c r="F271" s="965">
        <v>0</v>
      </c>
      <c r="G271" s="268"/>
      <c r="H271" s="25"/>
      <c r="I271" s="965">
        <v>0</v>
      </c>
      <c r="J271" s="222"/>
      <c r="K271" s="25"/>
      <c r="L271" s="180">
        <v>0</v>
      </c>
      <c r="M271" s="222"/>
      <c r="N271" s="224">
        <f t="shared" si="46"/>
        <v>0</v>
      </c>
      <c r="O271" s="222"/>
      <c r="P271" s="25"/>
      <c r="Q271" s="180">
        <v>0</v>
      </c>
      <c r="R271" s="222"/>
      <c r="S271" s="196">
        <f t="shared" si="45"/>
        <v>0</v>
      </c>
      <c r="T271" s="25"/>
      <c r="U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" hidden="1">
      <c r="A272" t="str">
        <f t="shared" si="41"/>
        <v>CarrosserieFrais de déplacement</v>
      </c>
      <c r="B272" s="24" t="s">
        <v>163</v>
      </c>
      <c r="C272" s="266" t="s">
        <v>122</v>
      </c>
      <c r="D272" s="36"/>
      <c r="E272" s="25"/>
      <c r="F272" s="965">
        <v>0</v>
      </c>
      <c r="G272" s="268"/>
      <c r="H272" s="25"/>
      <c r="I272" s="965">
        <v>0</v>
      </c>
      <c r="J272" s="222"/>
      <c r="K272" s="25"/>
      <c r="L272" s="179">
        <v>0</v>
      </c>
      <c r="M272" s="222"/>
      <c r="N272" s="224">
        <f t="shared" si="46"/>
        <v>0</v>
      </c>
      <c r="O272" s="222"/>
      <c r="P272" s="25"/>
      <c r="Q272" s="179">
        <v>0</v>
      </c>
      <c r="R272" s="222"/>
      <c r="S272" s="196">
        <f t="shared" si="45"/>
        <v>0</v>
      </c>
      <c r="T272" s="25"/>
      <c r="U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" hidden="1">
      <c r="A273" t="str">
        <f t="shared" si="41"/>
        <v>CarrosserieServices extérieurs</v>
      </c>
      <c r="B273" s="24" t="s">
        <v>163</v>
      </c>
      <c r="C273" s="266" t="s">
        <v>123</v>
      </c>
      <c r="D273" s="274"/>
      <c r="E273" s="275"/>
      <c r="F273" s="176">
        <v>0</v>
      </c>
      <c r="G273" s="276"/>
      <c r="H273" s="275"/>
      <c r="I273" s="176">
        <v>0</v>
      </c>
      <c r="J273" s="277"/>
      <c r="K273" s="275"/>
      <c r="L273" s="179">
        <v>0</v>
      </c>
      <c r="M273" s="277"/>
      <c r="N273" s="278">
        <f t="shared" si="46"/>
        <v>0</v>
      </c>
      <c r="O273" s="277"/>
      <c r="P273" s="275"/>
      <c r="Q273" s="176">
        <v>0</v>
      </c>
      <c r="R273" s="277"/>
      <c r="S273" s="199">
        <f t="shared" si="45"/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" hidden="1">
      <c r="A274" t="str">
        <f t="shared" si="41"/>
        <v>CarrosserieFournitures d'atelier</v>
      </c>
      <c r="B274" s="24" t="s">
        <v>163</v>
      </c>
      <c r="C274" s="581" t="s">
        <v>350</v>
      </c>
      <c r="D274" s="36"/>
      <c r="E274" s="25"/>
      <c r="F274" s="965">
        <v>0</v>
      </c>
      <c r="G274" s="268"/>
      <c r="H274" s="25"/>
      <c r="I274" s="965">
        <v>0</v>
      </c>
      <c r="J274" s="222"/>
      <c r="K274" s="25"/>
      <c r="L274" s="373">
        <v>0</v>
      </c>
      <c r="M274" s="222"/>
      <c r="N274" s="224">
        <f t="shared" si="46"/>
        <v>0</v>
      </c>
      <c r="O274" s="222"/>
      <c r="P274" s="25"/>
      <c r="Q274" s="179"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" hidden="1">
      <c r="A275" t="str">
        <f t="shared" si="41"/>
        <v>CarrosserieFournitures autres</v>
      </c>
      <c r="B275" s="24" t="s">
        <v>163</v>
      </c>
      <c r="C275" s="266" t="s">
        <v>124</v>
      </c>
      <c r="D275" s="36"/>
      <c r="E275" s="25"/>
      <c r="F275" s="965">
        <v>0</v>
      </c>
      <c r="G275" s="268"/>
      <c r="H275" s="25"/>
      <c r="I275" s="965">
        <v>0</v>
      </c>
      <c r="J275" s="222"/>
      <c r="K275" s="25"/>
      <c r="L275" s="179">
        <v>0</v>
      </c>
      <c r="M275" s="222"/>
      <c r="N275" s="224">
        <f t="shared" si="46"/>
        <v>0</v>
      </c>
      <c r="O275" s="222"/>
      <c r="P275" s="25"/>
      <c r="Q275" s="179">
        <v>0</v>
      </c>
      <c r="R275" s="222"/>
      <c r="S275" s="196">
        <f t="shared" ref="S275:S283" si="47">L275-Q275</f>
        <v>0</v>
      </c>
      <c r="T275" s="25"/>
      <c r="U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" hidden="1">
      <c r="A276" t="str">
        <f t="shared" si="41"/>
        <v>CarrosserieUniformes</v>
      </c>
      <c r="B276" s="24" t="s">
        <v>163</v>
      </c>
      <c r="C276" s="266" t="s">
        <v>125</v>
      </c>
      <c r="D276" s="36"/>
      <c r="E276" s="25"/>
      <c r="F276" s="965">
        <v>0</v>
      </c>
      <c r="G276" s="268"/>
      <c r="H276" s="25"/>
      <c r="I276" s="965">
        <v>0</v>
      </c>
      <c r="J276" s="222"/>
      <c r="K276" s="25"/>
      <c r="L276" s="179">
        <v>0</v>
      </c>
      <c r="M276" s="222"/>
      <c r="N276" s="224">
        <f t="shared" si="46"/>
        <v>0</v>
      </c>
      <c r="O276" s="222"/>
      <c r="P276" s="25"/>
      <c r="Q276" s="179">
        <v>0</v>
      </c>
      <c r="R276" s="222"/>
      <c r="S276" s="196">
        <f t="shared" si="47"/>
        <v>0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" hidden="1">
      <c r="A277" t="str">
        <f t="shared" si="41"/>
        <v>CarrosseriePapeterie</v>
      </c>
      <c r="B277" s="24" t="s">
        <v>163</v>
      </c>
      <c r="C277" s="266" t="s">
        <v>126</v>
      </c>
      <c r="D277" s="36"/>
      <c r="E277" s="25"/>
      <c r="F277" s="965">
        <v>0</v>
      </c>
      <c r="G277" s="268"/>
      <c r="H277" s="25"/>
      <c r="I277" s="965">
        <v>0</v>
      </c>
      <c r="J277" s="222"/>
      <c r="K277" s="25"/>
      <c r="L277" s="472">
        <v>0</v>
      </c>
      <c r="M277" s="222"/>
      <c r="N277" s="224">
        <f t="shared" si="46"/>
        <v>0</v>
      </c>
      <c r="O277" s="222"/>
      <c r="P277" s="25"/>
      <c r="Q277" s="472">
        <v>0</v>
      </c>
      <c r="R277" s="222"/>
      <c r="S277" s="196">
        <f t="shared" si="47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" hidden="1">
      <c r="A278" t="str">
        <f t="shared" si="41"/>
        <v>CarrosserieTéléphone</v>
      </c>
      <c r="B278" s="24" t="s">
        <v>163</v>
      </c>
      <c r="C278" s="266" t="s">
        <v>127</v>
      </c>
      <c r="D278" s="36"/>
      <c r="E278" s="25"/>
      <c r="F278" s="965">
        <v>0</v>
      </c>
      <c r="G278" s="268"/>
      <c r="H278" s="25"/>
      <c r="I278" s="965">
        <v>0</v>
      </c>
      <c r="J278" s="222"/>
      <c r="K278" s="25"/>
      <c r="L278" s="179">
        <v>0</v>
      </c>
      <c r="M278" s="222"/>
      <c r="N278" s="224">
        <f t="shared" si="46"/>
        <v>0</v>
      </c>
      <c r="O278" s="222"/>
      <c r="P278" s="25"/>
      <c r="Q278" s="179">
        <v>0</v>
      </c>
      <c r="R278" s="222"/>
      <c r="S278" s="196">
        <f t="shared" si="47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" hidden="1">
      <c r="A279" t="str">
        <f t="shared" si="41"/>
        <v>CarrosserieFrais postaux</v>
      </c>
      <c r="B279" s="24" t="s">
        <v>163</v>
      </c>
      <c r="C279" s="266" t="s">
        <v>128</v>
      </c>
      <c r="D279" s="36"/>
      <c r="E279" s="25"/>
      <c r="F279" s="965">
        <v>0</v>
      </c>
      <c r="G279" s="268"/>
      <c r="H279" s="25"/>
      <c r="I279" s="965">
        <v>0</v>
      </c>
      <c r="J279" s="222"/>
      <c r="K279" s="25"/>
      <c r="L279" s="179">
        <v>0</v>
      </c>
      <c r="M279" s="222"/>
      <c r="N279" s="224">
        <f t="shared" si="46"/>
        <v>0</v>
      </c>
      <c r="O279" s="222"/>
      <c r="P279" s="25"/>
      <c r="Q279" s="179">
        <v>0</v>
      </c>
      <c r="R279" s="222"/>
      <c r="S279" s="196">
        <f t="shared" si="47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" hidden="1">
      <c r="A280" t="str">
        <f t="shared" si="41"/>
        <v>CarrosserieDivers</v>
      </c>
      <c r="B280" s="24" t="s">
        <v>163</v>
      </c>
      <c r="C280" s="266" t="s">
        <v>129</v>
      </c>
      <c r="D280" s="36"/>
      <c r="E280" s="25"/>
      <c r="F280" s="965">
        <v>0</v>
      </c>
      <c r="G280" s="268"/>
      <c r="H280" s="25"/>
      <c r="I280" s="965">
        <v>0</v>
      </c>
      <c r="J280" s="222"/>
      <c r="K280" s="25"/>
      <c r="L280" s="179">
        <v>0</v>
      </c>
      <c r="M280" s="222"/>
      <c r="N280" s="224">
        <f t="shared" si="46"/>
        <v>0</v>
      </c>
      <c r="O280" s="222"/>
      <c r="P280" s="25"/>
      <c r="Q280" s="179">
        <v>0</v>
      </c>
      <c r="R280" s="222"/>
      <c r="S280" s="196">
        <f t="shared" si="47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" hidden="1">
      <c r="A281" t="str">
        <f t="shared" si="41"/>
        <v>CarrosserieFormation</v>
      </c>
      <c r="B281" s="24" t="s">
        <v>163</v>
      </c>
      <c r="C281" s="266" t="s">
        <v>130</v>
      </c>
      <c r="D281" s="36"/>
      <c r="E281" s="25"/>
      <c r="F281" s="965">
        <v>0</v>
      </c>
      <c r="G281" s="268"/>
      <c r="H281" s="25"/>
      <c r="I281" s="965">
        <v>0</v>
      </c>
      <c r="J281" s="222"/>
      <c r="K281" s="25"/>
      <c r="L281" s="179">
        <v>0</v>
      </c>
      <c r="M281" s="222"/>
      <c r="N281" s="224">
        <f t="shared" si="46"/>
        <v>0</v>
      </c>
      <c r="O281" s="222"/>
      <c r="P281" s="25"/>
      <c r="Q281" s="179">
        <v>0</v>
      </c>
      <c r="R281" s="222"/>
      <c r="S281" s="196">
        <f t="shared" si="47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" hidden="1">
      <c r="A282" t="str">
        <f t="shared" si="41"/>
        <v>CarrosserieFrais bancaires</v>
      </c>
      <c r="B282" s="24" t="s">
        <v>163</v>
      </c>
      <c r="C282" s="266" t="s">
        <v>131</v>
      </c>
      <c r="D282" s="36"/>
      <c r="E282" s="25"/>
      <c r="F282" s="965">
        <v>0</v>
      </c>
      <c r="G282" s="268"/>
      <c r="H282" s="25"/>
      <c r="I282" s="965">
        <v>0</v>
      </c>
      <c r="J282" s="222"/>
      <c r="K282" s="25"/>
      <c r="L282" s="179">
        <v>0</v>
      </c>
      <c r="M282" s="222"/>
      <c r="N282" s="224">
        <f t="shared" si="46"/>
        <v>0</v>
      </c>
      <c r="O282" s="222"/>
      <c r="P282" s="25"/>
      <c r="Q282" s="179">
        <v>0</v>
      </c>
      <c r="R282" s="222"/>
      <c r="S282" s="196">
        <f t="shared" si="47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" hidden="1">
      <c r="A283" t="str">
        <f t="shared" si="41"/>
        <v>Carrosserie[...]</v>
      </c>
      <c r="B283" s="24" t="s">
        <v>163</v>
      </c>
      <c r="C283" s="266" t="s">
        <v>42</v>
      </c>
      <c r="D283" s="36"/>
      <c r="E283" s="25"/>
      <c r="F283" s="965">
        <v>0</v>
      </c>
      <c r="G283" s="268"/>
      <c r="H283" s="25"/>
      <c r="I283" s="965">
        <v>0</v>
      </c>
      <c r="J283" s="222"/>
      <c r="K283" s="25"/>
      <c r="L283" s="179">
        <v>0</v>
      </c>
      <c r="M283" s="222"/>
      <c r="N283" s="224">
        <f t="shared" si="46"/>
        <v>0</v>
      </c>
      <c r="O283" s="222"/>
      <c r="P283" s="25"/>
      <c r="Q283" s="179">
        <v>0</v>
      </c>
      <c r="R283" s="222"/>
      <c r="S283" s="196">
        <f t="shared" si="47"/>
        <v>0</v>
      </c>
      <c r="T283" s="25"/>
      <c r="U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" hidden="1">
      <c r="A284" t="str">
        <f t="shared" si="41"/>
        <v>Carrosserie[...]</v>
      </c>
      <c r="B284" s="24" t="s">
        <v>163</v>
      </c>
      <c r="C284" s="266" t="s">
        <v>42</v>
      </c>
      <c r="D284" s="36"/>
      <c r="E284" s="25"/>
      <c r="F284" s="965">
        <v>0</v>
      </c>
      <c r="G284" s="268"/>
      <c r="H284" s="25"/>
      <c r="I284" s="965">
        <v>0</v>
      </c>
      <c r="J284" s="222"/>
      <c r="K284" s="25"/>
      <c r="L284" s="179">
        <v>0</v>
      </c>
      <c r="M284" s="222"/>
      <c r="N284" s="224">
        <f t="shared" si="46"/>
        <v>0</v>
      </c>
      <c r="O284" s="222"/>
      <c r="P284" s="25"/>
      <c r="Q284" s="179">
        <v>0</v>
      </c>
      <c r="R284" s="222"/>
      <c r="S284" s="196">
        <f>L284-Q284</f>
        <v>0</v>
      </c>
      <c r="T284" s="25"/>
      <c r="U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" hidden="1">
      <c r="A285" t="str">
        <f t="shared" si="41"/>
        <v>Carrosserie[...]</v>
      </c>
      <c r="B285" s="24" t="s">
        <v>163</v>
      </c>
      <c r="C285" s="266" t="s">
        <v>42</v>
      </c>
      <c r="D285" s="36"/>
      <c r="E285" s="25"/>
      <c r="F285" s="965">
        <v>0</v>
      </c>
      <c r="G285" s="268"/>
      <c r="H285" s="25"/>
      <c r="I285" s="965">
        <v>0</v>
      </c>
      <c r="J285" s="222"/>
      <c r="K285" s="25"/>
      <c r="L285" s="179">
        <v>0</v>
      </c>
      <c r="M285" s="222"/>
      <c r="N285" s="224">
        <f t="shared" si="46"/>
        <v>0</v>
      </c>
      <c r="O285" s="222"/>
      <c r="P285" s="25"/>
      <c r="Q285" s="179">
        <v>0</v>
      </c>
      <c r="R285" s="222"/>
      <c r="S285" s="196">
        <f t="shared" ref="S285" si="48">L285-Q285</f>
        <v>0</v>
      </c>
      <c r="T285" s="25"/>
      <c r="U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" hidden="1">
      <c r="B286" s="24"/>
      <c r="C286" s="279" t="s">
        <v>132</v>
      </c>
      <c r="D286" s="39" t="s">
        <v>108</v>
      </c>
      <c r="E286" s="40" t="e">
        <f>F286/F$250</f>
        <v>#DIV/0!</v>
      </c>
      <c r="F286" s="41">
        <f>+SUM(F268:F285)</f>
        <v>0</v>
      </c>
      <c r="G286" s="42" t="s">
        <v>108</v>
      </c>
      <c r="H286" s="40" t="e">
        <f>I286/I$250</f>
        <v>#DIV/0!</v>
      </c>
      <c r="I286" s="41">
        <f>+SUM(I268:I285)</f>
        <v>0</v>
      </c>
      <c r="J286" s="42" t="s">
        <v>108</v>
      </c>
      <c r="K286" s="40" t="e">
        <f>L286/L$250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 t="e">
        <f>Q286/Q$250</f>
        <v>#DIV/0!</v>
      </c>
      <c r="Q286" s="41">
        <f>+SUM(Q268:Q285)</f>
        <v>0</v>
      </c>
      <c r="R286" s="44"/>
      <c r="S286" s="284">
        <f>L286-Q286</f>
        <v>0</v>
      </c>
      <c r="T286" s="56"/>
      <c r="U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56"/>
      <c r="U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" hidden="1">
      <c r="B288" s="24"/>
      <c r="C288" s="279" t="s">
        <v>133</v>
      </c>
      <c r="D288" s="39" t="s">
        <v>108</v>
      </c>
      <c r="E288" s="40" t="e">
        <f>F288/F$250</f>
        <v>#DIV/0!</v>
      </c>
      <c r="F288" s="41">
        <f>F267+F286</f>
        <v>0</v>
      </c>
      <c r="G288" s="42" t="s">
        <v>108</v>
      </c>
      <c r="H288" s="40" t="e">
        <f>I288/I$250</f>
        <v>#DIV/0!</v>
      </c>
      <c r="I288" s="41">
        <f>I267+I286</f>
        <v>0</v>
      </c>
      <c r="J288" s="42" t="s">
        <v>108</v>
      </c>
      <c r="K288" s="40" t="e">
        <f>L288/L$250</f>
        <v>#DIV/0!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 t="e">
        <f>Q288/Q$250</f>
        <v>#DIV/0!</v>
      </c>
      <c r="Q288" s="41">
        <f>Q267+Q286</f>
        <v>0</v>
      </c>
      <c r="R288" s="44"/>
      <c r="S288" s="280">
        <f>L288-Q288</f>
        <v>0</v>
      </c>
      <c r="T288" s="56"/>
      <c r="U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" hidden="1">
      <c r="B289" s="24"/>
      <c r="C289" s="250"/>
      <c r="D289" s="36"/>
      <c r="E289" s="25"/>
      <c r="F289" s="224"/>
      <c r="G289" s="268"/>
      <c r="H289" s="25"/>
      <c r="I289" s="224"/>
      <c r="J289" s="222"/>
      <c r="K289" s="25"/>
      <c r="L289" s="224"/>
      <c r="M289" s="222"/>
      <c r="N289" s="224">
        <f>L289-F289</f>
        <v>0</v>
      </c>
      <c r="O289" s="222"/>
      <c r="P289" s="25"/>
      <c r="Q289" s="224"/>
      <c r="R289" s="222"/>
      <c r="S289" s="196"/>
      <c r="T289" s="25"/>
      <c r="U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>
        <f>I251-I288</f>
        <v>0</v>
      </c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56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0" hidden="1">
      <c r="B291" s="24"/>
      <c r="C291" s="25"/>
      <c r="D291" s="25"/>
      <c r="E291" s="25"/>
      <c r="F291" s="25"/>
      <c r="G291" s="25"/>
      <c r="H291" s="25"/>
      <c r="I291" s="25"/>
      <c r="J291" s="25"/>
      <c r="K291" s="25"/>
      <c r="L291" s="37"/>
      <c r="M291" s="25"/>
      <c r="N291" s="25"/>
      <c r="O291" s="25"/>
      <c r="P291" s="25"/>
      <c r="Q291" s="25"/>
      <c r="R291" s="25"/>
      <c r="S291" s="25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  Q2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6" t="s">
        <v>2971</v>
      </c>
      <c r="H294" s="1434"/>
      <c r="I294" s="1435"/>
      <c r="J294" s="1436" t="s">
        <v>78</v>
      </c>
      <c r="K294" s="1434"/>
      <c r="L294" s="1435"/>
      <c r="M294" s="1436" t="s">
        <v>2441</v>
      </c>
      <c r="N294" s="1435"/>
      <c r="O294" s="1433" t="s">
        <v>79</v>
      </c>
      <c r="P294" s="1434"/>
      <c r="Q294" s="1435"/>
      <c r="R294" s="1437" t="s">
        <v>2445</v>
      </c>
      <c r="S294" s="1438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">
      <c r="A295" t="str">
        <f t="shared" ref="A295:A349" si="49">+B295&amp;C295</f>
        <v>Pièces</v>
      </c>
      <c r="B295" s="24" t="s">
        <v>167</v>
      </c>
      <c r="C295" s="250"/>
      <c r="D295" s="456" t="s">
        <v>149</v>
      </c>
      <c r="E295" s="456" t="s">
        <v>168</v>
      </c>
      <c r="F295" s="253" t="s">
        <v>83</v>
      </c>
      <c r="G295" s="251" t="s">
        <v>149</v>
      </c>
      <c r="H295" s="456" t="s">
        <v>168</v>
      </c>
      <c r="I295" s="253" t="s">
        <v>83</v>
      </c>
      <c r="J295" s="251" t="s">
        <v>149</v>
      </c>
      <c r="K295" s="456" t="s">
        <v>168</v>
      </c>
      <c r="L295" s="253" t="s">
        <v>83</v>
      </c>
      <c r="M295" s="251" t="s">
        <v>148</v>
      </c>
      <c r="N295" s="253" t="s">
        <v>2443</v>
      </c>
      <c r="O295" s="456" t="s">
        <v>149</v>
      </c>
      <c r="P295" s="456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">
      <c r="A296" t="str">
        <f t="shared" si="49"/>
        <v>PiècesPièces Ro Clients</v>
      </c>
      <c r="B296" s="24" t="s">
        <v>167</v>
      </c>
      <c r="C296" s="250" t="s">
        <v>169</v>
      </c>
      <c r="D296" s="37">
        <v>207352.58304994123</v>
      </c>
      <c r="E296" s="452">
        <f>IF(D296=0,0,F296/D296)</f>
        <v>0.40200000000000002</v>
      </c>
      <c r="F296" s="196">
        <v>83355.73838607638</v>
      </c>
      <c r="G296" s="37">
        <v>0</v>
      </c>
      <c r="H296" s="452">
        <f>IF(G296=0,0,I296/G296)</f>
        <v>0</v>
      </c>
      <c r="I296" s="196">
        <v>0</v>
      </c>
      <c r="J296" s="965">
        <v>271731.04000000004</v>
      </c>
      <c r="K296" s="452">
        <f>IF(J296=0,0,L296/J296)</f>
        <v>0.36710093922284326</v>
      </c>
      <c r="L296" s="179">
        <v>99752.72</v>
      </c>
      <c r="M296" s="292">
        <f t="shared" ref="M296:M302" si="50">(+J296-D296)/D296</f>
        <v>0.31047820096146644</v>
      </c>
      <c r="N296" s="224">
        <f t="shared" ref="N296:N305" si="51">L296-F296</f>
        <v>16396.981613923621</v>
      </c>
      <c r="O296" s="965">
        <v>190491.29999999981</v>
      </c>
      <c r="P296" s="452">
        <f>IF(O296=0,0,Q296/O296)</f>
        <v>0.40094949218153147</v>
      </c>
      <c r="Q296" s="179">
        <v>76377.389999999694</v>
      </c>
      <c r="R296" s="292">
        <f>IF(O296=0,0,(J296-O296)/O296)</f>
        <v>0.42647480488610401</v>
      </c>
      <c r="S296" s="196">
        <f t="shared" ref="S296:S301" si="52">L296-Q296</f>
        <v>23375.330000000307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">
      <c r="A297" t="str">
        <f t="shared" si="49"/>
        <v>PiècesPièces Ro Carrosserie</v>
      </c>
      <c r="B297" s="24" t="s">
        <v>167</v>
      </c>
      <c r="C297" s="250" t="s">
        <v>170</v>
      </c>
      <c r="D297" s="37">
        <v>0</v>
      </c>
      <c r="E297" s="452">
        <f t="shared" ref="E297:E304" si="53">IF(D297=0,0,F297/D297)</f>
        <v>0</v>
      </c>
      <c r="F297" s="196">
        <v>0</v>
      </c>
      <c r="G297" s="37">
        <v>0</v>
      </c>
      <c r="H297" s="452">
        <f t="shared" ref="H297:H304" si="54">IF(G297=0,0,I297/G297)</f>
        <v>0</v>
      </c>
      <c r="I297" s="196">
        <v>0</v>
      </c>
      <c r="J297" s="965">
        <v>0</v>
      </c>
      <c r="K297" s="452">
        <f t="shared" ref="K297:K304" si="55">IF(J297=0,0,L297/J297)</f>
        <v>0</v>
      </c>
      <c r="L297" s="179">
        <v>0</v>
      </c>
      <c r="M297" s="292" t="e">
        <f t="shared" si="50"/>
        <v>#DIV/0!</v>
      </c>
      <c r="N297" s="224">
        <f t="shared" si="51"/>
        <v>0</v>
      </c>
      <c r="O297" s="965">
        <v>5327.3099999999995</v>
      </c>
      <c r="P297" s="452">
        <f t="shared" ref="P297:P304" si="56">IF(O297=0,0,Q297/O297)</f>
        <v>0.28271679327840865</v>
      </c>
      <c r="Q297" s="179">
        <v>1506.119999999999</v>
      </c>
      <c r="R297" s="292">
        <f t="shared" ref="R297:R301" si="57">IF(O297=0,0,(J297-O297)/O297)</f>
        <v>-1</v>
      </c>
      <c r="S297" s="196">
        <f t="shared" si="52"/>
        <v>-1506.119999999999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">
      <c r="A298" t="str">
        <f t="shared" si="49"/>
        <v>PiècesP/A Garantie</v>
      </c>
      <c r="B298" s="24" t="s">
        <v>167</v>
      </c>
      <c r="C298" s="250" t="s">
        <v>171</v>
      </c>
      <c r="D298" s="37">
        <v>171358.82147512108</v>
      </c>
      <c r="E298" s="452">
        <f t="shared" si="53"/>
        <v>0.27700000000000002</v>
      </c>
      <c r="F298" s="196">
        <v>47466.393548608539</v>
      </c>
      <c r="G298" s="37">
        <v>0</v>
      </c>
      <c r="H298" s="452">
        <f t="shared" si="54"/>
        <v>0</v>
      </c>
      <c r="I298" s="196">
        <v>0</v>
      </c>
      <c r="J298" s="965">
        <v>183228</v>
      </c>
      <c r="K298" s="452">
        <f t="shared" si="55"/>
        <v>0.28783068090029906</v>
      </c>
      <c r="L298" s="179">
        <v>52738.639999999992</v>
      </c>
      <c r="M298" s="292">
        <f t="shared" si="50"/>
        <v>6.9265056929690455E-2</v>
      </c>
      <c r="N298" s="224">
        <f t="shared" si="51"/>
        <v>5272.2464513914529</v>
      </c>
      <c r="O298" s="965">
        <v>206403.41</v>
      </c>
      <c r="P298" s="452">
        <f t="shared" si="56"/>
        <v>0.27078283251231167</v>
      </c>
      <c r="Q298" s="179">
        <v>55890.5</v>
      </c>
      <c r="R298" s="292">
        <f t="shared" si="57"/>
        <v>-0.11228210812989961</v>
      </c>
      <c r="S298" s="196">
        <f t="shared" si="52"/>
        <v>-3151.8600000000079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">
      <c r="A299" t="str">
        <f t="shared" si="49"/>
        <v>PiècesVentes Internes</v>
      </c>
      <c r="B299" s="24" t="s">
        <v>167</v>
      </c>
      <c r="C299" s="250" t="s">
        <v>172</v>
      </c>
      <c r="D299" s="37">
        <v>111600</v>
      </c>
      <c r="E299" s="452">
        <f t="shared" si="53"/>
        <v>0.33800000000000002</v>
      </c>
      <c r="F299" s="196">
        <v>37720.800000000003</v>
      </c>
      <c r="G299" s="37">
        <v>0</v>
      </c>
      <c r="H299" s="452">
        <f t="shared" si="54"/>
        <v>0</v>
      </c>
      <c r="I299" s="196">
        <v>0</v>
      </c>
      <c r="J299" s="965">
        <v>67898.92</v>
      </c>
      <c r="K299" s="452">
        <f t="shared" si="55"/>
        <v>0.27508935340945045</v>
      </c>
      <c r="L299" s="179">
        <v>18678.270000000004</v>
      </c>
      <c r="M299" s="292">
        <f t="shared" si="50"/>
        <v>-0.39158673835125452</v>
      </c>
      <c r="N299" s="224">
        <f t="shared" si="51"/>
        <v>-19042.53</v>
      </c>
      <c r="O299" s="965">
        <v>85368.41</v>
      </c>
      <c r="P299" s="452">
        <f t="shared" si="56"/>
        <v>0.32368964116820248</v>
      </c>
      <c r="Q299" s="179">
        <v>27632.869999999988</v>
      </c>
      <c r="R299" s="292">
        <f t="shared" si="57"/>
        <v>-0.20463646915761938</v>
      </c>
      <c r="S299" s="196">
        <f t="shared" si="52"/>
        <v>-8954.599999999984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">
      <c r="A300" t="str">
        <f t="shared" si="49"/>
        <v>PiècesVentes Détails</v>
      </c>
      <c r="B300" s="24" t="s">
        <v>167</v>
      </c>
      <c r="C300" s="250" t="s">
        <v>173</v>
      </c>
      <c r="D300" s="37">
        <v>57354.818607990426</v>
      </c>
      <c r="E300" s="452">
        <f t="shared" si="53"/>
        <v>0.33099999999999996</v>
      </c>
      <c r="F300" s="196">
        <v>18984.444959244829</v>
      </c>
      <c r="G300" s="37">
        <v>0</v>
      </c>
      <c r="H300" s="452">
        <f t="shared" si="54"/>
        <v>0</v>
      </c>
      <c r="I300" s="196">
        <v>0</v>
      </c>
      <c r="J300" s="965">
        <v>80677.19</v>
      </c>
      <c r="K300" s="452">
        <f t="shared" si="55"/>
        <v>0.35946219743151692</v>
      </c>
      <c r="L300" s="179">
        <v>29000.400000000005</v>
      </c>
      <c r="M300" s="292">
        <f t="shared" si="50"/>
        <v>0.40663316453694448</v>
      </c>
      <c r="N300" s="224">
        <f t="shared" si="51"/>
        <v>10015.955040755176</v>
      </c>
      <c r="O300" s="965">
        <v>57151.54</v>
      </c>
      <c r="P300" s="452">
        <f t="shared" si="56"/>
        <v>0.31689767239867878</v>
      </c>
      <c r="Q300" s="179">
        <v>18111.189999999988</v>
      </c>
      <c r="R300" s="292">
        <f t="shared" si="57"/>
        <v>0.41163632686013363</v>
      </c>
      <c r="S300" s="196">
        <f t="shared" si="52"/>
        <v>10889.210000000017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">
      <c r="A301" t="str">
        <f t="shared" si="49"/>
        <v>PiècesVentes de Gros</v>
      </c>
      <c r="B301" s="24" t="s">
        <v>167</v>
      </c>
      <c r="C301" s="250" t="s">
        <v>174</v>
      </c>
      <c r="D301" s="37">
        <v>278400</v>
      </c>
      <c r="E301" s="452">
        <f t="shared" si="53"/>
        <v>0.2</v>
      </c>
      <c r="F301" s="196">
        <v>55680</v>
      </c>
      <c r="G301" s="37">
        <v>0</v>
      </c>
      <c r="H301" s="452">
        <f t="shared" si="54"/>
        <v>0</v>
      </c>
      <c r="I301" s="196">
        <v>0</v>
      </c>
      <c r="J301" s="965">
        <v>233963.96000000002</v>
      </c>
      <c r="K301" s="452">
        <f t="shared" si="55"/>
        <v>0.18140191335451838</v>
      </c>
      <c r="L301" s="179">
        <v>42441.510000000009</v>
      </c>
      <c r="M301" s="292">
        <f t="shared" si="50"/>
        <v>-0.15961221264367809</v>
      </c>
      <c r="N301" s="224">
        <f t="shared" si="51"/>
        <v>-13238.489999999991</v>
      </c>
      <c r="O301" s="965">
        <v>213229.32</v>
      </c>
      <c r="P301" s="452">
        <f t="shared" si="56"/>
        <v>0.18042631285416047</v>
      </c>
      <c r="Q301" s="179">
        <v>38472.179999999898</v>
      </c>
      <c r="R301" s="292">
        <f t="shared" si="57"/>
        <v>9.7241036082655108E-2</v>
      </c>
      <c r="S301" s="196">
        <f t="shared" si="52"/>
        <v>3969.3300000001109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" hidden="1">
      <c r="A302" t="str">
        <f t="shared" si="49"/>
        <v>Pièces[...]</v>
      </c>
      <c r="B302" s="24" t="s">
        <v>167</v>
      </c>
      <c r="C302" s="250" t="s">
        <v>42</v>
      </c>
      <c r="D302" s="37">
        <v>0</v>
      </c>
      <c r="E302" s="452">
        <f t="shared" si="53"/>
        <v>0</v>
      </c>
      <c r="F302" s="196">
        <v>0</v>
      </c>
      <c r="G302" s="37">
        <v>0</v>
      </c>
      <c r="H302" s="452">
        <f t="shared" si="54"/>
        <v>0</v>
      </c>
      <c r="I302" s="196">
        <v>0</v>
      </c>
      <c r="J302" s="965">
        <v>0</v>
      </c>
      <c r="K302" s="452">
        <f t="shared" si="55"/>
        <v>0</v>
      </c>
      <c r="L302" s="179">
        <v>0</v>
      </c>
      <c r="M302" s="292" t="e">
        <f t="shared" si="50"/>
        <v>#DIV/0!</v>
      </c>
      <c r="N302" s="224">
        <f t="shared" si="51"/>
        <v>0</v>
      </c>
      <c r="O302" s="965">
        <v>0</v>
      </c>
      <c r="P302" s="452">
        <f t="shared" si="56"/>
        <v>0</v>
      </c>
      <c r="Q302" s="179"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">
      <c r="A303" t="str">
        <f t="shared" si="49"/>
        <v>PiècesEscomptes</v>
      </c>
      <c r="B303" s="24" t="s">
        <v>167</v>
      </c>
      <c r="C303" s="250" t="s">
        <v>175</v>
      </c>
      <c r="D303" s="37">
        <v>0</v>
      </c>
      <c r="E303" s="452">
        <f t="shared" si="53"/>
        <v>0</v>
      </c>
      <c r="F303" s="196">
        <v>30595.045301224174</v>
      </c>
      <c r="G303" s="37">
        <v>0</v>
      </c>
      <c r="H303" s="452">
        <f t="shared" si="54"/>
        <v>0</v>
      </c>
      <c r="I303" s="196">
        <v>0</v>
      </c>
      <c r="J303" s="965">
        <v>0</v>
      </c>
      <c r="K303" s="452">
        <f t="shared" si="55"/>
        <v>0</v>
      </c>
      <c r="L303" s="179">
        <v>19630.2</v>
      </c>
      <c r="M303" s="292"/>
      <c r="N303" s="224">
        <f t="shared" si="51"/>
        <v>-10964.845301224173</v>
      </c>
      <c r="O303" s="965">
        <v>0</v>
      </c>
      <c r="P303" s="452">
        <f t="shared" si="56"/>
        <v>0</v>
      </c>
      <c r="Q303" s="179">
        <v>29649.71</v>
      </c>
      <c r="R303" s="292">
        <f t="shared" ref="R303:R304" si="58">IF(O303=0,0,(J303-O303)/O303)</f>
        <v>0</v>
      </c>
      <c r="S303" s="196">
        <f>L303-Q303</f>
        <v>-10019.509999999998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">
      <c r="A304" t="str">
        <f t="shared" si="49"/>
        <v>PiècesRectif. Inventaire</v>
      </c>
      <c r="B304" s="24" t="s">
        <v>167</v>
      </c>
      <c r="C304" s="293" t="s">
        <v>176</v>
      </c>
      <c r="D304" s="37">
        <v>0</v>
      </c>
      <c r="E304" s="452">
        <f t="shared" si="53"/>
        <v>0</v>
      </c>
      <c r="F304" s="196">
        <v>0</v>
      </c>
      <c r="G304" s="37">
        <v>0</v>
      </c>
      <c r="H304" s="452">
        <f t="shared" si="54"/>
        <v>0</v>
      </c>
      <c r="I304" s="196">
        <v>0</v>
      </c>
      <c r="J304" s="965">
        <v>0</v>
      </c>
      <c r="K304" s="452">
        <f t="shared" si="55"/>
        <v>0</v>
      </c>
      <c r="L304" s="179">
        <v>0</v>
      </c>
      <c r="M304" s="292"/>
      <c r="N304" s="224">
        <f t="shared" si="51"/>
        <v>0</v>
      </c>
      <c r="O304" s="965">
        <v>0</v>
      </c>
      <c r="P304" s="452">
        <f t="shared" si="56"/>
        <v>0</v>
      </c>
      <c r="Q304" s="179">
        <v>0</v>
      </c>
      <c r="R304" s="292">
        <f t="shared" si="58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">
      <c r="A305" t="str">
        <f t="shared" si="49"/>
        <v>PiècesSous-total Pièces</v>
      </c>
      <c r="B305" s="24" t="s">
        <v>167</v>
      </c>
      <c r="C305" s="259" t="s">
        <v>177</v>
      </c>
      <c r="D305" s="195">
        <f>SUM(D296:D304)</f>
        <v>826066.2231330527</v>
      </c>
      <c r="E305" s="294">
        <f>IF(D305&lt;=0,0,F305/D305)</f>
        <v>0.33145335631408956</v>
      </c>
      <c r="F305" s="197">
        <f>SUM(F296:F304)</f>
        <v>273802.42219515395</v>
      </c>
      <c r="G305" s="195">
        <f>SUM(G296:G304)</f>
        <v>0</v>
      </c>
      <c r="H305" s="294">
        <f>IF(G305&lt;=0,0,I305/G305)</f>
        <v>0</v>
      </c>
      <c r="I305" s="197">
        <f>SUM(I296:I304)</f>
        <v>0</v>
      </c>
      <c r="J305" s="195">
        <f>SUM(J296:J304)</f>
        <v>837499.1100000001</v>
      </c>
      <c r="K305" s="294">
        <f>IF(J305&lt;=0,0,L305/J305)</f>
        <v>0.31312479842515889</v>
      </c>
      <c r="L305" s="220">
        <f>SUM(L296:L304)</f>
        <v>262241.74</v>
      </c>
      <c r="M305" s="295">
        <f>(+J305-D305)/D305</f>
        <v>1.3840157782490439E-2</v>
      </c>
      <c r="N305" s="220">
        <f t="shared" si="51"/>
        <v>-11560.68219515396</v>
      </c>
      <c r="O305" s="195">
        <f>SUM(O296:O304)</f>
        <v>757971.2899999998</v>
      </c>
      <c r="P305" s="294">
        <f>IF(O305&lt;=0,0,Q305/O305)</f>
        <v>0.32671416881766013</v>
      </c>
      <c r="Q305" s="220">
        <f>SUM(Q296:Q304)</f>
        <v>247639.95999999956</v>
      </c>
      <c r="R305" s="295">
        <f>IF(O305=0,0,(J305-O305)/O305)</f>
        <v>0.10492194236011276</v>
      </c>
      <c r="S305" s="197">
        <f>L305-Q305</f>
        <v>14601.780000000435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">
      <c r="A306" t="str">
        <f t="shared" si="49"/>
        <v>Pièces</v>
      </c>
      <c r="B306" s="24" t="s">
        <v>167</v>
      </c>
      <c r="C306" s="250"/>
      <c r="D306" s="25"/>
      <c r="E306" s="25"/>
      <c r="F306" s="264"/>
      <c r="G306" s="222"/>
      <c r="H306" s="25"/>
      <c r="I306" s="264"/>
      <c r="J306" s="222"/>
      <c r="K306" s="25"/>
      <c r="L306" s="264"/>
      <c r="M306" s="222"/>
      <c r="N306" s="233">
        <f>N305/F305</f>
        <v>-4.2222717032481295E-2</v>
      </c>
      <c r="O306" s="222"/>
      <c r="P306" s="25"/>
      <c r="Q306" s="264"/>
      <c r="R306" s="222"/>
      <c r="S306" s="261">
        <f>IF(Q305=0,0,S305/Q305)</f>
        <v>5.8963747207843441E-2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">
      <c r="A307" t="str">
        <f t="shared" si="49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">
      <c r="A308" t="str">
        <f t="shared" si="49"/>
        <v>PiècesVentes Pneus</v>
      </c>
      <c r="B308" s="24" t="s">
        <v>167</v>
      </c>
      <c r="C308" s="250" t="s">
        <v>178</v>
      </c>
      <c r="D308" s="37">
        <v>296846.64282492158</v>
      </c>
      <c r="E308" s="452">
        <f>IF(D308=0,0,F308/D308)</f>
        <v>0.25</v>
      </c>
      <c r="F308" s="198">
        <v>74211.660706230396</v>
      </c>
      <c r="G308" s="37">
        <v>0</v>
      </c>
      <c r="H308" s="452">
        <f>IF(G308=0,0,I308/G308)</f>
        <v>0</v>
      </c>
      <c r="I308" s="198">
        <v>0</v>
      </c>
      <c r="J308" s="965">
        <v>220588.83</v>
      </c>
      <c r="K308" s="452">
        <f>IF(J308=0,0,L308/J308)</f>
        <v>0.241278490846522</v>
      </c>
      <c r="L308" s="179">
        <v>53223.34</v>
      </c>
      <c r="M308" s="292">
        <f>(+J308-D308)/D308</f>
        <v>-0.2568929602815081</v>
      </c>
      <c r="N308" s="224">
        <f>L308-F308</f>
        <v>-20988.320706230399</v>
      </c>
      <c r="O308" s="965">
        <v>277695.29000000004</v>
      </c>
      <c r="P308" s="452">
        <f>IF(O308=0,0,Q308/O308)</f>
        <v>0.24171375034844808</v>
      </c>
      <c r="Q308" s="179">
        <v>67122.769999999902</v>
      </c>
      <c r="R308" s="292">
        <f>IF(O308=0,0,(J308-O308)/O308)</f>
        <v>-0.20564432331567467</v>
      </c>
      <c r="S308" s="196">
        <f>L308-Q308</f>
        <v>-13899.429999999906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">
      <c r="A309" t="str">
        <f t="shared" si="49"/>
        <v>PiècesHuiles et Graisse</v>
      </c>
      <c r="B309" s="24" t="s">
        <v>167</v>
      </c>
      <c r="C309" s="293" t="s">
        <v>179</v>
      </c>
      <c r="D309" s="37">
        <v>41604.998105099825</v>
      </c>
      <c r="E309" s="452">
        <f>IF(D309=0,0,F309/D309)</f>
        <v>0.35499999999999998</v>
      </c>
      <c r="F309" s="199">
        <v>14769.774327310437</v>
      </c>
      <c r="G309" s="37">
        <v>0</v>
      </c>
      <c r="H309" s="452">
        <f>IF(G309=0,0,I309/G309)</f>
        <v>0</v>
      </c>
      <c r="I309" s="199">
        <v>0</v>
      </c>
      <c r="J309" s="965">
        <v>46704.020000000004</v>
      </c>
      <c r="K309" s="452">
        <f>IF(J309=0,0,L309/J309)</f>
        <v>0.33821885139651786</v>
      </c>
      <c r="L309" s="179">
        <v>15796.18</v>
      </c>
      <c r="M309" s="292">
        <f>(+J309-D309)/D309</f>
        <v>0.12255791676806146</v>
      </c>
      <c r="N309" s="224">
        <f>L309-F309</f>
        <v>1026.4056726895633</v>
      </c>
      <c r="O309" s="965">
        <v>38688.660000000003</v>
      </c>
      <c r="P309" s="452">
        <f>IF(O309=0,0,Q309/O309)</f>
        <v>0.36306788604205981</v>
      </c>
      <c r="Q309" s="179">
        <v>14046.609999999999</v>
      </c>
      <c r="R309" s="292">
        <f>IF(O309=0,0,(J309-O309)/O309)</f>
        <v>0.20717595285026671</v>
      </c>
      <c r="S309" s="196">
        <f>L309-Q309</f>
        <v>1749.5700000000015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">
      <c r="A310" t="str">
        <f t="shared" si="49"/>
        <v>PiècesSous-total Pièces et Acc.</v>
      </c>
      <c r="B310" s="24" t="s">
        <v>167</v>
      </c>
      <c r="C310" s="259" t="s">
        <v>180</v>
      </c>
      <c r="D310" s="195">
        <f>D305+D308+D309</f>
        <v>1164517.8640630741</v>
      </c>
      <c r="E310" s="294">
        <f>IF(D310&lt;=0,0,F310/D310)</f>
        <v>0.31153138000212355</v>
      </c>
      <c r="F310" s="220">
        <f>F305+F308+F309</f>
        <v>362783.85722869477</v>
      </c>
      <c r="G310" s="221">
        <f>G305+G308+G309</f>
        <v>0</v>
      </c>
      <c r="H310" s="294">
        <f>IF(G310&lt;=0,0,I310/G310)</f>
        <v>0</v>
      </c>
      <c r="I310" s="220">
        <f>I305+I308+I309</f>
        <v>0</v>
      </c>
      <c r="J310" s="221">
        <f>J305+J308+J309</f>
        <v>1104791.9600000002</v>
      </c>
      <c r="K310" s="294">
        <f>IF(J310&lt;=0,0,L310/J310)</f>
        <v>0.29984039710064497</v>
      </c>
      <c r="L310" s="220">
        <f>L305+L308+L309</f>
        <v>331261.25999999995</v>
      </c>
      <c r="M310" s="295">
        <f>(+J310-D310)/D310</f>
        <v>-5.1288096049198061E-2</v>
      </c>
      <c r="N310" s="220">
        <f>L310-F310</f>
        <v>-31522.597228694824</v>
      </c>
      <c r="O310" s="221">
        <f>O305+O308+O309</f>
        <v>1074355.2399999998</v>
      </c>
      <c r="P310" s="294">
        <f>IF(O310&lt;=0,0,Q310/O310)</f>
        <v>0.30605271679039747</v>
      </c>
      <c r="Q310" s="220">
        <f>Q305+Q308+Q309</f>
        <v>328809.33999999944</v>
      </c>
      <c r="R310" s="295">
        <f>IF(O310=0,0,(J310-O310)/O310)</f>
        <v>2.8330219713919247E-2</v>
      </c>
      <c r="S310" s="197">
        <f>L310-Q310</f>
        <v>2451.9200000005076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">
      <c r="A311" t="str">
        <f t="shared" si="49"/>
        <v>Pièces</v>
      </c>
      <c r="B311" s="24" t="s">
        <v>167</v>
      </c>
      <c r="C311" s="250"/>
      <c r="D311" s="25"/>
      <c r="E311" s="25"/>
      <c r="F311" s="264"/>
      <c r="G311" s="222"/>
      <c r="H311" s="25"/>
      <c r="I311" s="264"/>
      <c r="J311" s="222"/>
      <c r="K311" s="25"/>
      <c r="L311" s="264"/>
      <c r="M311" s="222"/>
      <c r="N311" s="233">
        <f>N310/F310</f>
        <v>-8.6890848643310328E-2</v>
      </c>
      <c r="O311" s="222"/>
      <c r="P311" s="25"/>
      <c r="Q311" s="264"/>
      <c r="R311" s="222"/>
      <c r="S311" s="261">
        <f>IF(Q310=0,0,S310/Q310)</f>
        <v>7.4569657905718609E-3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">
      <c r="A312" t="str">
        <f t="shared" si="49"/>
        <v>PiècesPièces recond. MCPA</v>
      </c>
      <c r="B312" s="24" t="s">
        <v>167</v>
      </c>
      <c r="C312" s="250" t="s">
        <v>2972</v>
      </c>
      <c r="D312" s="25">
        <v>0</v>
      </c>
      <c r="E312" s="25">
        <f>IF(D312=0,0,F312/D312)</f>
        <v>0</v>
      </c>
      <c r="F312" s="264">
        <v>0</v>
      </c>
      <c r="G312" s="222">
        <v>0</v>
      </c>
      <c r="H312" s="25">
        <f>IF(G312=0,0,I312/G312)</f>
        <v>0</v>
      </c>
      <c r="I312" s="264">
        <v>0</v>
      </c>
      <c r="J312" s="222">
        <v>0</v>
      </c>
      <c r="K312" s="25">
        <f>IF(J312=0,0,L312/J312)</f>
        <v>0</v>
      </c>
      <c r="L312" s="264">
        <v>0</v>
      </c>
      <c r="M312" s="222"/>
      <c r="N312" s="233"/>
      <c r="O312" s="222">
        <v>0</v>
      </c>
      <c r="P312" s="25">
        <f>IF(O312=0,0,Q312/O312)</f>
        <v>0</v>
      </c>
      <c r="Q312" s="264">
        <v>0</v>
      </c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">
      <c r="A313" t="str">
        <f t="shared" si="49"/>
        <v>PiècesAutostock</v>
      </c>
      <c r="B313" s="24" t="s">
        <v>167</v>
      </c>
      <c r="C313" s="293" t="s">
        <v>181</v>
      </c>
      <c r="D313" s="187">
        <v>0</v>
      </c>
      <c r="E313" s="192">
        <f>IF(D313=0,0,F313/D313)</f>
        <v>0</v>
      </c>
      <c r="F313" s="193">
        <v>0</v>
      </c>
      <c r="G313" s="208">
        <v>0</v>
      </c>
      <c r="H313" s="192">
        <f>IF(G313=0,0,I313/G313)</f>
        <v>0</v>
      </c>
      <c r="I313" s="193">
        <v>0</v>
      </c>
      <c r="J313" s="182">
        <v>0</v>
      </c>
      <c r="K313" s="300">
        <f>IF(J313=0,0,L313/J313)</f>
        <v>0</v>
      </c>
      <c r="L313" s="176">
        <v>0</v>
      </c>
      <c r="M313" s="300">
        <f>IF(F313=0,0,(+L313-F313)/F313)</f>
        <v>0</v>
      </c>
      <c r="N313" s="278">
        <f>L313-F313</f>
        <v>0</v>
      </c>
      <c r="O313" s="182">
        <v>0</v>
      </c>
      <c r="P313" s="300">
        <f>IF(O313=0,0,Q313/O313)</f>
        <v>0</v>
      </c>
      <c r="Q313" s="176"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9"/>
        <v>Pièces</v>
      </c>
      <c r="B314" s="24" t="s">
        <v>167</v>
      </c>
      <c r="C314" s="250"/>
      <c r="D314" s="37"/>
      <c r="E314" s="452"/>
      <c r="F314" s="224"/>
      <c r="G314" s="223"/>
      <c r="H314" s="452"/>
      <c r="I314" s="224"/>
      <c r="J314" s="223"/>
      <c r="K314" s="452"/>
      <c r="L314" s="224"/>
      <c r="M314" s="292"/>
      <c r="N314" s="224"/>
      <c r="O314" s="223"/>
      <c r="P314" s="452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9"/>
        <v>PiècesTotal Dépt. Pièces</v>
      </c>
      <c r="B315" s="24" t="s">
        <v>167</v>
      </c>
      <c r="C315" s="255" t="s">
        <v>182</v>
      </c>
      <c r="D315" s="26">
        <f>D310+D313+D312</f>
        <v>1164517.8640630741</v>
      </c>
      <c r="E315" s="71">
        <f>IF(D315&lt;=0,0,F315/D315)</f>
        <v>0.31153138000212355</v>
      </c>
      <c r="F315" s="28">
        <f>F310+F313+F312</f>
        <v>362783.85722869477</v>
      </c>
      <c r="G315" s="29">
        <f>G310+G313+G312</f>
        <v>0</v>
      </c>
      <c r="H315" s="71">
        <f>IF(G315&lt;=0,0,I315/G315)</f>
        <v>0</v>
      </c>
      <c r="I315" s="28">
        <f>I310+I313+I312</f>
        <v>0</v>
      </c>
      <c r="J315" s="29">
        <f>J310+J313+J312</f>
        <v>1104791.9600000002</v>
      </c>
      <c r="K315" s="71">
        <f>IF(J315&lt;=0,0,L315/J315)</f>
        <v>0.29984039710064497</v>
      </c>
      <c r="L315" s="28">
        <f>L310+L313+L312</f>
        <v>331261.25999999995</v>
      </c>
      <c r="M315" s="72">
        <f>(+J315-D315)/D315</f>
        <v>-5.1288096049198061E-2</v>
      </c>
      <c r="N315" s="73">
        <f>L315-F315</f>
        <v>-31522.597228694824</v>
      </c>
      <c r="O315" s="29">
        <f>O310+O313+O312</f>
        <v>1074355.2399999998</v>
      </c>
      <c r="P315" s="71">
        <f>IF(O315&lt;=0,0,Q315/O315)</f>
        <v>0.30605271679039747</v>
      </c>
      <c r="Q315" s="28">
        <f>Q310+Q313+Q312</f>
        <v>328809.33999999944</v>
      </c>
      <c r="R315" s="72">
        <f>IF(O315=0,0,(J315-O315)/O315)</f>
        <v>2.8330219713919247E-2</v>
      </c>
      <c r="S315" s="256">
        <f>L315-Q315</f>
        <v>2451.9200000005076</v>
      </c>
      <c r="T315" s="25"/>
      <c r="U315" s="25"/>
      <c r="V315" s="1039">
        <f>(L315+L195)/(F195+F315)</f>
        <v>0.87389132858997809</v>
      </c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9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-8.6890848643310328E-2</v>
      </c>
      <c r="O316" s="77"/>
      <c r="P316" s="75"/>
      <c r="Q316" s="76"/>
      <c r="R316" s="78"/>
      <c r="S316" s="258">
        <f>IF(Q315=0,0,S315/Q315)</f>
        <v>7.4569657905718609E-3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9"/>
        <v>Pièces</v>
      </c>
      <c r="B317" s="24" t="s">
        <v>167</v>
      </c>
      <c r="C317" s="259"/>
      <c r="D317" s="45"/>
      <c r="E317" s="993"/>
      <c r="F317" s="229"/>
      <c r="G317" s="227"/>
      <c r="H317" s="993"/>
      <c r="I317" s="229"/>
      <c r="J317" s="227"/>
      <c r="K317" s="993"/>
      <c r="L317" s="229"/>
      <c r="M317" s="222"/>
      <c r="N317" s="233"/>
      <c r="O317" s="227"/>
      <c r="P317" s="993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">
      <c r="A318" t="str">
        <f t="shared" si="49"/>
        <v>PiècesDEPENSES</v>
      </c>
      <c r="B318" s="24" t="s">
        <v>167</v>
      </c>
      <c r="C318" s="262" t="s">
        <v>99</v>
      </c>
      <c r="D318" s="25"/>
      <c r="E318" s="25"/>
      <c r="F318" s="224"/>
      <c r="G318" s="222"/>
      <c r="H318" s="25"/>
      <c r="I318" s="224"/>
      <c r="J318" s="222"/>
      <c r="K318" s="25"/>
      <c r="L318" s="264"/>
      <c r="M318" s="222"/>
      <c r="N318" s="264"/>
      <c r="O318" s="222"/>
      <c r="P318" s="25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">
      <c r="A319" t="str">
        <f t="shared" si="49"/>
        <v>PiècesSalaires cadres</v>
      </c>
      <c r="B319" s="24" t="s">
        <v>167</v>
      </c>
      <c r="C319" s="266" t="s">
        <v>109</v>
      </c>
      <c r="D319" s="25"/>
      <c r="E319" s="25"/>
      <c r="F319" s="965">
        <v>13422.281226053641</v>
      </c>
      <c r="G319" s="222"/>
      <c r="H319" s="25"/>
      <c r="I319" s="965">
        <v>0</v>
      </c>
      <c r="J319" s="222"/>
      <c r="K319" s="25"/>
      <c r="L319" s="179">
        <v>7745.32</v>
      </c>
      <c r="M319" s="222"/>
      <c r="N319" s="224">
        <f t="shared" ref="N319:N329" si="59">L319-F319</f>
        <v>-5676.9612260536414</v>
      </c>
      <c r="O319" s="222"/>
      <c r="P319" s="25"/>
      <c r="Q319" s="179">
        <v>10489.51</v>
      </c>
      <c r="R319" s="222"/>
      <c r="S319" s="196">
        <f t="shared" ref="S319:S322" si="60">L319-Q319</f>
        <v>-2744.1900000000005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">
      <c r="A320" t="str">
        <f t="shared" si="49"/>
        <v>PiècesSalaires commis</v>
      </c>
      <c r="B320" s="24" t="s">
        <v>167</v>
      </c>
      <c r="C320" s="267" t="s">
        <v>110</v>
      </c>
      <c r="D320" s="36"/>
      <c r="E320" s="25"/>
      <c r="F320" s="176">
        <v>7159.1313793103445</v>
      </c>
      <c r="G320" s="268"/>
      <c r="H320" s="25"/>
      <c r="I320" s="176">
        <v>0</v>
      </c>
      <c r="J320" s="222"/>
      <c r="K320" s="25"/>
      <c r="L320" s="179">
        <v>5837.77</v>
      </c>
      <c r="M320" s="222"/>
      <c r="N320" s="224">
        <f t="shared" si="59"/>
        <v>-1321.3613793103441</v>
      </c>
      <c r="O320" s="222"/>
      <c r="P320" s="25"/>
      <c r="Q320" s="179">
        <v>8740.14</v>
      </c>
      <c r="R320" s="222"/>
      <c r="S320" s="196">
        <f t="shared" si="60"/>
        <v>-2902.369999999999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">
      <c r="A321" t="str">
        <f t="shared" si="49"/>
        <v>PiècesSalaires autres</v>
      </c>
      <c r="B321" s="24" t="s">
        <v>167</v>
      </c>
      <c r="C321" s="266" t="s">
        <v>111</v>
      </c>
      <c r="D321" s="269"/>
      <c r="E321" s="270"/>
      <c r="F321" s="965">
        <v>56480.032495921958</v>
      </c>
      <c r="G321" s="271"/>
      <c r="H321" s="270"/>
      <c r="I321" s="965">
        <v>0</v>
      </c>
      <c r="J321" s="272"/>
      <c r="K321" s="270"/>
      <c r="L321" s="180">
        <v>50677.440000000002</v>
      </c>
      <c r="M321" s="272"/>
      <c r="N321" s="273">
        <f t="shared" si="59"/>
        <v>-5802.5924959219556</v>
      </c>
      <c r="O321" s="272"/>
      <c r="P321" s="270"/>
      <c r="Q321" s="180">
        <v>40735.850000000006</v>
      </c>
      <c r="R321" s="272"/>
      <c r="S321" s="198">
        <f t="shared" si="60"/>
        <v>9941.5899999999965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" hidden="1">
      <c r="A322" t="str">
        <f t="shared" si="49"/>
        <v>PiècesSalaires spécialistes</v>
      </c>
      <c r="B322" s="24" t="s">
        <v>167</v>
      </c>
      <c r="C322" s="266" t="s">
        <v>112</v>
      </c>
      <c r="D322" s="36"/>
      <c r="E322" s="25"/>
      <c r="F322" s="965">
        <v>0</v>
      </c>
      <c r="G322" s="268"/>
      <c r="H322" s="25"/>
      <c r="I322" s="965">
        <v>0</v>
      </c>
      <c r="J322" s="222"/>
      <c r="K322" s="25"/>
      <c r="L322" s="179">
        <v>0</v>
      </c>
      <c r="M322" s="222"/>
      <c r="N322" s="224">
        <f t="shared" si="59"/>
        <v>0</v>
      </c>
      <c r="O322" s="222"/>
      <c r="P322" s="25"/>
      <c r="Q322" s="179">
        <v>0</v>
      </c>
      <c r="R322" s="222"/>
      <c r="S322" s="196">
        <f t="shared" si="6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" hidden="1">
      <c r="A323" t="str">
        <f t="shared" si="49"/>
        <v>Pièces[...]</v>
      </c>
      <c r="B323" s="24" t="s">
        <v>167</v>
      </c>
      <c r="C323" s="543" t="s">
        <v>42</v>
      </c>
      <c r="D323" s="36"/>
      <c r="E323" s="25"/>
      <c r="F323" s="965">
        <v>0</v>
      </c>
      <c r="G323" s="268"/>
      <c r="H323" s="25"/>
      <c r="I323" s="965">
        <v>0</v>
      </c>
      <c r="J323" s="222"/>
      <c r="K323" s="25"/>
      <c r="L323" s="179">
        <v>0</v>
      </c>
      <c r="M323" s="222"/>
      <c r="N323" s="224">
        <f t="shared" si="59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" hidden="1">
      <c r="A324" t="str">
        <f t="shared" si="49"/>
        <v>Pièces[...]</v>
      </c>
      <c r="B324" s="24" t="s">
        <v>167</v>
      </c>
      <c r="C324" s="543" t="s">
        <v>42</v>
      </c>
      <c r="D324" s="36"/>
      <c r="E324" s="25"/>
      <c r="F324" s="965">
        <v>0</v>
      </c>
      <c r="G324" s="268"/>
      <c r="H324" s="25"/>
      <c r="I324" s="965">
        <v>0</v>
      </c>
      <c r="J324" s="222"/>
      <c r="K324" s="25"/>
      <c r="L324" s="179">
        <v>0</v>
      </c>
      <c r="M324" s="222"/>
      <c r="N324" s="224">
        <f t="shared" si="59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" hidden="1">
      <c r="A325" t="str">
        <f t="shared" si="49"/>
        <v>Pièces[...]</v>
      </c>
      <c r="B325" s="24" t="s">
        <v>167</v>
      </c>
      <c r="C325" s="543" t="s">
        <v>42</v>
      </c>
      <c r="D325" s="36"/>
      <c r="E325" s="25"/>
      <c r="F325" s="965">
        <v>0</v>
      </c>
      <c r="G325" s="268"/>
      <c r="H325" s="25"/>
      <c r="I325" s="965">
        <v>0</v>
      </c>
      <c r="J325" s="222"/>
      <c r="K325" s="25"/>
      <c r="L325" s="179">
        <v>0</v>
      </c>
      <c r="M325" s="222"/>
      <c r="N325" s="224">
        <f t="shared" si="59"/>
        <v>0</v>
      </c>
      <c r="O325" s="222"/>
      <c r="P325" s="25"/>
      <c r="Q325" s="179"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">
      <c r="A326" t="str">
        <f t="shared" si="49"/>
        <v>PiècesSalaires en absences</v>
      </c>
      <c r="B326" s="24" t="s">
        <v>167</v>
      </c>
      <c r="C326" s="267" t="s">
        <v>113</v>
      </c>
      <c r="D326" s="36"/>
      <c r="E326" s="25"/>
      <c r="F326" s="176">
        <v>11554.781086615927</v>
      </c>
      <c r="G326" s="268"/>
      <c r="H326" s="25"/>
      <c r="I326" s="176">
        <v>0</v>
      </c>
      <c r="J326" s="222"/>
      <c r="K326" s="25"/>
      <c r="L326" s="179">
        <v>8921.51</v>
      </c>
      <c r="M326" s="222"/>
      <c r="N326" s="224">
        <f t="shared" si="59"/>
        <v>-2633.2710866159268</v>
      </c>
      <c r="O326" s="222"/>
      <c r="P326" s="25"/>
      <c r="Q326" s="179">
        <v>7873.61</v>
      </c>
      <c r="R326" s="222"/>
      <c r="S326" s="196">
        <f t="shared" ref="S326:S329" si="61">L326-Q326</f>
        <v>1047.9000000000005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">
      <c r="A327" t="str">
        <f t="shared" si="49"/>
        <v>PiècesDéduction à la source</v>
      </c>
      <c r="B327" s="24" t="s">
        <v>167</v>
      </c>
      <c r="C327" s="266" t="s">
        <v>114</v>
      </c>
      <c r="D327" s="269"/>
      <c r="E327" s="270"/>
      <c r="F327" s="965">
        <v>11755.519226604638</v>
      </c>
      <c r="G327" s="271"/>
      <c r="H327" s="270"/>
      <c r="I327" s="965">
        <v>0</v>
      </c>
      <c r="J327" s="272"/>
      <c r="K327" s="270"/>
      <c r="L327" s="180">
        <v>10019.16</v>
      </c>
      <c r="M327" s="272"/>
      <c r="N327" s="273">
        <f t="shared" si="59"/>
        <v>-1736.359226604638</v>
      </c>
      <c r="O327" s="272"/>
      <c r="P327" s="270"/>
      <c r="Q327" s="180">
        <v>10458.450000000001</v>
      </c>
      <c r="R327" s="272"/>
      <c r="S327" s="198">
        <f t="shared" si="61"/>
        <v>-439.29000000000087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">
      <c r="A328" t="str">
        <f t="shared" si="49"/>
        <v>PiècesBénéfices marginaux</v>
      </c>
      <c r="B328" s="24" t="s">
        <v>167</v>
      </c>
      <c r="C328" s="266" t="s">
        <v>115</v>
      </c>
      <c r="D328" s="36"/>
      <c r="E328" s="25"/>
      <c r="F328" s="965">
        <v>8533.6361793129963</v>
      </c>
      <c r="G328" s="268"/>
      <c r="H328" s="25"/>
      <c r="I328" s="965">
        <v>0</v>
      </c>
      <c r="J328" s="222"/>
      <c r="K328" s="25"/>
      <c r="L328" s="179">
        <v>7697.34</v>
      </c>
      <c r="M328" s="222"/>
      <c r="N328" s="224">
        <f t="shared" si="59"/>
        <v>-836.29617931299617</v>
      </c>
      <c r="O328" s="222"/>
      <c r="P328" s="25"/>
      <c r="Q328" s="179">
        <v>5176.24</v>
      </c>
      <c r="R328" s="222"/>
      <c r="S328" s="196">
        <f t="shared" si="61"/>
        <v>2521.1000000000004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">
      <c r="A329" t="str">
        <f t="shared" si="49"/>
        <v>PiècesCsst</v>
      </c>
      <c r="B329" s="24" t="s">
        <v>167</v>
      </c>
      <c r="C329" s="266" t="s">
        <v>116</v>
      </c>
      <c r="D329" s="36"/>
      <c r="E329" s="25"/>
      <c r="F329" s="965">
        <v>2133.4090448282491</v>
      </c>
      <c r="G329" s="268"/>
      <c r="H329" s="25"/>
      <c r="I329" s="965">
        <v>0</v>
      </c>
      <c r="J329" s="222"/>
      <c r="K329" s="25"/>
      <c r="L329" s="179">
        <v>1541.04</v>
      </c>
      <c r="M329" s="722"/>
      <c r="N329" s="193">
        <f t="shared" si="59"/>
        <v>-592.36904482824912</v>
      </c>
      <c r="O329" s="222"/>
      <c r="P329" s="25"/>
      <c r="Q329" s="179">
        <v>1812.7800000000002</v>
      </c>
      <c r="R329" s="222"/>
      <c r="S329" s="196">
        <f t="shared" si="61"/>
        <v>-271.74000000000024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" hidden="1">
      <c r="A330" t="str">
        <f t="shared" si="49"/>
        <v>Pièces[...]</v>
      </c>
      <c r="B330" s="24" t="s">
        <v>167</v>
      </c>
      <c r="C330" s="250" t="s">
        <v>42</v>
      </c>
      <c r="D330" s="274"/>
      <c r="E330" s="275"/>
      <c r="F330" s="965">
        <v>0</v>
      </c>
      <c r="G330" s="276"/>
      <c r="H330" s="275"/>
      <c r="I330" s="965">
        <v>0</v>
      </c>
      <c r="J330" s="277"/>
      <c r="K330" s="275"/>
      <c r="L330" s="179">
        <v>0</v>
      </c>
      <c r="M330" s="277"/>
      <c r="N330" s="278">
        <f>L330-F330</f>
        <v>0</v>
      </c>
      <c r="O330" s="277"/>
      <c r="P330" s="275"/>
      <c r="Q330" s="179">
        <v>0</v>
      </c>
      <c r="R330" s="277"/>
      <c r="S330" s="199">
        <f>L330-Q330</f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">
      <c r="A331" t="str">
        <f t="shared" si="49"/>
        <v>PiècesTOTAL PERSONNEL</v>
      </c>
      <c r="B331" s="24" t="s">
        <v>167</v>
      </c>
      <c r="C331" s="279" t="s">
        <v>117</v>
      </c>
      <c r="D331" s="39" t="s">
        <v>108</v>
      </c>
      <c r="E331" s="40" t="e">
        <f>F331/F$314</f>
        <v>#DIV/0!</v>
      </c>
      <c r="F331" s="41">
        <f>+SUM(F319:F330)</f>
        <v>111038.79063864774</v>
      </c>
      <c r="G331" s="42" t="s">
        <v>108</v>
      </c>
      <c r="H331" s="40" t="e">
        <f>I331/I$314</f>
        <v>#DIV/0!</v>
      </c>
      <c r="I331" s="41">
        <f>+SUM(I319:I330)</f>
        <v>0</v>
      </c>
      <c r="J331" s="42" t="s">
        <v>108</v>
      </c>
      <c r="K331" s="40" t="e">
        <f>L331/L$314</f>
        <v>#DIV/0!</v>
      </c>
      <c r="L331" s="41">
        <f>+SUM(L319:L330)</f>
        <v>92439.579999999987</v>
      </c>
      <c r="M331" s="43"/>
      <c r="N331" s="46">
        <f t="shared" ref="N331:N349" si="62">L331-F331</f>
        <v>-18599.210638647754</v>
      </c>
      <c r="O331" s="42" t="s">
        <v>108</v>
      </c>
      <c r="P331" s="40" t="e">
        <f>Q331/Q$314</f>
        <v>#DIV/0!</v>
      </c>
      <c r="Q331" s="41">
        <f>+SUM(Q319:Q330)</f>
        <v>85286.58</v>
      </c>
      <c r="R331" s="43"/>
      <c r="S331" s="280">
        <f t="shared" ref="S331:S337" si="63">L331-Q331</f>
        <v>7152.9999999999854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">
      <c r="A332" t="str">
        <f t="shared" si="49"/>
        <v>PiècesPublicité 2</v>
      </c>
      <c r="B332" s="24" t="s">
        <v>167</v>
      </c>
      <c r="C332" s="281" t="s">
        <v>118</v>
      </c>
      <c r="D332" s="36"/>
      <c r="E332" s="25"/>
      <c r="F332" s="965">
        <v>4134.9522258056077</v>
      </c>
      <c r="G332" s="268"/>
      <c r="H332" s="25"/>
      <c r="I332" s="965">
        <v>0</v>
      </c>
      <c r="J332" s="222"/>
      <c r="K332" s="25"/>
      <c r="L332" s="179">
        <v>6009.4500000000007</v>
      </c>
      <c r="M332" s="222"/>
      <c r="N332" s="224">
        <f t="shared" si="62"/>
        <v>1874.4977741943931</v>
      </c>
      <c r="O332" s="222"/>
      <c r="P332" s="25"/>
      <c r="Q332" s="179">
        <v>10188.32</v>
      </c>
      <c r="R332" s="222"/>
      <c r="S332" s="196">
        <f t="shared" si="63"/>
        <v>-4178.869999999999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">
      <c r="A333" t="str">
        <f t="shared" si="49"/>
        <v>PiècesService gratuit 2</v>
      </c>
      <c r="B333" s="24" t="s">
        <v>167</v>
      </c>
      <c r="C333" s="266" t="s">
        <v>119</v>
      </c>
      <c r="D333" s="36"/>
      <c r="E333" s="25"/>
      <c r="F333" s="965">
        <v>1875</v>
      </c>
      <c r="G333" s="268"/>
      <c r="H333" s="25"/>
      <c r="I333" s="965">
        <v>0</v>
      </c>
      <c r="J333" s="222"/>
      <c r="K333" s="25"/>
      <c r="L333" s="965">
        <v>77.38</v>
      </c>
      <c r="M333" s="222"/>
      <c r="N333" s="224">
        <f t="shared" si="62"/>
        <v>-1797.62</v>
      </c>
      <c r="O333" s="222"/>
      <c r="P333" s="25"/>
      <c r="Q333" s="179">
        <v>939.04999999999905</v>
      </c>
      <c r="R333" s="222"/>
      <c r="S333" s="196">
        <f t="shared" si="63"/>
        <v>-861.66999999999905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">
      <c r="A334" t="str">
        <f t="shared" si="49"/>
        <v>PiècesFrais véhicules de cie</v>
      </c>
      <c r="B334" s="24" t="s">
        <v>167</v>
      </c>
      <c r="C334" s="267" t="s">
        <v>120</v>
      </c>
      <c r="D334" s="274"/>
      <c r="E334" s="275"/>
      <c r="F334" s="176">
        <v>14471</v>
      </c>
      <c r="G334" s="276"/>
      <c r="H334" s="275"/>
      <c r="I334" s="176">
        <v>0</v>
      </c>
      <c r="J334" s="277"/>
      <c r="K334" s="275"/>
      <c r="L334" s="176">
        <v>14394.22</v>
      </c>
      <c r="M334" s="277"/>
      <c r="N334" s="278">
        <f t="shared" si="62"/>
        <v>-76.780000000000655</v>
      </c>
      <c r="O334" s="277"/>
      <c r="P334" s="275"/>
      <c r="Q334" s="179">
        <v>16684.57999999998</v>
      </c>
      <c r="R334" s="277"/>
      <c r="S334" s="199">
        <f t="shared" si="63"/>
        <v>-2290.3599999999806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">
      <c r="A335" t="str">
        <f t="shared" si="49"/>
        <v>PiècesInformatique</v>
      </c>
      <c r="B335" s="24" t="s">
        <v>167</v>
      </c>
      <c r="C335" s="266" t="s">
        <v>121</v>
      </c>
      <c r="D335" s="36"/>
      <c r="E335" s="25"/>
      <c r="F335" s="965">
        <v>7954.4260000000013</v>
      </c>
      <c r="G335" s="268"/>
      <c r="H335" s="25"/>
      <c r="I335" s="965">
        <v>0</v>
      </c>
      <c r="J335" s="222"/>
      <c r="K335" s="25"/>
      <c r="L335" s="180">
        <v>8391.4699999999993</v>
      </c>
      <c r="M335" s="222"/>
      <c r="N335" s="224">
        <f t="shared" si="62"/>
        <v>437.04399999999805</v>
      </c>
      <c r="O335" s="222"/>
      <c r="P335" s="25"/>
      <c r="Q335" s="180">
        <v>6019.38</v>
      </c>
      <c r="R335" s="222"/>
      <c r="S335" s="196">
        <f t="shared" si="63"/>
        <v>2372.0899999999992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">
      <c r="A336" t="str">
        <f t="shared" si="49"/>
        <v>PiècesFrais de déplacement</v>
      </c>
      <c r="B336" s="24" t="s">
        <v>167</v>
      </c>
      <c r="C336" s="266" t="s">
        <v>122</v>
      </c>
      <c r="D336" s="36"/>
      <c r="E336" s="25"/>
      <c r="F336" s="965">
        <v>2995</v>
      </c>
      <c r="G336" s="268"/>
      <c r="H336" s="25"/>
      <c r="I336" s="965">
        <v>0</v>
      </c>
      <c r="J336" s="222"/>
      <c r="K336" s="25"/>
      <c r="L336" s="179">
        <v>4029.16</v>
      </c>
      <c r="M336" s="222"/>
      <c r="N336" s="224">
        <f t="shared" si="62"/>
        <v>1034.1599999999999</v>
      </c>
      <c r="O336" s="222"/>
      <c r="P336" s="25"/>
      <c r="Q336" s="179">
        <v>905.5</v>
      </c>
      <c r="R336" s="222"/>
      <c r="S336" s="196">
        <f t="shared" si="63"/>
        <v>3123.66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">
      <c r="A337" t="str">
        <f t="shared" si="49"/>
        <v>PiècesServices extérieurs</v>
      </c>
      <c r="B337" s="24" t="s">
        <v>167</v>
      </c>
      <c r="C337" s="580" t="s">
        <v>123</v>
      </c>
      <c r="D337" s="274"/>
      <c r="E337" s="275"/>
      <c r="F337" s="176">
        <v>3955.7280000000001</v>
      </c>
      <c r="G337" s="276"/>
      <c r="H337" s="275"/>
      <c r="I337" s="176">
        <v>0</v>
      </c>
      <c r="J337" s="277"/>
      <c r="K337" s="275"/>
      <c r="L337" s="349">
        <v>5050.0200000000004</v>
      </c>
      <c r="M337" s="277"/>
      <c r="N337" s="278">
        <f t="shared" si="62"/>
        <v>1094.2920000000004</v>
      </c>
      <c r="O337" s="277"/>
      <c r="P337" s="275"/>
      <c r="Q337" s="349">
        <v>6839.3599999999897</v>
      </c>
      <c r="R337" s="277"/>
      <c r="S337" s="199">
        <f t="shared" si="63"/>
        <v>-1789.3399999999892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" hidden="1">
      <c r="A338" t="str">
        <f t="shared" si="49"/>
        <v>PiècesFournitures d'atelier</v>
      </c>
      <c r="B338" s="24" t="s">
        <v>167</v>
      </c>
      <c r="C338" s="266" t="s">
        <v>350</v>
      </c>
      <c r="D338" s="36"/>
      <c r="E338" s="25"/>
      <c r="F338" s="965">
        <v>0</v>
      </c>
      <c r="G338" s="268"/>
      <c r="H338" s="25"/>
      <c r="I338" s="965">
        <v>0</v>
      </c>
      <c r="J338" s="222"/>
      <c r="K338" s="25"/>
      <c r="L338" s="179">
        <v>0</v>
      </c>
      <c r="M338" s="222"/>
      <c r="N338" s="224">
        <f t="shared" si="62"/>
        <v>0</v>
      </c>
      <c r="O338" s="222"/>
      <c r="P338" s="25"/>
      <c r="Q338" s="179"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">
      <c r="A339" t="str">
        <f t="shared" si="49"/>
        <v>PiècesFournitures autres</v>
      </c>
      <c r="B339" s="24" t="s">
        <v>167</v>
      </c>
      <c r="C339" s="266" t="s">
        <v>124</v>
      </c>
      <c r="D339" s="36"/>
      <c r="E339" s="25"/>
      <c r="F339" s="965">
        <v>45</v>
      </c>
      <c r="G339" s="268"/>
      <c r="H339" s="25"/>
      <c r="I339" s="965">
        <v>0</v>
      </c>
      <c r="J339" s="222"/>
      <c r="K339" s="25"/>
      <c r="L339" s="179">
        <v>245.6</v>
      </c>
      <c r="M339" s="222"/>
      <c r="N339" s="224">
        <f t="shared" si="62"/>
        <v>200.6</v>
      </c>
      <c r="O339" s="222"/>
      <c r="P339" s="25"/>
      <c r="Q339" s="179">
        <v>61.61</v>
      </c>
      <c r="R339" s="222"/>
      <c r="S339" s="196">
        <f t="shared" ref="S339:S344" si="64">L339-Q339</f>
        <v>183.99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">
      <c r="A340" t="str">
        <f t="shared" si="49"/>
        <v>PiècesUniformes</v>
      </c>
      <c r="B340" s="24" t="s">
        <v>167</v>
      </c>
      <c r="C340" s="266" t="s">
        <v>125</v>
      </c>
      <c r="D340" s="36"/>
      <c r="E340" s="25"/>
      <c r="F340" s="965">
        <v>112.5</v>
      </c>
      <c r="G340" s="268"/>
      <c r="H340" s="25"/>
      <c r="I340" s="965">
        <v>0</v>
      </c>
      <c r="J340" s="222"/>
      <c r="K340" s="25"/>
      <c r="L340" s="179">
        <v>147.88</v>
      </c>
      <c r="M340" s="222"/>
      <c r="N340" s="224">
        <f t="shared" si="62"/>
        <v>35.379999999999995</v>
      </c>
      <c r="O340" s="222"/>
      <c r="P340" s="25"/>
      <c r="Q340" s="179">
        <v>132</v>
      </c>
      <c r="R340" s="222"/>
      <c r="S340" s="196">
        <f t="shared" si="64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">
      <c r="A341" t="str">
        <f t="shared" si="49"/>
        <v>PiècesPapeterie</v>
      </c>
      <c r="B341" s="24" t="s">
        <v>167</v>
      </c>
      <c r="C341" s="266" t="s">
        <v>126</v>
      </c>
      <c r="D341" s="36"/>
      <c r="E341" s="25"/>
      <c r="F341" s="965">
        <v>870</v>
      </c>
      <c r="G341" s="268"/>
      <c r="H341" s="25"/>
      <c r="I341" s="965">
        <v>0</v>
      </c>
      <c r="J341" s="222"/>
      <c r="K341" s="25"/>
      <c r="L341" s="472">
        <v>725.85</v>
      </c>
      <c r="M341" s="222"/>
      <c r="N341" s="224">
        <f t="shared" si="62"/>
        <v>-144.14999999999998</v>
      </c>
      <c r="O341" s="222"/>
      <c r="P341" s="25"/>
      <c r="Q341" s="472">
        <v>1077.02</v>
      </c>
      <c r="R341" s="222"/>
      <c r="S341" s="196">
        <f t="shared" si="64"/>
        <v>-351.16999999999996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">
      <c r="A342" t="str">
        <f t="shared" si="49"/>
        <v>PiècesTéléphone</v>
      </c>
      <c r="B342" s="24" t="s">
        <v>167</v>
      </c>
      <c r="C342" s="266" t="s">
        <v>127</v>
      </c>
      <c r="D342" s="36"/>
      <c r="E342" s="25"/>
      <c r="F342" s="965">
        <v>341.4</v>
      </c>
      <c r="G342" s="268"/>
      <c r="H342" s="25"/>
      <c r="I342" s="965">
        <v>0</v>
      </c>
      <c r="J342" s="222"/>
      <c r="K342" s="25"/>
      <c r="L342" s="179">
        <v>543.03</v>
      </c>
      <c r="M342" s="222"/>
      <c r="N342" s="224">
        <f t="shared" si="62"/>
        <v>201.63</v>
      </c>
      <c r="O342" s="222"/>
      <c r="P342" s="25"/>
      <c r="Q342" s="179">
        <v>312.18</v>
      </c>
      <c r="R342" s="222"/>
      <c r="S342" s="196">
        <f t="shared" si="64"/>
        <v>230.84999999999997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">
      <c r="A343" t="str">
        <f t="shared" si="49"/>
        <v>PiècesFrais postaux</v>
      </c>
      <c r="B343" s="24" t="s">
        <v>167</v>
      </c>
      <c r="C343" s="266" t="s">
        <v>128</v>
      </c>
      <c r="D343" s="36"/>
      <c r="E343" s="25"/>
      <c r="F343" s="965">
        <v>7115.0000000000009</v>
      </c>
      <c r="G343" s="268"/>
      <c r="H343" s="25"/>
      <c r="I343" s="965">
        <v>0</v>
      </c>
      <c r="J343" s="222"/>
      <c r="K343" s="25"/>
      <c r="L343" s="179">
        <v>4638.84</v>
      </c>
      <c r="M343" s="222"/>
      <c r="N343" s="224">
        <f t="shared" si="62"/>
        <v>-2476.1600000000008</v>
      </c>
      <c r="O343" s="222"/>
      <c r="P343" s="25"/>
      <c r="Q343" s="179">
        <v>1977.58</v>
      </c>
      <c r="R343" s="222"/>
      <c r="S343" s="196">
        <f t="shared" si="64"/>
        <v>2661.26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">
      <c r="A344" t="str">
        <f t="shared" si="49"/>
        <v>PiècesDivers</v>
      </c>
      <c r="B344" s="24" t="s">
        <v>167</v>
      </c>
      <c r="C344" s="266" t="s">
        <v>129</v>
      </c>
      <c r="D344" s="36"/>
      <c r="E344" s="25"/>
      <c r="F344" s="965">
        <v>916</v>
      </c>
      <c r="G344" s="268"/>
      <c r="H344" s="25"/>
      <c r="I344" s="965">
        <v>0</v>
      </c>
      <c r="J344" s="222"/>
      <c r="K344" s="25"/>
      <c r="L344" s="179">
        <v>932.06999999999994</v>
      </c>
      <c r="M344" s="222"/>
      <c r="N344" s="224">
        <f t="shared" si="62"/>
        <v>16.069999999999936</v>
      </c>
      <c r="O344" s="222"/>
      <c r="P344" s="25"/>
      <c r="Q344" s="179">
        <v>1500.589999999999</v>
      </c>
      <c r="R344" s="222"/>
      <c r="S344" s="196">
        <f t="shared" si="64"/>
        <v>-568.51999999999907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">
      <c r="A345" t="str">
        <f t="shared" si="49"/>
        <v>PiècesFormation</v>
      </c>
      <c r="B345" s="24" t="s">
        <v>167</v>
      </c>
      <c r="C345" s="266" t="s">
        <v>130</v>
      </c>
      <c r="D345" s="36"/>
      <c r="E345" s="25"/>
      <c r="F345" s="965">
        <v>457.39200000000017</v>
      </c>
      <c r="G345" s="268"/>
      <c r="H345" s="25"/>
      <c r="I345" s="965">
        <v>0</v>
      </c>
      <c r="J345" s="222"/>
      <c r="K345" s="25"/>
      <c r="L345" s="224">
        <v>-301.80999999999995</v>
      </c>
      <c r="M345" s="222"/>
      <c r="N345" s="224">
        <f t="shared" si="62"/>
        <v>-759.20200000000011</v>
      </c>
      <c r="O345" s="222"/>
      <c r="P345" s="25"/>
      <c r="Q345" s="179">
        <v>506.28999999999996</v>
      </c>
      <c r="R345" s="222"/>
      <c r="S345" s="196">
        <f>L345-Q345</f>
        <v>-808.09999999999991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">
      <c r="A346" t="str">
        <f t="shared" si="49"/>
        <v>PiècesFrais bancaires</v>
      </c>
      <c r="B346" s="24" t="s">
        <v>167</v>
      </c>
      <c r="C346" s="266" t="s">
        <v>131</v>
      </c>
      <c r="D346" s="36"/>
      <c r="E346" s="25"/>
      <c r="F346" s="965">
        <v>6530.2754189903817</v>
      </c>
      <c r="G346" s="268"/>
      <c r="H346" s="25"/>
      <c r="I346" s="965">
        <v>0</v>
      </c>
      <c r="J346" s="222"/>
      <c r="K346" s="25"/>
      <c r="L346" s="472">
        <v>5122.17</v>
      </c>
      <c r="M346" s="222"/>
      <c r="N346" s="224">
        <f t="shared" si="62"/>
        <v>-1408.1054189903816</v>
      </c>
      <c r="O346" s="222"/>
      <c r="P346" s="25"/>
      <c r="Q346" s="179">
        <v>5110.43</v>
      </c>
      <c r="R346" s="222"/>
      <c r="S346" s="196">
        <f>L346-Q346</f>
        <v>11.739999999999782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" hidden="1">
      <c r="A347" t="str">
        <f t="shared" si="49"/>
        <v>Pièces[...]</v>
      </c>
      <c r="B347" s="24" t="s">
        <v>167</v>
      </c>
      <c r="C347" s="266" t="s">
        <v>42</v>
      </c>
      <c r="D347" s="36"/>
      <c r="E347" s="25"/>
      <c r="F347" s="965">
        <v>0</v>
      </c>
      <c r="G347" s="268"/>
      <c r="H347" s="25"/>
      <c r="I347" s="965">
        <v>0</v>
      </c>
      <c r="J347" s="222"/>
      <c r="K347" s="25"/>
      <c r="L347" s="179">
        <v>0</v>
      </c>
      <c r="M347" s="222"/>
      <c r="N347" s="224">
        <f t="shared" si="62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" hidden="1">
      <c r="A348" t="str">
        <f t="shared" si="49"/>
        <v>Pièces[...]</v>
      </c>
      <c r="B348" s="24" t="s">
        <v>167</v>
      </c>
      <c r="C348" s="266" t="s">
        <v>42</v>
      </c>
      <c r="D348" s="36"/>
      <c r="E348" s="25"/>
      <c r="F348" s="965">
        <v>0</v>
      </c>
      <c r="G348" s="268"/>
      <c r="H348" s="25"/>
      <c r="I348" s="965">
        <v>0</v>
      </c>
      <c r="J348" s="222"/>
      <c r="K348" s="25"/>
      <c r="L348" s="179">
        <v>0</v>
      </c>
      <c r="M348" s="222"/>
      <c r="N348" s="224">
        <f t="shared" si="62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" hidden="1">
      <c r="A349" t="str">
        <f t="shared" si="49"/>
        <v>Pièces[...]</v>
      </c>
      <c r="B349" s="24" t="s">
        <v>167</v>
      </c>
      <c r="C349" s="266" t="s">
        <v>42</v>
      </c>
      <c r="D349" s="36"/>
      <c r="E349" s="25"/>
      <c r="F349" s="965">
        <v>0</v>
      </c>
      <c r="G349" s="268"/>
      <c r="H349" s="25"/>
      <c r="I349" s="965">
        <v>0</v>
      </c>
      <c r="J349" s="222"/>
      <c r="K349" s="25"/>
      <c r="L349" s="179">
        <v>0</v>
      </c>
      <c r="M349" s="222"/>
      <c r="N349" s="224">
        <f t="shared" si="62"/>
        <v>0</v>
      </c>
      <c r="O349" s="222"/>
      <c r="P349" s="25"/>
      <c r="Q349" s="179"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">
      <c r="B350" s="2"/>
      <c r="C350" s="279" t="s">
        <v>132</v>
      </c>
      <c r="D350" s="39" t="s">
        <v>108</v>
      </c>
      <c r="E350" s="40" t="e">
        <f>F350/F$314</f>
        <v>#DIV/0!</v>
      </c>
      <c r="F350" s="41">
        <f>+SUM(F332:F349)</f>
        <v>51773.673644795992</v>
      </c>
      <c r="G350" s="42" t="s">
        <v>108</v>
      </c>
      <c r="H350" s="40" t="e">
        <f>I350/I$314</f>
        <v>#DIV/0!</v>
      </c>
      <c r="I350" s="41">
        <f>+SUM(I332:I349)</f>
        <v>0</v>
      </c>
      <c r="J350" s="42" t="s">
        <v>108</v>
      </c>
      <c r="K350" s="40" t="e">
        <f>L350/L$314</f>
        <v>#DIV/0!</v>
      </c>
      <c r="L350" s="41">
        <f>+SUM(L332:L349)</f>
        <v>50005.329999999994</v>
      </c>
      <c r="M350" s="44"/>
      <c r="N350" s="41">
        <f>+SUM(N332:N349)</f>
        <v>-1768.3436447959916</v>
      </c>
      <c r="O350" s="42" t="s">
        <v>108</v>
      </c>
      <c r="P350" s="40" t="e">
        <f>Q350/Q$314</f>
        <v>#DIV/0!</v>
      </c>
      <c r="Q350" s="41">
        <f>+SUM(Q332:Q349)</f>
        <v>52253.88999999997</v>
      </c>
      <c r="R350" s="44"/>
      <c r="S350" s="284">
        <f>+SUM(S332:S349)</f>
        <v>-2248.5599999999681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">
      <c r="B352" s="2"/>
      <c r="C352" s="279" t="s">
        <v>133</v>
      </c>
      <c r="D352" s="39" t="s">
        <v>108</v>
      </c>
      <c r="E352" s="40" t="e">
        <f>F352/F$314</f>
        <v>#DIV/0!</v>
      </c>
      <c r="F352" s="41">
        <f>F331+F350</f>
        <v>162812.46428344373</v>
      </c>
      <c r="G352" s="42" t="s">
        <v>108</v>
      </c>
      <c r="H352" s="40" t="e">
        <f>I352/I$314</f>
        <v>#DIV/0!</v>
      </c>
      <c r="I352" s="41">
        <f>I331+I350</f>
        <v>0</v>
      </c>
      <c r="J352" s="42" t="s">
        <v>108</v>
      </c>
      <c r="K352" s="40" t="e">
        <f>L352/L$314</f>
        <v>#DIV/0!</v>
      </c>
      <c r="L352" s="41">
        <f>L331+L350</f>
        <v>142444.90999999997</v>
      </c>
      <c r="M352" s="44"/>
      <c r="N352" s="46">
        <f>L352-F352</f>
        <v>-20367.554283443751</v>
      </c>
      <c r="O352" s="42" t="s">
        <v>108</v>
      </c>
      <c r="P352" s="40" t="e">
        <f>Q352/Q$314</f>
        <v>#DIV/0!</v>
      </c>
      <c r="Q352" s="41">
        <f>Q331+Q350</f>
        <v>137540.46999999997</v>
      </c>
      <c r="R352" s="44"/>
      <c r="S352" s="280">
        <f>L352-Q352</f>
        <v>4904.4400000000023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">
      <c r="B353" s="2"/>
      <c r="C353" s="250"/>
      <c r="D353" s="36"/>
      <c r="E353" s="25"/>
      <c r="F353" s="224"/>
      <c r="G353" s="268"/>
      <c r="H353" s="25"/>
      <c r="I353" s="224"/>
      <c r="J353" s="222"/>
      <c r="K353" s="25"/>
      <c r="L353" s="224"/>
      <c r="M353" s="222"/>
      <c r="N353" s="224">
        <f>L353-F353</f>
        <v>0</v>
      </c>
      <c r="O353" s="222"/>
      <c r="P353" s="25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199971.39294525105</v>
      </c>
      <c r="G354" s="306"/>
      <c r="H354" s="304"/>
      <c r="I354" s="305">
        <f>I315-I352</f>
        <v>0</v>
      </c>
      <c r="J354" s="307"/>
      <c r="K354" s="308"/>
      <c r="L354" s="305">
        <f>L315-L352</f>
        <v>188816.34999999998</v>
      </c>
      <c r="M354" s="307"/>
      <c r="N354" s="305">
        <f>L354-F354</f>
        <v>-11155.042945251073</v>
      </c>
      <c r="O354" s="307"/>
      <c r="P354" s="308"/>
      <c r="Q354" s="305">
        <f>Q315-Q352</f>
        <v>191268.86999999947</v>
      </c>
      <c r="R354" s="307"/>
      <c r="S354" s="309">
        <f>L354-Q354</f>
        <v>-2452.5199999994948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  Q2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" hidden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6" t="s">
        <v>2971</v>
      </c>
      <c r="H359" s="1434"/>
      <c r="I359" s="1435"/>
      <c r="J359" s="1436" t="s">
        <v>78</v>
      </c>
      <c r="K359" s="1434"/>
      <c r="L359" s="1435"/>
      <c r="M359" s="1436"/>
      <c r="N359" s="1435"/>
      <c r="O359" s="1433" t="s">
        <v>79</v>
      </c>
      <c r="P359" s="1434"/>
      <c r="Q359" s="1435"/>
      <c r="R359" s="1436" t="s">
        <v>80</v>
      </c>
      <c r="S359" s="1439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 t="s">
        <v>149</v>
      </c>
      <c r="H360" s="202" t="s">
        <v>168</v>
      </c>
      <c r="I360" s="203" t="s">
        <v>83</v>
      </c>
      <c r="J360" s="251" t="s">
        <v>149</v>
      </c>
      <c r="K360" s="456" t="s">
        <v>168</v>
      </c>
      <c r="L360" s="253" t="s">
        <v>83</v>
      </c>
      <c r="M360" s="251"/>
      <c r="N360" s="253"/>
      <c r="O360" s="251" t="s">
        <v>149</v>
      </c>
      <c r="P360" s="456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65"/>
        <v>BoutiqueBoutique</v>
      </c>
      <c r="B361" s="24" t="s">
        <v>183</v>
      </c>
      <c r="C361" s="255" t="s">
        <v>183</v>
      </c>
      <c r="D361" s="994">
        <v>0</v>
      </c>
      <c r="E361" s="995">
        <f>IFERROR(F361/D361,0)</f>
        <v>0</v>
      </c>
      <c r="F361" s="205">
        <v>0</v>
      </c>
      <c r="G361" s="994">
        <v>0</v>
      </c>
      <c r="H361" s="995">
        <f>IFERROR(I361/G361,0)</f>
        <v>0</v>
      </c>
      <c r="I361" s="994">
        <v>0</v>
      </c>
      <c r="J361" s="218">
        <v>0</v>
      </c>
      <c r="K361" s="71">
        <f>IFERROR(L361/J361,0)</f>
        <v>0</v>
      </c>
      <c r="L361" s="217">
        <v>0</v>
      </c>
      <c r="M361" s="72"/>
      <c r="N361" s="73"/>
      <c r="O361" s="218">
        <v>0</v>
      </c>
      <c r="P361" s="71">
        <f>IFERROR(Q361/O361,0)</f>
        <v>0</v>
      </c>
      <c r="Q361" s="217"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5"/>
        <v>BoutiqueTotal Dépt. Boutique</v>
      </c>
      <c r="B363" s="24" t="s">
        <v>183</v>
      </c>
      <c r="C363" s="259" t="s">
        <v>184</v>
      </c>
      <c r="D363" s="996">
        <f>+D361</f>
        <v>0</v>
      </c>
      <c r="E363" s="993">
        <f>IF(D363&lt;=0,0,F363/D363)</f>
        <v>0</v>
      </c>
      <c r="F363" s="229">
        <f>+F361</f>
        <v>0</v>
      </c>
      <c r="G363" s="227">
        <f>+G361</f>
        <v>0</v>
      </c>
      <c r="H363" s="993">
        <f>IF(G363&lt;=0,0,I363/G363)</f>
        <v>0</v>
      </c>
      <c r="I363" s="229">
        <f>+I361</f>
        <v>0</v>
      </c>
      <c r="J363" s="227">
        <f>+J361</f>
        <v>0</v>
      </c>
      <c r="K363" s="993">
        <f>IF(J363&lt;=0,0,L363/J363)</f>
        <v>0</v>
      </c>
      <c r="L363" s="229">
        <f>+L361</f>
        <v>0</v>
      </c>
      <c r="M363" s="973"/>
      <c r="N363" s="535"/>
      <c r="O363" s="227">
        <f>+O361</f>
        <v>0</v>
      </c>
      <c r="P363" s="993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" hidden="1">
      <c r="A364" t="str">
        <f t="shared" si="65"/>
        <v>Boutique</v>
      </c>
      <c r="B364" s="24" t="s">
        <v>183</v>
      </c>
      <c r="C364" s="262"/>
      <c r="D364" s="25"/>
      <c r="E364" s="25"/>
      <c r="F364" s="224"/>
      <c r="G364" s="222"/>
      <c r="H364" s="596"/>
      <c r="I364" s="224"/>
      <c r="J364" s="222"/>
      <c r="K364" s="25"/>
      <c r="L364" s="264"/>
      <c r="M364" s="222"/>
      <c r="N364" s="974"/>
      <c r="O364" s="222"/>
      <c r="P364" s="25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" hidden="1">
      <c r="A365" t="str">
        <f t="shared" si="65"/>
        <v>BoutiqueDEPENSES</v>
      </c>
      <c r="B365" s="24" t="s">
        <v>183</v>
      </c>
      <c r="C365" s="262" t="s">
        <v>99</v>
      </c>
      <c r="D365" s="25"/>
      <c r="E365" s="25"/>
      <c r="F365" s="224"/>
      <c r="G365" s="222"/>
      <c r="H365" s="25"/>
      <c r="I365" s="224"/>
      <c r="J365" s="222"/>
      <c r="K365" s="25"/>
      <c r="L365" s="264"/>
      <c r="M365" s="222"/>
      <c r="N365" s="264"/>
      <c r="O365" s="222"/>
      <c r="P365" s="25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" hidden="1">
      <c r="A366" t="str">
        <f t="shared" si="65"/>
        <v>BoutiqueSalaires cadres</v>
      </c>
      <c r="B366" s="24" t="s">
        <v>183</v>
      </c>
      <c r="C366" s="266" t="s">
        <v>109</v>
      </c>
      <c r="D366" s="25"/>
      <c r="E366" s="25"/>
      <c r="F366" s="965">
        <v>0</v>
      </c>
      <c r="G366" s="222"/>
      <c r="H366" s="25"/>
      <c r="I366" s="965">
        <v>0</v>
      </c>
      <c r="J366" s="222"/>
      <c r="K366" s="25"/>
      <c r="L366" s="179">
        <v>0</v>
      </c>
      <c r="M366" s="222"/>
      <c r="N366" s="264"/>
      <c r="O366" s="222"/>
      <c r="P366" s="25"/>
      <c r="Q366" s="179">
        <v>0</v>
      </c>
      <c r="R366" s="222"/>
      <c r="S366" s="344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" hidden="1">
      <c r="A367" t="str">
        <f t="shared" si="65"/>
        <v>BoutiqueSalaires commis</v>
      </c>
      <c r="B367" s="24" t="s">
        <v>183</v>
      </c>
      <c r="C367" s="267" t="s">
        <v>110</v>
      </c>
      <c r="D367" s="36"/>
      <c r="E367" s="25"/>
      <c r="F367" s="176">
        <v>0</v>
      </c>
      <c r="G367" s="268"/>
      <c r="H367" s="25"/>
      <c r="I367" s="176">
        <v>0</v>
      </c>
      <c r="J367" s="222"/>
      <c r="K367" s="25"/>
      <c r="L367" s="176">
        <v>0</v>
      </c>
      <c r="M367" s="222"/>
      <c r="N367" s="224"/>
      <c r="O367" s="222"/>
      <c r="P367" s="25"/>
      <c r="Q367" s="176">
        <v>0</v>
      </c>
      <c r="R367" s="222"/>
      <c r="S367" s="196">
        <f t="shared" ref="S367:S395" si="66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" hidden="1">
      <c r="A368" t="str">
        <f t="shared" si="65"/>
        <v>BoutiqueSalaires autres</v>
      </c>
      <c r="B368" s="24" t="s">
        <v>183</v>
      </c>
      <c r="C368" s="266" t="s">
        <v>111</v>
      </c>
      <c r="D368" s="269"/>
      <c r="E368" s="270"/>
      <c r="F368" s="965">
        <v>0</v>
      </c>
      <c r="G368" s="271"/>
      <c r="H368" s="270"/>
      <c r="I368" s="965">
        <v>0</v>
      </c>
      <c r="J368" s="272"/>
      <c r="K368" s="270"/>
      <c r="L368" s="179">
        <v>0</v>
      </c>
      <c r="M368" s="272"/>
      <c r="N368" s="273"/>
      <c r="O368" s="272"/>
      <c r="P368" s="270"/>
      <c r="Q368" s="179">
        <v>0</v>
      </c>
      <c r="R368" s="272"/>
      <c r="S368" s="198">
        <f t="shared" si="66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" hidden="1">
      <c r="A369" t="str">
        <f t="shared" si="65"/>
        <v>BoutiqueSalaires spécialistes</v>
      </c>
      <c r="B369" s="24" t="s">
        <v>183</v>
      </c>
      <c r="C369" s="266" t="s">
        <v>112</v>
      </c>
      <c r="D369" s="36"/>
      <c r="E369" s="25"/>
      <c r="F369" s="965">
        <v>0</v>
      </c>
      <c r="G369" s="268"/>
      <c r="H369" s="25"/>
      <c r="I369" s="965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66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" hidden="1">
      <c r="A370" t="str">
        <f t="shared" si="65"/>
        <v>Boutique[...]</v>
      </c>
      <c r="B370" s="24" t="s">
        <v>183</v>
      </c>
      <c r="C370" s="250" t="s">
        <v>42</v>
      </c>
      <c r="D370" s="36"/>
      <c r="E370" s="25"/>
      <c r="F370" s="965">
        <v>0</v>
      </c>
      <c r="G370" s="268"/>
      <c r="H370" s="25"/>
      <c r="I370" s="965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66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" hidden="1">
      <c r="A371" t="str">
        <f t="shared" si="65"/>
        <v>Boutique[...]</v>
      </c>
      <c r="B371" s="24" t="s">
        <v>183</v>
      </c>
      <c r="C371" s="250" t="s">
        <v>42</v>
      </c>
      <c r="D371" s="36"/>
      <c r="E371" s="25"/>
      <c r="F371" s="965">
        <v>0</v>
      </c>
      <c r="G371" s="268"/>
      <c r="H371" s="25"/>
      <c r="I371" s="965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66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" hidden="1">
      <c r="A372" t="str">
        <f t="shared" si="65"/>
        <v>Boutique[...]</v>
      </c>
      <c r="B372" s="24" t="s">
        <v>183</v>
      </c>
      <c r="C372" s="250" t="s">
        <v>42</v>
      </c>
      <c r="D372" s="36"/>
      <c r="E372" s="25"/>
      <c r="F372" s="965">
        <v>0</v>
      </c>
      <c r="G372" s="268"/>
      <c r="H372" s="25"/>
      <c r="I372" s="965">
        <v>0</v>
      </c>
      <c r="J372" s="222"/>
      <c r="K372" s="25"/>
      <c r="L372" s="179">
        <v>0</v>
      </c>
      <c r="M372" s="222"/>
      <c r="N372" s="224"/>
      <c r="O372" s="222"/>
      <c r="P372" s="25"/>
      <c r="Q372" s="179">
        <v>0</v>
      </c>
      <c r="R372" s="222"/>
      <c r="S372" s="196">
        <f t="shared" si="66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" hidden="1">
      <c r="A373" t="str">
        <f t="shared" si="65"/>
        <v>BoutiqueSalaires en absences</v>
      </c>
      <c r="B373" s="24" t="s">
        <v>183</v>
      </c>
      <c r="C373" s="267" t="s">
        <v>113</v>
      </c>
      <c r="D373" s="36"/>
      <c r="E373" s="25"/>
      <c r="F373" s="176">
        <v>0</v>
      </c>
      <c r="G373" s="268"/>
      <c r="H373" s="25"/>
      <c r="I373" s="176">
        <v>0</v>
      </c>
      <c r="J373" s="222"/>
      <c r="K373" s="25"/>
      <c r="L373" s="176">
        <v>0</v>
      </c>
      <c r="M373" s="222"/>
      <c r="N373" s="224"/>
      <c r="O373" s="222"/>
      <c r="P373" s="25"/>
      <c r="Q373" s="176">
        <v>0</v>
      </c>
      <c r="R373" s="222"/>
      <c r="S373" s="196">
        <f t="shared" si="66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" hidden="1">
      <c r="A374" t="str">
        <f t="shared" si="65"/>
        <v>BoutiqueDéduction à la source</v>
      </c>
      <c r="B374" s="24" t="s">
        <v>183</v>
      </c>
      <c r="C374" s="266" t="s">
        <v>114</v>
      </c>
      <c r="D374" s="269"/>
      <c r="E374" s="270"/>
      <c r="F374" s="965">
        <v>0</v>
      </c>
      <c r="G374" s="271"/>
      <c r="H374" s="270"/>
      <c r="I374" s="965">
        <v>0</v>
      </c>
      <c r="J374" s="272"/>
      <c r="K374" s="270"/>
      <c r="L374" s="179">
        <v>0</v>
      </c>
      <c r="M374" s="272"/>
      <c r="N374" s="273"/>
      <c r="O374" s="272"/>
      <c r="P374" s="270"/>
      <c r="Q374" s="179">
        <v>0</v>
      </c>
      <c r="R374" s="272"/>
      <c r="S374" s="198">
        <f t="shared" si="66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" hidden="1">
      <c r="A375" t="str">
        <f t="shared" si="65"/>
        <v>BoutiqueBénéfices marginaux</v>
      </c>
      <c r="B375" s="24" t="s">
        <v>183</v>
      </c>
      <c r="C375" s="266" t="s">
        <v>115</v>
      </c>
      <c r="D375" s="36"/>
      <c r="E375" s="25"/>
      <c r="F375" s="965">
        <v>0</v>
      </c>
      <c r="G375" s="268"/>
      <c r="H375" s="25"/>
      <c r="I375" s="965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66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" hidden="1">
      <c r="A376" t="str">
        <f t="shared" si="65"/>
        <v>BoutiqueCsst</v>
      </c>
      <c r="B376" s="24" t="s">
        <v>183</v>
      </c>
      <c r="C376" s="266" t="s">
        <v>116</v>
      </c>
      <c r="D376" s="36"/>
      <c r="E376" s="25"/>
      <c r="F376" s="965">
        <v>0</v>
      </c>
      <c r="G376" s="268"/>
      <c r="H376" s="25"/>
      <c r="I376" s="965">
        <v>0</v>
      </c>
      <c r="J376" s="222"/>
      <c r="K376" s="25"/>
      <c r="L376" s="179">
        <v>0</v>
      </c>
      <c r="M376" s="222"/>
      <c r="N376" s="224"/>
      <c r="O376" s="222"/>
      <c r="P376" s="25"/>
      <c r="Q376" s="179">
        <v>0</v>
      </c>
      <c r="R376" s="222"/>
      <c r="S376" s="196">
        <f t="shared" si="66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" hidden="1">
      <c r="A377" t="str">
        <f t="shared" si="65"/>
        <v>Boutique[...]</v>
      </c>
      <c r="B377" s="24" t="s">
        <v>183</v>
      </c>
      <c r="C377" s="250" t="s">
        <v>42</v>
      </c>
      <c r="D377" s="274"/>
      <c r="E377" s="275"/>
      <c r="F377" s="965">
        <v>0</v>
      </c>
      <c r="G377" s="276"/>
      <c r="H377" s="275"/>
      <c r="I377" s="965">
        <v>0</v>
      </c>
      <c r="J377" s="277"/>
      <c r="K377" s="275"/>
      <c r="L377" s="179">
        <v>0</v>
      </c>
      <c r="M377" s="277"/>
      <c r="N377" s="278"/>
      <c r="O377" s="277"/>
      <c r="P377" s="275"/>
      <c r="Q377" s="179">
        <v>0</v>
      </c>
      <c r="R377" s="277"/>
      <c r="S377" s="199">
        <f t="shared" si="66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" hidden="1">
      <c r="A378" t="str">
        <f t="shared" si="6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IFERROR(F378/F$360,0)</f>
        <v>0</v>
      </c>
      <c r="F378" s="41">
        <f>+SUM(F366:F377)</f>
        <v>0</v>
      </c>
      <c r="G378" s="42" t="s">
        <v>108</v>
      </c>
      <c r="H378" s="40">
        <f>IFERROR(I378/I$360,0)</f>
        <v>0</v>
      </c>
      <c r="I378" s="41">
        <f>+SUM(I366:I377)</f>
        <v>0</v>
      </c>
      <c r="J378" s="42" t="s">
        <v>108</v>
      </c>
      <c r="K378" s="40">
        <f>IFERROR(L378/L$360,0)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IFERROR(Q378/Q$360,0)</f>
        <v>0</v>
      </c>
      <c r="Q378" s="41">
        <f>+SUM(Q366:Q377)</f>
        <v>0</v>
      </c>
      <c r="R378" s="43"/>
      <c r="S378" s="280">
        <f t="shared" si="66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" hidden="1">
      <c r="A379" t="str">
        <f t="shared" si="65"/>
        <v>BoutiquePublicité 2</v>
      </c>
      <c r="B379" s="24" t="s">
        <v>183</v>
      </c>
      <c r="C379" s="281" t="s">
        <v>118</v>
      </c>
      <c r="D379" s="36"/>
      <c r="E379" s="25"/>
      <c r="F379" s="965">
        <v>0</v>
      </c>
      <c r="G379" s="268"/>
      <c r="H379" s="25"/>
      <c r="I379" s="965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66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" hidden="1">
      <c r="A380" t="str">
        <f t="shared" si="65"/>
        <v>BoutiqueService gratuit 2</v>
      </c>
      <c r="B380" s="24" t="s">
        <v>183</v>
      </c>
      <c r="C380" s="266" t="s">
        <v>119</v>
      </c>
      <c r="D380" s="36"/>
      <c r="E380" s="25"/>
      <c r="F380" s="965">
        <v>0</v>
      </c>
      <c r="G380" s="268"/>
      <c r="H380" s="25"/>
      <c r="I380" s="965">
        <v>0</v>
      </c>
      <c r="J380" s="222"/>
      <c r="K380" s="25"/>
      <c r="L380" s="179">
        <v>0</v>
      </c>
      <c r="M380" s="222"/>
      <c r="N380" s="224"/>
      <c r="O380" s="222"/>
      <c r="P380" s="25"/>
      <c r="Q380" s="179">
        <v>0</v>
      </c>
      <c r="R380" s="222"/>
      <c r="S380" s="196">
        <f t="shared" si="66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" hidden="1">
      <c r="A381" t="str">
        <f t="shared" si="6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v>0</v>
      </c>
      <c r="G381" s="276"/>
      <c r="H381" s="275"/>
      <c r="I381" s="176">
        <v>0</v>
      </c>
      <c r="J381" s="277"/>
      <c r="K381" s="275"/>
      <c r="L381" s="176">
        <v>0</v>
      </c>
      <c r="M381" s="277"/>
      <c r="N381" s="278"/>
      <c r="O381" s="277"/>
      <c r="P381" s="275"/>
      <c r="Q381" s="176">
        <v>0</v>
      </c>
      <c r="R381" s="277"/>
      <c r="S381" s="199">
        <f t="shared" si="66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" hidden="1">
      <c r="A382" t="str">
        <f t="shared" si="65"/>
        <v>BoutiqueInformatique</v>
      </c>
      <c r="B382" s="24" t="s">
        <v>183</v>
      </c>
      <c r="C382" s="266" t="s">
        <v>121</v>
      </c>
      <c r="D382" s="36"/>
      <c r="E382" s="25"/>
      <c r="F382" s="965">
        <v>0</v>
      </c>
      <c r="G382" s="268"/>
      <c r="H382" s="25"/>
      <c r="I382" s="965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66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" hidden="1">
      <c r="A383" t="str">
        <f t="shared" si="65"/>
        <v>BoutiqueFrais de déplacement</v>
      </c>
      <c r="B383" s="24" t="s">
        <v>183</v>
      </c>
      <c r="C383" s="266" t="s">
        <v>122</v>
      </c>
      <c r="D383" s="36"/>
      <c r="E383" s="25"/>
      <c r="F383" s="965">
        <v>0</v>
      </c>
      <c r="G383" s="268"/>
      <c r="H383" s="25"/>
      <c r="I383" s="965">
        <v>0</v>
      </c>
      <c r="J383" s="222"/>
      <c r="K383" s="25"/>
      <c r="L383" s="179">
        <v>0</v>
      </c>
      <c r="M383" s="222"/>
      <c r="N383" s="224"/>
      <c r="O383" s="222"/>
      <c r="P383" s="25"/>
      <c r="Q383" s="179">
        <v>0</v>
      </c>
      <c r="R383" s="222"/>
      <c r="S383" s="196">
        <f t="shared" si="66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" hidden="1">
      <c r="A384" t="str">
        <f t="shared" si="65"/>
        <v>BoutiqueServices extérieurs</v>
      </c>
      <c r="B384" s="24" t="s">
        <v>183</v>
      </c>
      <c r="C384" s="266" t="s">
        <v>123</v>
      </c>
      <c r="D384" s="274"/>
      <c r="E384" s="275"/>
      <c r="F384" s="176">
        <v>0</v>
      </c>
      <c r="G384" s="276"/>
      <c r="H384" s="275"/>
      <c r="I384" s="176">
        <v>0</v>
      </c>
      <c r="J384" s="277"/>
      <c r="K384" s="275"/>
      <c r="L384" s="176">
        <v>0</v>
      </c>
      <c r="M384" s="277"/>
      <c r="N384" s="278"/>
      <c r="O384" s="277"/>
      <c r="P384" s="275"/>
      <c r="Q384" s="176">
        <v>0</v>
      </c>
      <c r="R384" s="277"/>
      <c r="S384" s="199">
        <f t="shared" si="66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" hidden="1">
      <c r="A385" t="str">
        <f t="shared" si="65"/>
        <v>BoutiqueFournitures autres</v>
      </c>
      <c r="B385" s="24" t="s">
        <v>183</v>
      </c>
      <c r="C385" s="281" t="s">
        <v>124</v>
      </c>
      <c r="D385" s="36"/>
      <c r="E385" s="25"/>
      <c r="F385" s="965">
        <v>0</v>
      </c>
      <c r="G385" s="268"/>
      <c r="H385" s="25"/>
      <c r="I385" s="965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66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" hidden="1">
      <c r="A386" t="str">
        <f t="shared" si="65"/>
        <v>BoutiqueUniformes</v>
      </c>
      <c r="B386" s="24" t="s">
        <v>183</v>
      </c>
      <c r="C386" s="266" t="s">
        <v>125</v>
      </c>
      <c r="D386" s="36"/>
      <c r="E386" s="25"/>
      <c r="F386" s="965">
        <v>0</v>
      </c>
      <c r="G386" s="268"/>
      <c r="H386" s="25"/>
      <c r="I386" s="965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66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" hidden="1">
      <c r="A387" t="str">
        <f t="shared" si="65"/>
        <v>BoutiquePapeterie</v>
      </c>
      <c r="B387" s="24" t="s">
        <v>183</v>
      </c>
      <c r="C387" s="266" t="s">
        <v>126</v>
      </c>
      <c r="D387" s="36"/>
      <c r="E387" s="25"/>
      <c r="F387" s="965">
        <v>0</v>
      </c>
      <c r="G387" s="268"/>
      <c r="H387" s="25"/>
      <c r="I387" s="965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66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" hidden="1">
      <c r="A388" t="str">
        <f t="shared" si="65"/>
        <v>BoutiqueTéléphone</v>
      </c>
      <c r="B388" s="24" t="s">
        <v>183</v>
      </c>
      <c r="C388" s="266" t="s">
        <v>127</v>
      </c>
      <c r="D388" s="36"/>
      <c r="E388" s="25"/>
      <c r="F388" s="965">
        <v>0</v>
      </c>
      <c r="G388" s="268"/>
      <c r="H388" s="25"/>
      <c r="I388" s="965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66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" hidden="1">
      <c r="A389" t="str">
        <f t="shared" si="65"/>
        <v>BoutiqueFrais postaux</v>
      </c>
      <c r="B389" s="24" t="s">
        <v>183</v>
      </c>
      <c r="C389" s="266" t="s">
        <v>128</v>
      </c>
      <c r="D389" s="36"/>
      <c r="E389" s="25"/>
      <c r="F389" s="965">
        <v>0</v>
      </c>
      <c r="G389" s="268"/>
      <c r="H389" s="25"/>
      <c r="I389" s="965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66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" hidden="1">
      <c r="A390" t="str">
        <f t="shared" si="65"/>
        <v>BoutiqueDivers</v>
      </c>
      <c r="B390" s="24" t="s">
        <v>183</v>
      </c>
      <c r="C390" s="266" t="s">
        <v>129</v>
      </c>
      <c r="D390" s="36"/>
      <c r="E390" s="25"/>
      <c r="F390" s="965">
        <v>0</v>
      </c>
      <c r="G390" s="268"/>
      <c r="H390" s="25"/>
      <c r="I390" s="965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66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" hidden="1">
      <c r="A391" t="str">
        <f t="shared" si="65"/>
        <v>BoutiqueFormation</v>
      </c>
      <c r="B391" s="24" t="s">
        <v>183</v>
      </c>
      <c r="C391" s="266" t="s">
        <v>130</v>
      </c>
      <c r="D391" s="36"/>
      <c r="E391" s="25"/>
      <c r="F391" s="965">
        <v>0</v>
      </c>
      <c r="G391" s="268"/>
      <c r="H391" s="25"/>
      <c r="I391" s="965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66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" hidden="1">
      <c r="A392" t="str">
        <f t="shared" si="65"/>
        <v>BoutiqueFrais bancaires</v>
      </c>
      <c r="B392" s="24" t="s">
        <v>183</v>
      </c>
      <c r="C392" s="266" t="s">
        <v>131</v>
      </c>
      <c r="D392" s="36"/>
      <c r="E392" s="25"/>
      <c r="F392" s="965">
        <v>0</v>
      </c>
      <c r="G392" s="268"/>
      <c r="H392" s="25"/>
      <c r="I392" s="965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66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" hidden="1">
      <c r="A393" t="str">
        <f t="shared" si="65"/>
        <v>Boutique[...]</v>
      </c>
      <c r="B393" s="24" t="s">
        <v>183</v>
      </c>
      <c r="C393" s="266" t="s">
        <v>42</v>
      </c>
      <c r="D393" s="36"/>
      <c r="E393" s="25"/>
      <c r="F393" s="965">
        <v>0</v>
      </c>
      <c r="G393" s="268"/>
      <c r="H393" s="25"/>
      <c r="I393" s="965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66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" hidden="1">
      <c r="A394" t="str">
        <f t="shared" si="65"/>
        <v>Boutique[...]</v>
      </c>
      <c r="B394" s="24" t="s">
        <v>183</v>
      </c>
      <c r="C394" s="266" t="s">
        <v>42</v>
      </c>
      <c r="D394" s="36"/>
      <c r="E394" s="25"/>
      <c r="F394" s="965">
        <v>0</v>
      </c>
      <c r="G394" s="268"/>
      <c r="H394" s="25"/>
      <c r="I394" s="965">
        <v>0</v>
      </c>
      <c r="J394" s="222"/>
      <c r="K394" s="25"/>
      <c r="L394" s="179">
        <v>0</v>
      </c>
      <c r="M394" s="222"/>
      <c r="N394" s="224"/>
      <c r="O394" s="222"/>
      <c r="P394" s="25"/>
      <c r="Q394" s="179">
        <v>0</v>
      </c>
      <c r="R394" s="222"/>
      <c r="S394" s="196">
        <f t="shared" si="66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" hidden="1">
      <c r="A395" t="str">
        <f t="shared" si="65"/>
        <v>Boutique[...]</v>
      </c>
      <c r="B395" s="24" t="s">
        <v>183</v>
      </c>
      <c r="C395" s="266" t="s">
        <v>42</v>
      </c>
      <c r="D395" s="274"/>
      <c r="E395" s="275"/>
      <c r="F395" s="965">
        <v>0</v>
      </c>
      <c r="G395" s="276"/>
      <c r="H395" s="275"/>
      <c r="I395" s="965">
        <v>0</v>
      </c>
      <c r="J395" s="277"/>
      <c r="K395" s="275"/>
      <c r="L395" s="179">
        <v>0</v>
      </c>
      <c r="M395" s="277"/>
      <c r="N395" s="278"/>
      <c r="O395" s="277"/>
      <c r="P395" s="275"/>
      <c r="Q395" s="179">
        <v>0</v>
      </c>
      <c r="R395" s="277"/>
      <c r="S395" s="199">
        <f t="shared" si="66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" hidden="1">
      <c r="B396" s="2"/>
      <c r="C396" s="279" t="s">
        <v>132</v>
      </c>
      <c r="D396" s="39" t="s">
        <v>108</v>
      </c>
      <c r="E396" s="40">
        <f>IFERROR(F396/F$360,0)</f>
        <v>0</v>
      </c>
      <c r="F396" s="41">
        <f>+SUM(F379:F395)</f>
        <v>0</v>
      </c>
      <c r="G396" s="42" t="s">
        <v>108</v>
      </c>
      <c r="H396" s="40">
        <f>IFERROR(I396/I$360,0)</f>
        <v>0</v>
      </c>
      <c r="I396" s="41">
        <f>+SUM(I379:I395)</f>
        <v>0</v>
      </c>
      <c r="J396" s="42" t="s">
        <v>108</v>
      </c>
      <c r="K396" s="40">
        <f>IFERROR(L396/L$360,0)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IFERROR(Q396/Q$360,0)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" hidden="1">
      <c r="B397" s="2"/>
      <c r="C397" s="250"/>
      <c r="D397" s="25"/>
      <c r="E397" s="25"/>
      <c r="F397" s="264"/>
      <c r="G397" s="222"/>
      <c r="H397" s="25"/>
      <c r="I397" s="264"/>
      <c r="J397" s="222"/>
      <c r="K397" s="25"/>
      <c r="L397" s="264"/>
      <c r="M397" s="231"/>
      <c r="N397" s="282"/>
      <c r="O397" s="222"/>
      <c r="P397" s="25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" hidden="1">
      <c r="B398" s="2"/>
      <c r="C398" s="279" t="s">
        <v>133</v>
      </c>
      <c r="D398" s="39" t="s">
        <v>108</v>
      </c>
      <c r="E398" s="40">
        <f>IFERROR(F398/F$360,0)</f>
        <v>0</v>
      </c>
      <c r="F398" s="41">
        <f>F378+F396</f>
        <v>0</v>
      </c>
      <c r="G398" s="42" t="s">
        <v>108</v>
      </c>
      <c r="H398" s="40">
        <f>IFERROR(I398/I$360,0)</f>
        <v>0</v>
      </c>
      <c r="I398" s="41">
        <f>I378+I396</f>
        <v>0</v>
      </c>
      <c r="J398" s="42" t="s">
        <v>108</v>
      </c>
      <c r="K398" s="40">
        <f>IFERROR(L398/L$360,0)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IFERROR(Q398/Q$360,0)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0" hidden="1">
      <c r="B399" s="2"/>
      <c r="C399" s="250"/>
      <c r="D399" s="25"/>
      <c r="E399" s="25"/>
      <c r="F399" s="224"/>
      <c r="G399" s="222"/>
      <c r="H399" s="25"/>
      <c r="I399" s="224"/>
      <c r="J399" s="222"/>
      <c r="K399" s="25"/>
      <c r="L399" s="224"/>
      <c r="M399" s="231"/>
      <c r="N399" s="282"/>
      <c r="O399" s="222"/>
      <c r="P399" s="25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>
        <f>I363-I398</f>
        <v>0</v>
      </c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0" hidden="1">
      <c r="B401" s="2"/>
      <c r="C401" s="56"/>
      <c r="D401" s="36"/>
      <c r="E401" s="25"/>
      <c r="F401" s="45"/>
      <c r="G401" s="36"/>
      <c r="H401" s="25"/>
      <c r="I401" s="45"/>
      <c r="J401" s="56"/>
      <c r="K401" s="56"/>
      <c r="L401" s="45"/>
      <c r="M401" s="56"/>
      <c r="N401" s="45"/>
      <c r="O401" s="56"/>
      <c r="P401" s="56"/>
      <c r="Q401" s="45"/>
      <c r="R401" s="56"/>
      <c r="S401" s="45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">
      <c r="B402" s="2"/>
      <c r="C402" s="25"/>
      <c r="D402" s="25"/>
      <c r="E402" s="25"/>
      <c r="F402" s="37"/>
      <c r="G402" s="25"/>
      <c r="H402" s="25"/>
      <c r="I402" s="25"/>
      <c r="J402" s="25"/>
      <c r="K402" s="25"/>
      <c r="L402" s="37"/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  Q2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9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997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23"/>
      <c r="AM404" s="23"/>
      <c r="AN404" s="23"/>
      <c r="AO404" s="23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0" t="s">
        <v>186</v>
      </c>
      <c r="Y405" s="1431"/>
      <c r="Z405" s="1441"/>
      <c r="AA405" s="1430" t="s">
        <v>2971</v>
      </c>
      <c r="AB405" s="1431"/>
      <c r="AC405" s="1441"/>
      <c r="AD405" s="1430" t="s">
        <v>78</v>
      </c>
      <c r="AE405" s="1431"/>
      <c r="AF405" s="1441"/>
      <c r="AG405" s="1430" t="s">
        <v>2441</v>
      </c>
      <c r="AH405" s="1431"/>
      <c r="AI405" s="1441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">
      <c r="A406" t="str">
        <f t="shared" ref="A406:A440" si="6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 t="s">
        <v>189</v>
      </c>
      <c r="AB406" s="342" t="s">
        <v>190</v>
      </c>
      <c r="AC406" s="384" t="s">
        <v>191</v>
      </c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18042431.719417728</v>
      </c>
      <c r="AA407" s="387"/>
      <c r="AB407" s="387"/>
      <c r="AC407" s="388"/>
      <c r="AD407" s="389"/>
      <c r="AE407" s="390"/>
      <c r="AF407" s="390">
        <f>L5+L93+K195+K251+J315+J363</f>
        <v>19326469.110000007</v>
      </c>
      <c r="AG407" s="389"/>
      <c r="AH407" s="390"/>
      <c r="AI407" s="391"/>
      <c r="AJ407" s="389"/>
      <c r="AK407" s="390"/>
      <c r="AL407" s="390">
        <f>Q5+Q93+P195+P251+O315+O363</f>
        <v>14964562.32999998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1816255.4930778728</v>
      </c>
      <c r="AA408" s="81"/>
      <c r="AB408" s="81"/>
      <c r="AC408" s="82"/>
      <c r="AD408" s="83"/>
      <c r="AE408" s="84"/>
      <c r="AF408" s="84">
        <f>L27+L109+L195+L251+L315+L363</f>
        <v>1578664.03</v>
      </c>
      <c r="AG408" s="83"/>
      <c r="AH408" s="84">
        <f>AF408-Z408</f>
        <v>-237591.46307787276</v>
      </c>
      <c r="AI408" s="85">
        <f>AH408/Z408</f>
        <v>-0.13081389924676523</v>
      </c>
      <c r="AJ408" s="83">
        <f>+AL408/AL407</f>
        <v>0.1139022052507967</v>
      </c>
      <c r="AK408" s="84"/>
      <c r="AL408" s="84">
        <f>Q27+Q109+Q195+Q251+Q315+Q363</f>
        <v>1704496.649999998</v>
      </c>
      <c r="AM408" s="86"/>
      <c r="AN408" s="84">
        <f>AF408-AL408</f>
        <v>-125832.61999999802</v>
      </c>
      <c r="AO408" s="395">
        <f>IF(AL408=0,0,AN408/AL408)</f>
        <v>-7.382391745973696E-2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999"/>
      <c r="X409" s="999"/>
      <c r="Y409" s="999"/>
      <c r="Z409" s="87"/>
      <c r="AA409" s="999"/>
      <c r="AB409" s="999"/>
      <c r="AC409" s="87"/>
      <c r="AD409" s="398"/>
      <c r="AE409" s="999"/>
      <c r="AF409" s="1000"/>
      <c r="AG409" s="398"/>
      <c r="AH409" s="1000"/>
      <c r="AI409" s="1001"/>
      <c r="AJ409" s="398"/>
      <c r="AK409" s="999"/>
      <c r="AL409" s="1000"/>
      <c r="AM409" s="401"/>
      <c r="AN409" s="1000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1002" t="s">
        <v>197</v>
      </c>
      <c r="X410" s="999"/>
      <c r="Y410" s="1003">
        <f>Z410/(D$13+D$97)</f>
        <v>951.92880057068203</v>
      </c>
      <c r="Z410" s="87">
        <v>161827.89609701594</v>
      </c>
      <c r="AA410" s="999"/>
      <c r="AB410" s="1003">
        <f>IF(AC410=0,0,AC410/(G$13+G$97))</f>
        <v>0</v>
      </c>
      <c r="AC410" s="87">
        <v>0</v>
      </c>
      <c r="AD410" s="404"/>
      <c r="AE410" s="1003">
        <f>IF(AF410=0,0,AF410/(J$13+J$97))</f>
        <v>1101.9211724137931</v>
      </c>
      <c r="AF410" s="87">
        <v>159778.57</v>
      </c>
      <c r="AG410" s="398">
        <f t="shared" ref="AG410:AH425" si="68">AE410-Y410</f>
        <v>149.99237184311107</v>
      </c>
      <c r="AH410" s="1000">
        <f t="shared" si="68"/>
        <v>-2049.3260970159317</v>
      </c>
      <c r="AI410" s="1001">
        <f t="shared" ref="AI410:AI419" si="69">IF(Z410=0,0,AH410/Z410)</f>
        <v>-1.2663614533969837E-2</v>
      </c>
      <c r="AJ410" s="404"/>
      <c r="AK410" s="1000">
        <f>AL410/(O$13+O$97)</f>
        <v>1066.6932835820896</v>
      </c>
      <c r="AL410" s="87">
        <f t="shared" ref="AL410:AL416" si="70">+SUMIF($C:$C,$V410,Q:Q)</f>
        <v>142936.90000000002</v>
      </c>
      <c r="AM410" s="401">
        <f t="shared" ref="AM410:AM415" si="71">AE410-Y410</f>
        <v>149.99237184311107</v>
      </c>
      <c r="AN410" s="1000">
        <f t="shared" ref="AN410:AN415" si="72">AF410-AL410</f>
        <v>16841.669999999984</v>
      </c>
      <c r="AO410" s="211">
        <f t="shared" ref="AO410:AO432" si="73">IF(AL410=0,0,AN410/AL410)</f>
        <v>0.11782590779567755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ref="Y411:Y416" si="74">Z411/(D$13+D$97)</f>
        <v>479.11176470588236</v>
      </c>
      <c r="Z411" s="388">
        <v>81449</v>
      </c>
      <c r="AA411" s="387"/>
      <c r="AB411" s="406">
        <f t="shared" ref="AB411:AB416" si="75">IF(AC411=0,0,AC411/(G$13+G$97))</f>
        <v>0</v>
      </c>
      <c r="AC411" s="388">
        <v>0</v>
      </c>
      <c r="AD411" s="407"/>
      <c r="AE411" s="406">
        <f t="shared" ref="AE411:AE416" si="76">IF(AF411=0,0,AF411/(J$13+J$97))</f>
        <v>227.8757931034483</v>
      </c>
      <c r="AF411" s="388">
        <v>33041.990000000005</v>
      </c>
      <c r="AG411" s="389">
        <f t="shared" si="68"/>
        <v>-251.23597160243406</v>
      </c>
      <c r="AH411" s="390">
        <f t="shared" si="68"/>
        <v>-48407.009999999995</v>
      </c>
      <c r="AI411" s="408">
        <f t="shared" si="69"/>
        <v>-0.59432295055801787</v>
      </c>
      <c r="AJ411" s="407"/>
      <c r="AK411" s="390">
        <f t="shared" ref="AK411:AK416" si="77">AL411/(O$13+O$97)</f>
        <v>817.293880597015</v>
      </c>
      <c r="AL411" s="388">
        <f t="shared" si="70"/>
        <v>109517.38</v>
      </c>
      <c r="AM411" s="392">
        <f t="shared" si="71"/>
        <v>-251.23597160243406</v>
      </c>
      <c r="AN411" s="390">
        <f t="shared" si="72"/>
        <v>-76475.39</v>
      </c>
      <c r="AO411" s="212">
        <f t="shared" si="73"/>
        <v>-0.6982945537959363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1002" t="s">
        <v>199</v>
      </c>
      <c r="X412" s="999"/>
      <c r="Y412" s="1003">
        <f t="shared" si="74"/>
        <v>111.20588235294117</v>
      </c>
      <c r="Z412" s="87">
        <v>18905</v>
      </c>
      <c r="AA412" s="999"/>
      <c r="AB412" s="1003">
        <f t="shared" si="75"/>
        <v>0</v>
      </c>
      <c r="AC412" s="87">
        <v>0</v>
      </c>
      <c r="AD412" s="404"/>
      <c r="AE412" s="1003">
        <f t="shared" si="76"/>
        <v>138.42765517241378</v>
      </c>
      <c r="AF412" s="87">
        <v>20072.009999999998</v>
      </c>
      <c r="AG412" s="398">
        <f t="shared" si="68"/>
        <v>27.221772819472605</v>
      </c>
      <c r="AH412" s="1000">
        <f t="shared" si="68"/>
        <v>1167.0099999999984</v>
      </c>
      <c r="AI412" s="1001">
        <f t="shared" si="69"/>
        <v>6.1730230097857622E-2</v>
      </c>
      <c r="AJ412" s="404"/>
      <c r="AK412" s="1000">
        <f t="shared" si="77"/>
        <v>123.67097014925373</v>
      </c>
      <c r="AL412" s="87">
        <f t="shared" si="70"/>
        <v>16571.91</v>
      </c>
      <c r="AM412" s="401">
        <f t="shared" si="71"/>
        <v>27.221772819472605</v>
      </c>
      <c r="AN412" s="1000">
        <f t="shared" si="72"/>
        <v>3500.0999999999985</v>
      </c>
      <c r="AO412" s="211">
        <f t="shared" si="73"/>
        <v>0.211206795112935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1002" t="s">
        <v>200</v>
      </c>
      <c r="X413" s="999"/>
      <c r="Y413" s="1003">
        <f t="shared" si="74"/>
        <v>57.441176470588232</v>
      </c>
      <c r="Z413" s="87">
        <v>9765</v>
      </c>
      <c r="AA413" s="999"/>
      <c r="AB413" s="1003">
        <f t="shared" si="75"/>
        <v>0</v>
      </c>
      <c r="AC413" s="87">
        <v>0</v>
      </c>
      <c r="AD413" s="404"/>
      <c r="AE413" s="1003">
        <f t="shared" si="76"/>
        <v>65.182344827586192</v>
      </c>
      <c r="AF413" s="87">
        <v>9451.4399999999987</v>
      </c>
      <c r="AG413" s="398">
        <f t="shared" si="68"/>
        <v>7.7411683569979601</v>
      </c>
      <c r="AH413" s="1000">
        <f t="shared" si="68"/>
        <v>-313.56000000000131</v>
      </c>
      <c r="AI413" s="1001">
        <f t="shared" si="69"/>
        <v>-3.211059907834115E-2</v>
      </c>
      <c r="AJ413" s="404"/>
      <c r="AK413" s="1000">
        <f t="shared" si="77"/>
        <v>55.84119402985074</v>
      </c>
      <c r="AL413" s="87">
        <f t="shared" si="70"/>
        <v>7482.7199999999993</v>
      </c>
      <c r="AM413" s="401">
        <f t="shared" si="71"/>
        <v>7.7411683569979601</v>
      </c>
      <c r="AN413" s="1000">
        <f t="shared" si="72"/>
        <v>1968.7199999999993</v>
      </c>
      <c r="AO413" s="213">
        <f t="shared" si="73"/>
        <v>0.26310218743986136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79.2</v>
      </c>
      <c r="Z414" s="388">
        <v>13464</v>
      </c>
      <c r="AA414" s="387"/>
      <c r="AB414" s="406">
        <f t="shared" si="75"/>
        <v>0</v>
      </c>
      <c r="AC414" s="388">
        <v>0</v>
      </c>
      <c r="AD414" s="407"/>
      <c r="AE414" s="406">
        <f t="shared" si="76"/>
        <v>93.155862068965504</v>
      </c>
      <c r="AF414" s="388">
        <v>13507.599999999999</v>
      </c>
      <c r="AG414" s="389">
        <f t="shared" si="68"/>
        <v>13.955862068965502</v>
      </c>
      <c r="AH414" s="390">
        <f t="shared" si="68"/>
        <v>43.599999999998545</v>
      </c>
      <c r="AI414" s="408">
        <f t="shared" si="69"/>
        <v>3.2382650029707774E-3</v>
      </c>
      <c r="AJ414" s="407"/>
      <c r="AK414" s="390">
        <f t="shared" si="77"/>
        <v>96.813283582089554</v>
      </c>
      <c r="AL414" s="388">
        <f t="shared" si="70"/>
        <v>12972.98</v>
      </c>
      <c r="AM414" s="392">
        <f t="shared" si="71"/>
        <v>13.955862068965502</v>
      </c>
      <c r="AN414" s="390">
        <f t="shared" si="72"/>
        <v>534.61999999999898</v>
      </c>
      <c r="AO414" s="212">
        <f t="shared" si="73"/>
        <v>4.1210269344437361E-2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6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1002" t="s">
        <v>201</v>
      </c>
      <c r="X415" s="1001"/>
      <c r="Y415" s="1003">
        <f t="shared" si="74"/>
        <v>153.03500891265594</v>
      </c>
      <c r="Z415" s="87">
        <v>26015.951515151508</v>
      </c>
      <c r="AA415" s="1001"/>
      <c r="AB415" s="1003">
        <f t="shared" si="75"/>
        <v>0</v>
      </c>
      <c r="AC415" s="87">
        <v>0</v>
      </c>
      <c r="AD415" s="404"/>
      <c r="AE415" s="1003">
        <f t="shared" si="76"/>
        <v>131.44055172413795</v>
      </c>
      <c r="AF415" s="87">
        <v>19058.88</v>
      </c>
      <c r="AG415" s="398">
        <f t="shared" si="68"/>
        <v>-21.594457188517993</v>
      </c>
      <c r="AH415" s="1000">
        <f t="shared" si="68"/>
        <v>-6957.0715151515069</v>
      </c>
      <c r="AI415" s="1001">
        <f t="shared" si="69"/>
        <v>-0.2674156088851779</v>
      </c>
      <c r="AJ415" s="404"/>
      <c r="AK415" s="1000">
        <f t="shared" si="77"/>
        <v>481.04917910447762</v>
      </c>
      <c r="AL415" s="87">
        <f t="shared" si="70"/>
        <v>64460.590000000004</v>
      </c>
      <c r="AM415" s="401">
        <f t="shared" si="71"/>
        <v>-21.594457188517993</v>
      </c>
      <c r="AN415" s="1000">
        <f t="shared" si="72"/>
        <v>-45401.710000000006</v>
      </c>
      <c r="AO415" s="211">
        <f t="shared" si="73"/>
        <v>-0.70433283344133224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">
      <c r="A416" t="str">
        <f t="shared" si="6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1002" t="s">
        <v>202</v>
      </c>
      <c r="X416" s="999"/>
      <c r="Y416" s="1003">
        <f t="shared" si="74"/>
        <v>554.32878233227723</v>
      </c>
      <c r="Z416" s="87">
        <v>94235.89299648712</v>
      </c>
      <c r="AA416" s="999"/>
      <c r="AB416" s="1003">
        <f t="shared" si="75"/>
        <v>0</v>
      </c>
      <c r="AC416" s="87">
        <v>0</v>
      </c>
      <c r="AD416" s="404"/>
      <c r="AE416" s="1003">
        <f t="shared" si="76"/>
        <v>609.98503448275858</v>
      </c>
      <c r="AF416" s="87">
        <v>88447.829999999987</v>
      </c>
      <c r="AG416" s="398">
        <f t="shared" si="68"/>
        <v>55.65625215048135</v>
      </c>
      <c r="AH416" s="1000">
        <f t="shared" si="68"/>
        <v>-5788.0629964871332</v>
      </c>
      <c r="AI416" s="1001">
        <f t="shared" si="69"/>
        <v>-6.1421002257631259E-2</v>
      </c>
      <c r="AJ416" s="404"/>
      <c r="AK416" s="1000">
        <f t="shared" si="77"/>
        <v>662.01649253731352</v>
      </c>
      <c r="AL416" s="87">
        <f t="shared" si="70"/>
        <v>88710.21</v>
      </c>
      <c r="AM416" s="401">
        <f>AE416-Y416</f>
        <v>55.65625215048135</v>
      </c>
      <c r="AN416" s="1000">
        <f>AF416-AL416</f>
        <v>-262.38000000001921</v>
      </c>
      <c r="AO416" s="212">
        <f t="shared" si="73"/>
        <v>-2.9577204247405028E-3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2"/>
      <c r="X417" s="1001"/>
      <c r="Y417" s="1003">
        <f>Z417/(D$13+D$97)</f>
        <v>0</v>
      </c>
      <c r="Z417" s="87">
        <v>0</v>
      </c>
      <c r="AA417" s="999"/>
      <c r="AB417" s="1003">
        <f>IF(AC417=0,0,AC417/(G$13+G$97))</f>
        <v>0</v>
      </c>
      <c r="AC417" s="87">
        <v>0</v>
      </c>
      <c r="AD417" s="404"/>
      <c r="AE417" s="1003">
        <f>IF(AF417=0,0,AF417/(J$13+J$97))</f>
        <v>0</v>
      </c>
      <c r="AF417" s="87">
        <v>0</v>
      </c>
      <c r="AG417" s="398">
        <f t="shared" si="68"/>
        <v>0</v>
      </c>
      <c r="AH417" s="1000">
        <f t="shared" si="68"/>
        <v>0</v>
      </c>
      <c r="AI417" s="1001">
        <f t="shared" si="69"/>
        <v>0</v>
      </c>
      <c r="AJ417" s="404"/>
      <c r="AK417" s="1000">
        <f>AL417/(O$13+O$97)</f>
        <v>0</v>
      </c>
      <c r="AL417" s="87"/>
      <c r="AM417" s="401">
        <f>AE417-Y417</f>
        <v>0</v>
      </c>
      <c r="AN417" s="1000">
        <f>AF417-AL417</f>
        <v>0</v>
      </c>
      <c r="AO417" s="211">
        <f t="shared" si="73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2"/>
      <c r="X418" s="1001"/>
      <c r="Y418" s="1003">
        <f>Z418/(D$13+D$97)</f>
        <v>0</v>
      </c>
      <c r="Z418" s="87">
        <v>0</v>
      </c>
      <c r="AA418" s="999"/>
      <c r="AB418" s="1003">
        <f>IF(AC418=0,0,AC418/(G$13+G$97))</f>
        <v>0</v>
      </c>
      <c r="AC418" s="87">
        <v>0</v>
      </c>
      <c r="AD418" s="404"/>
      <c r="AE418" s="1003">
        <f>IF(AF418=0,0,AF418/(J$13+J$97))</f>
        <v>0</v>
      </c>
      <c r="AF418" s="87">
        <v>0</v>
      </c>
      <c r="AG418" s="398">
        <f t="shared" si="68"/>
        <v>0</v>
      </c>
      <c r="AH418" s="1000">
        <f t="shared" si="68"/>
        <v>0</v>
      </c>
      <c r="AI418" s="1001">
        <f t="shared" si="69"/>
        <v>0</v>
      </c>
      <c r="AJ418" s="404"/>
      <c r="AK418" s="1000">
        <f>AL418/(O$13+O$97)</f>
        <v>0</v>
      </c>
      <c r="AL418" s="87"/>
      <c r="AM418" s="401">
        <f>AE418-Y418</f>
        <v>0</v>
      </c>
      <c r="AN418" s="1000">
        <f>AF418-AL418</f>
        <v>0</v>
      </c>
      <c r="AO418" s="211">
        <f t="shared" si="73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6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1002"/>
      <c r="X419" s="999"/>
      <c r="Y419" s="1003">
        <f>Z419/(D$13+D$97)</f>
        <v>0</v>
      </c>
      <c r="Z419" s="87">
        <v>0</v>
      </c>
      <c r="AA419" s="999"/>
      <c r="AB419" s="1003">
        <f>IF(AC419=0,0,AC419/(G$13+G$97))</f>
        <v>0</v>
      </c>
      <c r="AC419" s="87">
        <v>0</v>
      </c>
      <c r="AD419" s="404"/>
      <c r="AE419" s="1003">
        <f>IF(AF419=0,0,AF419/(J$13+J$97))</f>
        <v>0</v>
      </c>
      <c r="AF419" s="87">
        <v>0</v>
      </c>
      <c r="AG419" s="398">
        <f t="shared" si="68"/>
        <v>0</v>
      </c>
      <c r="AH419" s="1000">
        <f t="shared" si="68"/>
        <v>0</v>
      </c>
      <c r="AI419" s="1001">
        <f t="shared" si="69"/>
        <v>0</v>
      </c>
      <c r="AJ419" s="404"/>
      <c r="AK419" s="1000">
        <f>AL419/(O$13+O$97)</f>
        <v>0</v>
      </c>
      <c r="AL419" s="87"/>
      <c r="AM419" s="401">
        <f>AE419-Y419</f>
        <v>0</v>
      </c>
      <c r="AN419" s="1000">
        <f>AF419-AL419</f>
        <v>0</v>
      </c>
      <c r="AO419" s="211">
        <f t="shared" si="73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">
      <c r="A420" t="str">
        <f t="shared" si="6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0.22335114313747134</v>
      </c>
      <c r="Y420" s="88"/>
      <c r="Z420" s="90">
        <f>SUM(Z410:Z419)</f>
        <v>405662.74060865457</v>
      </c>
      <c r="AA420" s="89" t="e">
        <f>AC420/AC408</f>
        <v>#DIV/0!</v>
      </c>
      <c r="AB420" s="88"/>
      <c r="AC420" s="90">
        <f>SUM(AC410:AC419)</f>
        <v>0</v>
      </c>
      <c r="AD420" s="91">
        <f>AF420/AF408</f>
        <v>0.217499299075054</v>
      </c>
      <c r="AE420" s="88"/>
      <c r="AF420" s="90">
        <f>SUM(AF410:AF419)</f>
        <v>343358.32</v>
      </c>
      <c r="AG420" s="92"/>
      <c r="AH420" s="93">
        <f t="shared" si="68"/>
        <v>-62304.42060865456</v>
      </c>
      <c r="AI420" s="89">
        <f>AH420/Z420</f>
        <v>-0.15358674675217468</v>
      </c>
      <c r="AJ420" s="91">
        <f>IF($AL$407=0,0,AL420/$AL$407)</f>
        <v>2.9580062566387174E-2</v>
      </c>
      <c r="AK420" s="88"/>
      <c r="AL420" s="90">
        <f>SUM(AL410:AL419)</f>
        <v>442652.69</v>
      </c>
      <c r="AM420" s="94"/>
      <c r="AN420" s="93">
        <f t="shared" ref="AN420:AN432" si="78">AF420-AL420</f>
        <v>-99294.37</v>
      </c>
      <c r="AO420" s="395">
        <f t="shared" si="73"/>
        <v>-0.22431665331119979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1002" t="s">
        <v>204</v>
      </c>
      <c r="X421" s="999"/>
      <c r="Y421" s="999"/>
      <c r="Z421" s="87">
        <v>50082.375478927206</v>
      </c>
      <c r="AA421" s="999"/>
      <c r="AB421" s="999">
        <f t="shared" ref="AB421:AB431" si="79">IF(AC421=0,0,AC421/(G$13+G$97))</f>
        <v>0</v>
      </c>
      <c r="AC421" s="87">
        <v>0</v>
      </c>
      <c r="AD421" s="404"/>
      <c r="AE421" s="1003"/>
      <c r="AF421" s="87">
        <v>49407.75</v>
      </c>
      <c r="AG421" s="398"/>
      <c r="AH421" s="1000">
        <f t="shared" si="68"/>
        <v>-674.62547892720613</v>
      </c>
      <c r="AI421" s="1001">
        <f t="shared" ref="AI421:AI433" si="80">IF(Z421=0,0,AH421/Z421)</f>
        <v>-1.34703171020924E-2</v>
      </c>
      <c r="AJ421" s="404"/>
      <c r="AK421" s="999"/>
      <c r="AL421" s="87">
        <v>45428.279999999904</v>
      </c>
      <c r="AM421" s="401"/>
      <c r="AN421" s="1000">
        <f t="shared" si="78"/>
        <v>3979.4700000000958</v>
      </c>
      <c r="AO421" s="211">
        <f t="shared" si="73"/>
        <v>8.7598958181998171E-2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1002" t="s">
        <v>205</v>
      </c>
      <c r="X422" s="999"/>
      <c r="Y422" s="999"/>
      <c r="Z422" s="87">
        <v>107885.21508896237</v>
      </c>
      <c r="AA422" s="999"/>
      <c r="AB422" s="999">
        <f t="shared" si="79"/>
        <v>0</v>
      </c>
      <c r="AC422" s="87">
        <v>0</v>
      </c>
      <c r="AD422" s="404"/>
      <c r="AE422" s="1003"/>
      <c r="AF422" s="87">
        <v>82537.920000000013</v>
      </c>
      <c r="AG422" s="398"/>
      <c r="AH422" s="1000">
        <f t="shared" si="68"/>
        <v>-25347.295088962361</v>
      </c>
      <c r="AI422" s="1001">
        <f t="shared" si="80"/>
        <v>-0.23494688376030884</v>
      </c>
      <c r="AJ422" s="404"/>
      <c r="AK422" s="999"/>
      <c r="AL422" s="87">
        <f>+SUMIF($C:$C,$V422,Q:Q)</f>
        <v>102831.95</v>
      </c>
      <c r="AM422" s="401"/>
      <c r="AN422" s="1000">
        <f t="shared" si="78"/>
        <v>-20294.029999999984</v>
      </c>
      <c r="AO422" s="211">
        <f t="shared" si="73"/>
        <v>-0.19735140683415986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v>43772.148134858115</v>
      </c>
      <c r="AA423" s="387"/>
      <c r="AB423" s="387">
        <f t="shared" si="79"/>
        <v>0</v>
      </c>
      <c r="AC423" s="388">
        <v>0</v>
      </c>
      <c r="AD423" s="407"/>
      <c r="AE423" s="406"/>
      <c r="AF423" s="388">
        <v>31936.719999999998</v>
      </c>
      <c r="AG423" s="389"/>
      <c r="AH423" s="390">
        <f t="shared" si="68"/>
        <v>-11835.428134858117</v>
      </c>
      <c r="AI423" s="408">
        <f t="shared" si="80"/>
        <v>-0.27038719000936873</v>
      </c>
      <c r="AJ423" s="407"/>
      <c r="AK423" s="387"/>
      <c r="AL423" s="388">
        <f>+SUMIF($C:$C,$V423,Q:Q)</f>
        <v>61349.210000000006</v>
      </c>
      <c r="AM423" s="392"/>
      <c r="AN423" s="390">
        <f t="shared" si="78"/>
        <v>-29412.490000000009</v>
      </c>
      <c r="AO423" s="393">
        <f t="shared" si="73"/>
        <v>-0.479427363449342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1002" t="s">
        <v>207</v>
      </c>
      <c r="X424" s="999"/>
      <c r="Y424" s="999"/>
      <c r="Z424" s="87">
        <v>101069.24614889</v>
      </c>
      <c r="AA424" s="999"/>
      <c r="AB424" s="999">
        <f t="shared" si="79"/>
        <v>0</v>
      </c>
      <c r="AC424" s="87">
        <v>0</v>
      </c>
      <c r="AD424" s="404"/>
      <c r="AE424" s="1003"/>
      <c r="AF424" s="87">
        <v>96972.56</v>
      </c>
      <c r="AG424" s="398"/>
      <c r="AH424" s="1000">
        <f t="shared" si="68"/>
        <v>-4096.6861488900031</v>
      </c>
      <c r="AI424" s="1001">
        <f t="shared" si="80"/>
        <v>-4.0533459039112416E-2</v>
      </c>
      <c r="AJ424" s="404"/>
      <c r="AK424" s="999"/>
      <c r="AL424" s="87">
        <f>+SUMIF($C:$C,$V424,Q:Q)</f>
        <v>81379.320000000007</v>
      </c>
      <c r="AM424" s="401"/>
      <c r="AN424" s="1000">
        <f t="shared" si="78"/>
        <v>15593.239999999991</v>
      </c>
      <c r="AO424" s="211">
        <f t="shared" si="73"/>
        <v>0.19161182472402066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6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1002" t="s">
        <v>208</v>
      </c>
      <c r="X425" s="999"/>
      <c r="Y425" s="999"/>
      <c r="Z425" s="87">
        <v>45733.513409961684</v>
      </c>
      <c r="AA425" s="999"/>
      <c r="AB425" s="999">
        <f t="shared" si="79"/>
        <v>0</v>
      </c>
      <c r="AC425" s="87">
        <v>0</v>
      </c>
      <c r="AD425" s="404"/>
      <c r="AE425" s="1003"/>
      <c r="AF425" s="87">
        <v>45532.57</v>
      </c>
      <c r="AG425" s="398"/>
      <c r="AH425" s="1000">
        <f t="shared" si="68"/>
        <v>-200.94340996168467</v>
      </c>
      <c r="AI425" s="1001">
        <f t="shared" si="80"/>
        <v>-4.3937890395692875E-3</v>
      </c>
      <c r="AJ425" s="404"/>
      <c r="AK425" s="999"/>
      <c r="AL425" s="87">
        <f>+SUMIF($C:$C,$V425,Q:Q)</f>
        <v>45118.130000000005</v>
      </c>
      <c r="AM425" s="401"/>
      <c r="AN425" s="1000">
        <f t="shared" si="78"/>
        <v>414.43999999999505</v>
      </c>
      <c r="AO425" s="211">
        <f t="shared" si="73"/>
        <v>9.1856643881294501E-3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2"/>
      <c r="X426" s="999"/>
      <c r="Y426" s="999"/>
      <c r="Z426" s="1000">
        <v>0</v>
      </c>
      <c r="AA426" s="999"/>
      <c r="AB426" s="999">
        <f t="shared" si="79"/>
        <v>0</v>
      </c>
      <c r="AC426" s="1000">
        <v>0</v>
      </c>
      <c r="AD426" s="404"/>
      <c r="AE426" s="1003"/>
      <c r="AF426" s="87">
        <v>0</v>
      </c>
      <c r="AG426" s="398"/>
      <c r="AH426" s="1000">
        <f t="shared" ref="AH426:AH437" si="81">AF426-Z426</f>
        <v>0</v>
      </c>
      <c r="AI426" s="1001">
        <f t="shared" si="80"/>
        <v>0</v>
      </c>
      <c r="AJ426" s="404"/>
      <c r="AK426" s="999"/>
      <c r="AL426" s="87"/>
      <c r="AM426" s="401"/>
      <c r="AN426" s="1000">
        <f t="shared" si="78"/>
        <v>0</v>
      </c>
      <c r="AO426" s="211">
        <f t="shared" si="73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2"/>
      <c r="X427" s="999"/>
      <c r="Y427" s="999"/>
      <c r="Z427" s="1000">
        <v>0</v>
      </c>
      <c r="AA427" s="999"/>
      <c r="AB427" s="999">
        <f t="shared" si="79"/>
        <v>0</v>
      </c>
      <c r="AC427" s="1000">
        <v>0</v>
      </c>
      <c r="AD427" s="404"/>
      <c r="AE427" s="1003"/>
      <c r="AF427" s="87">
        <v>0</v>
      </c>
      <c r="AG427" s="398"/>
      <c r="AH427" s="1000">
        <f t="shared" si="81"/>
        <v>0</v>
      </c>
      <c r="AI427" s="1001">
        <f t="shared" si="80"/>
        <v>0</v>
      </c>
      <c r="AJ427" s="404"/>
      <c r="AK427" s="999"/>
      <c r="AL427" s="87"/>
      <c r="AM427" s="401"/>
      <c r="AN427" s="1000">
        <f t="shared" si="78"/>
        <v>0</v>
      </c>
      <c r="AO427" s="211">
        <f t="shared" si="73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6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1002"/>
      <c r="X428" s="999"/>
      <c r="Y428" s="999"/>
      <c r="Z428" s="1000">
        <v>0</v>
      </c>
      <c r="AA428" s="999"/>
      <c r="AB428" s="999">
        <f t="shared" si="79"/>
        <v>0</v>
      </c>
      <c r="AC428" s="1000">
        <v>0</v>
      </c>
      <c r="AD428" s="404"/>
      <c r="AE428" s="1003"/>
      <c r="AF428" s="87">
        <v>0</v>
      </c>
      <c r="AG428" s="398"/>
      <c r="AH428" s="1000">
        <f t="shared" si="81"/>
        <v>0</v>
      </c>
      <c r="AI428" s="1001">
        <f t="shared" si="80"/>
        <v>0</v>
      </c>
      <c r="AJ428" s="404"/>
      <c r="AK428" s="999"/>
      <c r="AL428" s="87"/>
      <c r="AM428" s="401"/>
      <c r="AN428" s="1000">
        <f t="shared" si="78"/>
        <v>0</v>
      </c>
      <c r="AO428" s="211">
        <f t="shared" si="73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v>104773.69881528569</v>
      </c>
      <c r="AA429" s="387"/>
      <c r="AB429" s="387">
        <f t="shared" si="79"/>
        <v>0</v>
      </c>
      <c r="AC429" s="388">
        <v>0</v>
      </c>
      <c r="AD429" s="407"/>
      <c r="AE429" s="406"/>
      <c r="AF429" s="388">
        <v>82298.12</v>
      </c>
      <c r="AG429" s="389"/>
      <c r="AH429" s="390">
        <f t="shared" si="81"/>
        <v>-22475.578815285699</v>
      </c>
      <c r="AI429" s="408">
        <f t="shared" si="80"/>
        <v>-0.21451546589864862</v>
      </c>
      <c r="AJ429" s="407"/>
      <c r="AK429" s="387"/>
      <c r="AL429" s="388">
        <f>+SUMIF($C:$C,$V429,Q:Q)</f>
        <v>83929.71</v>
      </c>
      <c r="AM429" s="392"/>
      <c r="AN429" s="390">
        <f t="shared" si="78"/>
        <v>-1631.5900000000111</v>
      </c>
      <c r="AO429" s="212">
        <f t="shared" si="73"/>
        <v>-1.9439957554958916E-2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1002" t="s">
        <v>210</v>
      </c>
      <c r="X430" s="999"/>
      <c r="Y430" s="999"/>
      <c r="Z430" s="87">
        <v>110527.16143841308</v>
      </c>
      <c r="AA430" s="999"/>
      <c r="AB430" s="999">
        <f t="shared" si="79"/>
        <v>0</v>
      </c>
      <c r="AC430" s="87">
        <v>0</v>
      </c>
      <c r="AD430" s="404"/>
      <c r="AE430" s="1003"/>
      <c r="AF430" s="87">
        <v>95227.01999999999</v>
      </c>
      <c r="AG430" s="398"/>
      <c r="AH430" s="1000">
        <f t="shared" si="81"/>
        <v>-15300.141438413091</v>
      </c>
      <c r="AI430" s="1001">
        <f t="shared" si="80"/>
        <v>-0.13842879197561311</v>
      </c>
      <c r="AJ430" s="404"/>
      <c r="AK430" s="999"/>
      <c r="AL430" s="87">
        <f>+SUMIF($C:$C,$V430,Q:Q)</f>
        <v>108789.37999999999</v>
      </c>
      <c r="AM430" s="401"/>
      <c r="AN430" s="1000">
        <f t="shared" si="78"/>
        <v>-13562.36</v>
      </c>
      <c r="AO430" s="211">
        <f t="shared" si="73"/>
        <v>-0.12466621282334729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1002" t="s">
        <v>211</v>
      </c>
      <c r="X431" s="999"/>
      <c r="Y431" s="999"/>
      <c r="Z431" s="87">
        <v>74375.26445032761</v>
      </c>
      <c r="AA431" s="999"/>
      <c r="AB431" s="999">
        <f t="shared" si="79"/>
        <v>0</v>
      </c>
      <c r="AC431" s="87">
        <v>0</v>
      </c>
      <c r="AD431" s="404"/>
      <c r="AE431" s="1003"/>
      <c r="AF431" s="87">
        <v>44037.149999999994</v>
      </c>
      <c r="AG431" s="398"/>
      <c r="AH431" s="1000">
        <f t="shared" si="81"/>
        <v>-30338.114450327615</v>
      </c>
      <c r="AI431" s="1001">
        <f t="shared" si="80"/>
        <v>-0.40790597081626889</v>
      </c>
      <c r="AJ431" s="404"/>
      <c r="AK431" s="999"/>
      <c r="AL431" s="87">
        <f>+SUMIF($C:$C,$V431,Q:Q)</f>
        <v>45320.219999999994</v>
      </c>
      <c r="AM431" s="401"/>
      <c r="AN431" s="1000">
        <f t="shared" si="78"/>
        <v>-1283.0699999999997</v>
      </c>
      <c r="AO431" s="211">
        <f t="shared" si="73"/>
        <v>-2.8311204138020511E-2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6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1002"/>
      <c r="X432" s="999"/>
      <c r="Y432" s="999"/>
      <c r="Z432" s="87">
        <v>20058.633001786075</v>
      </c>
      <c r="AA432" s="999"/>
      <c r="AB432" s="999">
        <f>IF(AC432=0,0,AC432/(G$13+G$97))</f>
        <v>0</v>
      </c>
      <c r="AC432" s="87">
        <v>0</v>
      </c>
      <c r="AD432" s="404"/>
      <c r="AE432" s="1003"/>
      <c r="AF432" s="87">
        <v>13091.21</v>
      </c>
      <c r="AG432" s="398"/>
      <c r="AH432" s="1000">
        <f t="shared" si="81"/>
        <v>-6967.4230017860755</v>
      </c>
      <c r="AI432" s="97">
        <f t="shared" si="80"/>
        <v>-0.34735283312505283</v>
      </c>
      <c r="AJ432" s="404"/>
      <c r="AK432" s="999"/>
      <c r="AL432" s="87">
        <f>+SUMIF($C:$C,$V432,Q:Q)</f>
        <v>19523.5</v>
      </c>
      <c r="AM432" s="401"/>
      <c r="AN432" s="1000">
        <f t="shared" si="78"/>
        <v>-6432.2900000000009</v>
      </c>
      <c r="AO432" s="212">
        <f t="shared" si="73"/>
        <v>-0.32946397930698906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6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1002"/>
      <c r="X433" s="999"/>
      <c r="Y433" s="1003"/>
      <c r="Z433" s="1000">
        <v>0</v>
      </c>
      <c r="AA433" s="999"/>
      <c r="AB433" s="999">
        <f>IF(AC433=0,0,AC433/(G$13+G$97))</f>
        <v>0</v>
      </c>
      <c r="AC433" s="1000">
        <v>0</v>
      </c>
      <c r="AD433" s="404"/>
      <c r="AE433" s="1003"/>
      <c r="AF433" s="87">
        <v>0</v>
      </c>
      <c r="AG433" s="398"/>
      <c r="AH433" s="1000">
        <f t="shared" si="81"/>
        <v>0</v>
      </c>
      <c r="AI433" s="1001">
        <f t="shared" si="80"/>
        <v>0</v>
      </c>
      <c r="AJ433" s="404"/>
      <c r="AK433" s="999">
        <f>AL433/(O$13+O$97)</f>
        <v>0</v>
      </c>
      <c r="AL433" s="87"/>
      <c r="AM433" s="401"/>
      <c r="AN433" s="1000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0.3624364845564092</v>
      </c>
      <c r="Y434" s="88"/>
      <c r="Z434" s="90">
        <f>SUM(Z421:Z433)</f>
        <v>658277.25596741179</v>
      </c>
      <c r="AA434" s="89" t="e">
        <f>AC434/AC408</f>
        <v>#DIV/0!</v>
      </c>
      <c r="AB434" s="88"/>
      <c r="AC434" s="90">
        <f>SUM(AC421:AC433)</f>
        <v>0</v>
      </c>
      <c r="AD434" s="91">
        <f>AF434/AF408</f>
        <v>0.34272081311689861</v>
      </c>
      <c r="AE434" s="98"/>
      <c r="AF434" s="90">
        <f>SUM(AF421:AF433)</f>
        <v>541041.02</v>
      </c>
      <c r="AG434" s="99"/>
      <c r="AH434" s="93">
        <f t="shared" si="81"/>
        <v>-117236.23596741178</v>
      </c>
      <c r="AI434" s="89">
        <f>AH434/Z434</f>
        <v>-0.17809552875272905</v>
      </c>
      <c r="AJ434" s="91">
        <f>IF($AL$407=0,0,AL434/$AL$407)</f>
        <v>3.9671704852326316E-2</v>
      </c>
      <c r="AK434" s="88"/>
      <c r="AL434" s="90">
        <f>SUM(AL421:AL433)</f>
        <v>593669.69999999984</v>
      </c>
      <c r="AM434" s="100"/>
      <c r="AN434" s="93">
        <f t="shared" ref="AN434:AN440" si="82">AF434-AL434</f>
        <v>-52628.679999999818</v>
      </c>
      <c r="AO434" s="395">
        <f>IF(AL434=0,0,AN434/AL434)</f>
        <v>-8.8649766023093032E-2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v>11555.220645158879</v>
      </c>
      <c r="AA435" s="411"/>
      <c r="AB435" s="411">
        <f t="shared" ref="AB435:AB452" si="83">IF(AC435=0,0,AC435/(G$13+G$97))</f>
        <v>0</v>
      </c>
      <c r="AC435" s="237">
        <v>0</v>
      </c>
      <c r="AD435" s="412"/>
      <c r="AE435" s="413"/>
      <c r="AF435" s="237">
        <v>14261.92</v>
      </c>
      <c r="AG435" s="412"/>
      <c r="AH435" s="414">
        <f t="shared" si="81"/>
        <v>2706.699354841121</v>
      </c>
      <c r="AI435" s="415">
        <f t="shared" ref="AI435:AI452" si="84">IF(Z435=0,0,AH435/Z435)</f>
        <v>0.23424038691767493</v>
      </c>
      <c r="AJ435" s="412"/>
      <c r="AK435" s="411"/>
      <c r="AL435" s="237">
        <f t="shared" ref="AL435:AL448" si="85">+SUMIF($C:$C,$V435,Q:Q)</f>
        <v>29964.55</v>
      </c>
      <c r="AM435" s="416"/>
      <c r="AN435" s="414">
        <f t="shared" si="82"/>
        <v>-15702.63</v>
      </c>
      <c r="AO435" s="210">
        <f t="shared" ref="AO435:AO440" si="86">IF(AL435=0,0,AN435/AL435)</f>
        <v>-0.52404024088464529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1002" t="s">
        <v>212</v>
      </c>
      <c r="X436" s="999"/>
      <c r="Y436" s="999"/>
      <c r="Z436" s="87">
        <v>13125</v>
      </c>
      <c r="AA436" s="999"/>
      <c r="AB436" s="999">
        <f t="shared" si="83"/>
        <v>0</v>
      </c>
      <c r="AC436" s="87">
        <v>0</v>
      </c>
      <c r="AD436" s="404"/>
      <c r="AE436" s="1003"/>
      <c r="AF436" s="87">
        <v>19406.990000000002</v>
      </c>
      <c r="AG436" s="398"/>
      <c r="AH436" s="1000">
        <f t="shared" si="81"/>
        <v>6281.9900000000016</v>
      </c>
      <c r="AI436" s="1001">
        <f t="shared" si="84"/>
        <v>0.47862780952380962</v>
      </c>
      <c r="AJ436" s="404"/>
      <c r="AK436" s="999"/>
      <c r="AL436" s="87">
        <f t="shared" si="85"/>
        <v>13745.61</v>
      </c>
      <c r="AM436" s="401"/>
      <c r="AN436" s="1000">
        <f t="shared" si="82"/>
        <v>5661.380000000001</v>
      </c>
      <c r="AO436" s="211">
        <f t="shared" si="86"/>
        <v>0.41186822556438024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6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v>45231</v>
      </c>
      <c r="AA437" s="387"/>
      <c r="AB437" s="387">
        <f t="shared" si="83"/>
        <v>0</v>
      </c>
      <c r="AC437" s="388">
        <v>0</v>
      </c>
      <c r="AD437" s="407"/>
      <c r="AE437" s="406"/>
      <c r="AF437" s="388">
        <v>40264.930000000008</v>
      </c>
      <c r="AG437" s="389"/>
      <c r="AH437" s="390">
        <f t="shared" si="81"/>
        <v>-4966.0699999999924</v>
      </c>
      <c r="AI437" s="408">
        <f t="shared" si="84"/>
        <v>-0.10979350445490908</v>
      </c>
      <c r="AJ437" s="407"/>
      <c r="AK437" s="387"/>
      <c r="AL437" s="388">
        <f t="shared" si="85"/>
        <v>66021.809999999983</v>
      </c>
      <c r="AM437" s="392"/>
      <c r="AN437" s="390">
        <f t="shared" si="82"/>
        <v>-25756.879999999976</v>
      </c>
      <c r="AO437" s="393">
        <f t="shared" si="86"/>
        <v>-0.39012683838870793</v>
      </c>
      <c r="AP437" s="79"/>
      <c r="AQ437" s="808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1002" t="s">
        <v>214</v>
      </c>
      <c r="X438" s="999"/>
      <c r="Y438" s="999"/>
      <c r="Z438" s="87">
        <v>67703.260000000009</v>
      </c>
      <c r="AA438" s="999"/>
      <c r="AB438" s="999">
        <f t="shared" si="83"/>
        <v>0</v>
      </c>
      <c r="AC438" s="87">
        <v>0</v>
      </c>
      <c r="AD438" s="404"/>
      <c r="AE438" s="1003"/>
      <c r="AF438" s="87">
        <v>68417.22</v>
      </c>
      <c r="AG438" s="398"/>
      <c r="AH438" s="1000">
        <f>AF438-Z438</f>
        <v>713.95999999999185</v>
      </c>
      <c r="AI438" s="1001">
        <f t="shared" si="84"/>
        <v>1.054543016096997E-2</v>
      </c>
      <c r="AJ438" s="404"/>
      <c r="AK438" s="999"/>
      <c r="AL438" s="87">
        <f t="shared" si="85"/>
        <v>44337.37</v>
      </c>
      <c r="AM438" s="401"/>
      <c r="AN438" s="1000">
        <f t="shared" si="82"/>
        <v>24079.85</v>
      </c>
      <c r="AO438" s="211">
        <f t="shared" si="86"/>
        <v>0.54310506013324644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1002" t="s">
        <v>215</v>
      </c>
      <c r="X439" s="999"/>
      <c r="Y439" s="999"/>
      <c r="Z439" s="87">
        <v>12475</v>
      </c>
      <c r="AA439" s="999"/>
      <c r="AB439" s="999">
        <f t="shared" si="83"/>
        <v>0</v>
      </c>
      <c r="AC439" s="87">
        <v>0</v>
      </c>
      <c r="AD439" s="404"/>
      <c r="AE439" s="1003"/>
      <c r="AF439" s="87">
        <v>22240.010000000002</v>
      </c>
      <c r="AG439" s="398"/>
      <c r="AH439" s="1000">
        <f t="shared" ref="AH439:AH452" si="87">AF439-Z439</f>
        <v>9765.010000000002</v>
      </c>
      <c r="AI439" s="1001">
        <f t="shared" si="84"/>
        <v>0.7827663326653308</v>
      </c>
      <c r="AJ439" s="404"/>
      <c r="AK439" s="999"/>
      <c r="AL439" s="87">
        <f t="shared" si="85"/>
        <v>5556.2100000000009</v>
      </c>
      <c r="AM439" s="401"/>
      <c r="AN439" s="1000">
        <f t="shared" si="82"/>
        <v>16683.800000000003</v>
      </c>
      <c r="AO439" s="211">
        <f t="shared" si="86"/>
        <v>3.0027302783732077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6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1002" t="s">
        <v>216</v>
      </c>
      <c r="X440" s="999"/>
      <c r="Y440" s="999"/>
      <c r="Z440" s="87">
        <v>33968.04</v>
      </c>
      <c r="AA440" s="999"/>
      <c r="AB440" s="999">
        <f t="shared" si="83"/>
        <v>0</v>
      </c>
      <c r="AC440" s="87">
        <v>0</v>
      </c>
      <c r="AD440" s="404"/>
      <c r="AE440" s="1003"/>
      <c r="AF440" s="87">
        <v>50284.57</v>
      </c>
      <c r="AG440" s="398"/>
      <c r="AH440" s="1000">
        <f t="shared" si="87"/>
        <v>16316.529999999999</v>
      </c>
      <c r="AI440" s="1001">
        <f t="shared" si="84"/>
        <v>0.48034946967796782</v>
      </c>
      <c r="AJ440" s="404"/>
      <c r="AK440" s="999"/>
      <c r="AL440" s="87">
        <f t="shared" si="85"/>
        <v>26101.169999999991</v>
      </c>
      <c r="AM440" s="401"/>
      <c r="AN440" s="1000">
        <f t="shared" si="82"/>
        <v>24183.400000000009</v>
      </c>
      <c r="AO440" s="211">
        <f t="shared" si="86"/>
        <v>0.92652551590599264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v>0</v>
      </c>
      <c r="AA441" s="583"/>
      <c r="AB441" s="583">
        <f t="shared" si="83"/>
        <v>0</v>
      </c>
      <c r="AC441" s="584">
        <v>0</v>
      </c>
      <c r="AD441" s="585"/>
      <c r="AE441" s="586"/>
      <c r="AF441" s="584">
        <v>0</v>
      </c>
      <c r="AG441" s="587"/>
      <c r="AH441" s="588">
        <f t="shared" si="87"/>
        <v>0</v>
      </c>
      <c r="AI441" s="589">
        <f t="shared" si="84"/>
        <v>0</v>
      </c>
      <c r="AJ441" s="585"/>
      <c r="AK441" s="583"/>
      <c r="AL441" s="584">
        <f t="shared" si="85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ref="A442:A500" si="88">+U442&amp;V442</f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1002" t="s">
        <v>217</v>
      </c>
      <c r="X442" s="999"/>
      <c r="Y442" s="1003"/>
      <c r="Z442" s="87">
        <v>10061.25</v>
      </c>
      <c r="AA442" s="999"/>
      <c r="AB442" s="1003">
        <f t="shared" si="83"/>
        <v>0</v>
      </c>
      <c r="AC442" s="87">
        <v>0</v>
      </c>
      <c r="AD442" s="404"/>
      <c r="AE442" s="1003"/>
      <c r="AF442" s="87">
        <v>15476.12</v>
      </c>
      <c r="AG442" s="398"/>
      <c r="AH442" s="1000">
        <f t="shared" si="87"/>
        <v>5414.8700000000008</v>
      </c>
      <c r="AI442" s="1001">
        <f t="shared" si="84"/>
        <v>0.53819058268107844</v>
      </c>
      <c r="AJ442" s="404"/>
      <c r="AK442" s="999"/>
      <c r="AL442" s="87">
        <f t="shared" si="85"/>
        <v>8790.2100000000009</v>
      </c>
      <c r="AM442" s="401"/>
      <c r="AN442" s="1000">
        <f t="shared" ref="AN442:AN448" si="89">AF442-AL442</f>
        <v>6685.91</v>
      </c>
      <c r="AO442" s="211">
        <f t="shared" ref="AO442:AO448" si="90">IF(AL442=0,0,AN442/AL442)</f>
        <v>0.76060867715333302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8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1002" t="s">
        <v>2973</v>
      </c>
      <c r="X443" s="999"/>
      <c r="Y443" s="999"/>
      <c r="Z443" s="87">
        <v>4200</v>
      </c>
      <c r="AA443" s="999"/>
      <c r="AB443" s="999">
        <f t="shared" si="83"/>
        <v>0</v>
      </c>
      <c r="AC443" s="87">
        <v>0</v>
      </c>
      <c r="AD443" s="404"/>
      <c r="AE443" s="1003"/>
      <c r="AF443" s="87">
        <v>4476.59</v>
      </c>
      <c r="AG443" s="398"/>
      <c r="AH443" s="1000">
        <f t="shared" si="87"/>
        <v>276.59000000000015</v>
      </c>
      <c r="AI443" s="97">
        <f t="shared" si="84"/>
        <v>6.5854761904761944E-2</v>
      </c>
      <c r="AJ443" s="404"/>
      <c r="AK443" s="999"/>
      <c r="AL443" s="87">
        <f t="shared" si="85"/>
        <v>3482.61</v>
      </c>
      <c r="AM443" s="401"/>
      <c r="AN443" s="1000">
        <f t="shared" si="89"/>
        <v>993.98</v>
      </c>
      <c r="AO443" s="211">
        <f t="shared" si="90"/>
        <v>0.2854123774984853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8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1002" t="s">
        <v>218</v>
      </c>
      <c r="X444" s="999"/>
      <c r="Y444" s="999"/>
      <c r="Z444" s="87">
        <v>4350</v>
      </c>
      <c r="AA444" s="999"/>
      <c r="AB444" s="999">
        <f t="shared" si="83"/>
        <v>0</v>
      </c>
      <c r="AC444" s="87">
        <v>0</v>
      </c>
      <c r="AD444" s="404"/>
      <c r="AE444" s="1003"/>
      <c r="AF444" s="87">
        <v>5015.5200000000004</v>
      </c>
      <c r="AG444" s="398"/>
      <c r="AH444" s="1000">
        <f t="shared" si="87"/>
        <v>665.52000000000044</v>
      </c>
      <c r="AI444" s="1001">
        <f t="shared" si="84"/>
        <v>0.15299310344827596</v>
      </c>
      <c r="AJ444" s="404"/>
      <c r="AK444" s="999"/>
      <c r="AL444" s="87">
        <f t="shared" si="85"/>
        <v>5313.5599999999995</v>
      </c>
      <c r="AM444" s="401"/>
      <c r="AN444" s="1000">
        <f t="shared" si="89"/>
        <v>-298.03999999999905</v>
      </c>
      <c r="AO444" s="211">
        <f t="shared" si="90"/>
        <v>-5.6090455363259108E-2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8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1002" t="s">
        <v>219</v>
      </c>
      <c r="X445" s="999"/>
      <c r="Y445" s="999"/>
      <c r="Z445" s="87">
        <v>1347</v>
      </c>
      <c r="AA445" s="999"/>
      <c r="AB445" s="999">
        <f t="shared" si="83"/>
        <v>0</v>
      </c>
      <c r="AC445" s="87">
        <v>0</v>
      </c>
      <c r="AD445" s="404"/>
      <c r="AE445" s="1003"/>
      <c r="AF445" s="87">
        <v>2410.41</v>
      </c>
      <c r="AG445" s="398"/>
      <c r="AH445" s="1000">
        <f t="shared" si="87"/>
        <v>1063.4099999999999</v>
      </c>
      <c r="AI445" s="97">
        <f t="shared" si="84"/>
        <v>0.78946547884187068</v>
      </c>
      <c r="AJ445" s="404"/>
      <c r="AK445" s="999"/>
      <c r="AL445" s="87">
        <f t="shared" si="85"/>
        <v>1403.95</v>
      </c>
      <c r="AM445" s="401"/>
      <c r="AN445" s="1000">
        <f t="shared" si="89"/>
        <v>1006.4599999999998</v>
      </c>
      <c r="AO445" s="211">
        <f t="shared" si="90"/>
        <v>0.7168773816731363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8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1002" t="s">
        <v>220</v>
      </c>
      <c r="X446" s="999"/>
      <c r="Y446" s="999"/>
      <c r="Z446" s="87">
        <v>8475</v>
      </c>
      <c r="AA446" s="999"/>
      <c r="AB446" s="999">
        <f t="shared" si="83"/>
        <v>0</v>
      </c>
      <c r="AC446" s="87">
        <v>0</v>
      </c>
      <c r="AD446" s="404"/>
      <c r="AE446" s="1003"/>
      <c r="AF446" s="87">
        <v>6601.69</v>
      </c>
      <c r="AG446" s="398"/>
      <c r="AH446" s="1000">
        <f t="shared" si="87"/>
        <v>-1873.3100000000004</v>
      </c>
      <c r="AI446" s="1001">
        <f t="shared" si="84"/>
        <v>-0.22103952802359886</v>
      </c>
      <c r="AJ446" s="404"/>
      <c r="AK446" s="999"/>
      <c r="AL446" s="87">
        <f t="shared" si="85"/>
        <v>3357.24</v>
      </c>
      <c r="AM446" s="401"/>
      <c r="AN446" s="1000">
        <f t="shared" si="89"/>
        <v>3244.45</v>
      </c>
      <c r="AO446" s="211">
        <f t="shared" si="90"/>
        <v>0.96640395086440056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8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1002" t="s">
        <v>221</v>
      </c>
      <c r="X447" s="999"/>
      <c r="Y447" s="1003"/>
      <c r="Z447" s="87">
        <v>4664.9999999999991</v>
      </c>
      <c r="AA447" s="999"/>
      <c r="AB447" s="1003">
        <f t="shared" si="83"/>
        <v>0</v>
      </c>
      <c r="AC447" s="87">
        <v>0</v>
      </c>
      <c r="AD447" s="404"/>
      <c r="AE447" s="1003"/>
      <c r="AF447" s="87">
        <v>6505.78</v>
      </c>
      <c r="AG447" s="398"/>
      <c r="AH447" s="1000">
        <f t="shared" si="87"/>
        <v>1840.7800000000007</v>
      </c>
      <c r="AI447" s="97">
        <f t="shared" si="84"/>
        <v>0.39459378349410523</v>
      </c>
      <c r="AJ447" s="404"/>
      <c r="AK447" s="999"/>
      <c r="AL447" s="87">
        <f t="shared" si="85"/>
        <v>9503.0399999999991</v>
      </c>
      <c r="AM447" s="401"/>
      <c r="AN447" s="1000">
        <f t="shared" si="89"/>
        <v>-2997.2599999999993</v>
      </c>
      <c r="AO447" s="211">
        <f t="shared" si="90"/>
        <v>-0.31540012459170957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8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1002" t="s">
        <v>222</v>
      </c>
      <c r="X448" s="999"/>
      <c r="Y448" s="1003"/>
      <c r="Z448" s="87">
        <v>7111.9600000000009</v>
      </c>
      <c r="AA448" s="999"/>
      <c r="AB448" s="1003">
        <f t="shared" si="83"/>
        <v>0</v>
      </c>
      <c r="AC448" s="87">
        <v>0</v>
      </c>
      <c r="AD448" s="404"/>
      <c r="AE448" s="1003"/>
      <c r="AF448" s="87">
        <v>3633.56</v>
      </c>
      <c r="AG448" s="398"/>
      <c r="AH448" s="1000">
        <f t="shared" si="87"/>
        <v>-3478.400000000001</v>
      </c>
      <c r="AI448" s="1001">
        <f t="shared" si="84"/>
        <v>-0.48909161468849666</v>
      </c>
      <c r="AJ448" s="404"/>
      <c r="AK448" s="999"/>
      <c r="AL448" s="87">
        <f t="shared" si="85"/>
        <v>6634.61</v>
      </c>
      <c r="AM448" s="401"/>
      <c r="AN448" s="1000">
        <f t="shared" si="89"/>
        <v>-3001.0499999999997</v>
      </c>
      <c r="AO448" s="211">
        <f t="shared" si="90"/>
        <v>-0.45233254102351156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8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1002" t="s">
        <v>223</v>
      </c>
      <c r="X449" s="999"/>
      <c r="Y449" s="1003"/>
      <c r="Z449" s="87">
        <v>32651.377094951909</v>
      </c>
      <c r="AA449" s="999"/>
      <c r="AB449" s="1003">
        <f t="shared" si="83"/>
        <v>0</v>
      </c>
      <c r="AC449" s="87">
        <v>0</v>
      </c>
      <c r="AD449" s="404"/>
      <c r="AE449" s="1003"/>
      <c r="AF449" s="87">
        <v>26074.619999999995</v>
      </c>
      <c r="AG449" s="398"/>
      <c r="AH449" s="1000">
        <f t="shared" si="87"/>
        <v>-6576.757094951914</v>
      </c>
      <c r="AI449" s="1001">
        <f t="shared" si="84"/>
        <v>-0.20142357474927813</v>
      </c>
      <c r="AJ449" s="404"/>
      <c r="AK449" s="999"/>
      <c r="AL449" s="87">
        <v>25552.29</v>
      </c>
      <c r="AM449" s="401"/>
      <c r="AN449" s="1000">
        <f>AF449-AL449</f>
        <v>522.32999999999447</v>
      </c>
      <c r="AO449" s="211">
        <f>IF(AL449=0,0,AN449/AL449)</f>
        <v>2.0441612082517633E-2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88"/>
        <v>Mitsubishi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2974</v>
      </c>
      <c r="W450" s="1002"/>
      <c r="X450" s="999"/>
      <c r="Y450" s="1003"/>
      <c r="Z450" s="1000">
        <v>0</v>
      </c>
      <c r="AA450" s="999"/>
      <c r="AB450" s="999">
        <f t="shared" si="83"/>
        <v>0</v>
      </c>
      <c r="AC450" s="1000">
        <v>0</v>
      </c>
      <c r="AD450" s="404"/>
      <c r="AE450" s="1003"/>
      <c r="AF450" s="87">
        <v>0</v>
      </c>
      <c r="AG450" s="398"/>
      <c r="AH450" s="1000">
        <f t="shared" si="87"/>
        <v>0</v>
      </c>
      <c r="AI450" s="1001">
        <f t="shared" si="84"/>
        <v>0</v>
      </c>
      <c r="AJ450" s="404"/>
      <c r="AK450" s="999"/>
      <c r="AL450" s="87">
        <f>+SUMIF($C:$C,$V450,Q:Q)</f>
        <v>0</v>
      </c>
      <c r="AM450" s="401"/>
      <c r="AN450" s="1000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8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1002"/>
      <c r="X451" s="999"/>
      <c r="Y451" s="1003"/>
      <c r="Z451" s="1000">
        <v>0</v>
      </c>
      <c r="AA451" s="999"/>
      <c r="AB451" s="999">
        <f t="shared" si="83"/>
        <v>0</v>
      </c>
      <c r="AC451" s="1000">
        <v>0</v>
      </c>
      <c r="AD451" s="404"/>
      <c r="AE451" s="1003"/>
      <c r="AF451" s="87">
        <v>0</v>
      </c>
      <c r="AG451" s="398"/>
      <c r="AH451" s="1000">
        <f t="shared" si="87"/>
        <v>0</v>
      </c>
      <c r="AI451" s="1001">
        <f t="shared" si="84"/>
        <v>0</v>
      </c>
      <c r="AJ451" s="404"/>
      <c r="AK451" s="999"/>
      <c r="AL451" s="87"/>
      <c r="AM451" s="401"/>
      <c r="AN451" s="1000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8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1002"/>
      <c r="X452" s="999"/>
      <c r="Y452" s="1003"/>
      <c r="Z452" s="1000">
        <v>0</v>
      </c>
      <c r="AA452" s="999"/>
      <c r="AB452" s="999">
        <f t="shared" si="83"/>
        <v>0</v>
      </c>
      <c r="AC452" s="1000">
        <v>0</v>
      </c>
      <c r="AD452" s="404"/>
      <c r="AE452" s="1003"/>
      <c r="AF452" s="87">
        <v>0</v>
      </c>
      <c r="AG452" s="398"/>
      <c r="AH452" s="1000">
        <f t="shared" si="87"/>
        <v>0</v>
      </c>
      <c r="AI452" s="1001">
        <f t="shared" si="84"/>
        <v>0</v>
      </c>
      <c r="AJ452" s="404"/>
      <c r="AK452" s="999"/>
      <c r="AL452" s="87"/>
      <c r="AM452" s="401"/>
      <c r="AN452" s="1000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8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0.14145537823245843</v>
      </c>
      <c r="Y453" s="88"/>
      <c r="Z453" s="90">
        <f>+SUM(Z435:Z452)</f>
        <v>256919.10774011078</v>
      </c>
      <c r="AA453" s="89" t="e">
        <f>AC453/+AC408</f>
        <v>#DIV/0!</v>
      </c>
      <c r="AB453" s="88"/>
      <c r="AC453" s="90">
        <v>0</v>
      </c>
      <c r="AD453" s="91">
        <f>AF453/AF408</f>
        <v>0.18057669306622512</v>
      </c>
      <c r="AE453" s="88"/>
      <c r="AF453" s="90">
        <f>+SUM(AF435:AF452)</f>
        <v>285069.93</v>
      </c>
      <c r="AG453" s="99"/>
      <c r="AH453" s="93">
        <f>+SUM(AH435:AH452)</f>
        <v>28150.822259889224</v>
      </c>
      <c r="AI453" s="89">
        <f>AH453/Z453</f>
        <v>0.109570761425676</v>
      </c>
      <c r="AJ453" s="91">
        <f>IF($AL$407=0,0,AL453/$AL$407)</f>
        <v>1.6690379878286778E-2</v>
      </c>
      <c r="AK453" s="89"/>
      <c r="AL453" s="90">
        <f>+SUM(AL435:AL452)</f>
        <v>249764.22999999995</v>
      </c>
      <c r="AM453" s="100"/>
      <c r="AN453" s="93">
        <f>+SUM(AN435:AN452)</f>
        <v>35305.700000000019</v>
      </c>
      <c r="AO453" s="544">
        <f>IF(AL453=0,0,AN453/AL453)</f>
        <v>0.14135611012033239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8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1002" t="s">
        <v>225</v>
      </c>
      <c r="X454" s="999"/>
      <c r="Y454" s="1003"/>
      <c r="Z454" s="87">
        <v>150000</v>
      </c>
      <c r="AA454" s="999"/>
      <c r="AB454" s="1003">
        <f t="shared" ref="AB454:AB463" si="91">IF(AC454=0,0,AC454/(G$13+G$97))</f>
        <v>0</v>
      </c>
      <c r="AC454" s="87">
        <v>0</v>
      </c>
      <c r="AD454" s="404"/>
      <c r="AE454" s="1003"/>
      <c r="AF454" s="87">
        <v>150000</v>
      </c>
      <c r="AG454" s="398"/>
      <c r="AH454" s="1000">
        <f t="shared" ref="AH454:AH462" si="92">AF454-Z454</f>
        <v>0</v>
      </c>
      <c r="AI454" s="1001">
        <f t="shared" ref="AI454:AI462" si="93">IF(Z454=0,0,AH454/Z454)</f>
        <v>0</v>
      </c>
      <c r="AJ454" s="404"/>
      <c r="AK454" s="999"/>
      <c r="AL454" s="87">
        <v>150000</v>
      </c>
      <c r="AM454" s="401"/>
      <c r="AN454" s="1000">
        <f>AF454-AL454</f>
        <v>0</v>
      </c>
      <c r="AO454" s="211">
        <f t="shared" ref="AO454:AO462" si="94">IF(AL454=0,0,AN454/AL454)</f>
        <v>0</v>
      </c>
      <c r="AP454" s="79"/>
      <c r="AQ454" s="1395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8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1002" t="s">
        <v>227</v>
      </c>
      <c r="X455" s="999"/>
      <c r="Y455" s="1003"/>
      <c r="Z455" s="87">
        <v>19039.590000000004</v>
      </c>
      <c r="AA455" s="999"/>
      <c r="AB455" s="1003">
        <f t="shared" si="91"/>
        <v>0</v>
      </c>
      <c r="AC455" s="87">
        <v>0</v>
      </c>
      <c r="AD455" s="404"/>
      <c r="AE455" s="1003"/>
      <c r="AF455" s="87">
        <v>19039.89</v>
      </c>
      <c r="AG455" s="398"/>
      <c r="AH455" s="1000">
        <f t="shared" si="92"/>
        <v>0.29999999999563443</v>
      </c>
      <c r="AI455" s="1001">
        <f t="shared" si="93"/>
        <v>1.5756641818213227E-5</v>
      </c>
      <c r="AJ455" s="404"/>
      <c r="AK455" s="999"/>
      <c r="AL455" s="87">
        <v>18490.5</v>
      </c>
      <c r="AM455" s="401"/>
      <c r="AN455" s="1000">
        <f t="shared" ref="AN455:AN462" si="95">AF455-AL455</f>
        <v>549.38999999999942</v>
      </c>
      <c r="AO455" s="211">
        <f t="shared" si="94"/>
        <v>2.9712014277601981E-2</v>
      </c>
      <c r="AP455" s="79"/>
      <c r="AQ455" s="1395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8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v>8159.8200000000015</v>
      </c>
      <c r="AA456" s="387"/>
      <c r="AB456" s="406">
        <f t="shared" si="91"/>
        <v>0</v>
      </c>
      <c r="AC456" s="388">
        <v>0</v>
      </c>
      <c r="AD456" s="407"/>
      <c r="AE456" s="406"/>
      <c r="AF456" s="388">
        <v>8159.9699999999993</v>
      </c>
      <c r="AG456" s="389"/>
      <c r="AH456" s="390">
        <f t="shared" si="92"/>
        <v>0.14999999999781721</v>
      </c>
      <c r="AI456" s="408">
        <f t="shared" si="93"/>
        <v>1.8382758442933445E-5</v>
      </c>
      <c r="AJ456" s="407"/>
      <c r="AK456" s="387"/>
      <c r="AL456" s="388">
        <v>7924.5</v>
      </c>
      <c r="AM456" s="392"/>
      <c r="AN456" s="390">
        <f t="shared" si="95"/>
        <v>235.46999999999935</v>
      </c>
      <c r="AO456" s="393">
        <f t="shared" si="94"/>
        <v>2.9714177550634026E-2</v>
      </c>
      <c r="AP456" s="79"/>
      <c r="AQ456" s="1395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8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1002"/>
      <c r="X457" s="999"/>
      <c r="Y457" s="1003"/>
      <c r="Z457" s="87">
        <v>0</v>
      </c>
      <c r="AA457" s="999"/>
      <c r="AB457" s="1003">
        <f t="shared" si="91"/>
        <v>0</v>
      </c>
      <c r="AC457" s="87">
        <v>0</v>
      </c>
      <c r="AD457" s="404"/>
      <c r="AE457" s="1003"/>
      <c r="AF457" s="87">
        <v>0</v>
      </c>
      <c r="AG457" s="398"/>
      <c r="AH457" s="1000">
        <f t="shared" si="92"/>
        <v>0</v>
      </c>
      <c r="AI457" s="1001">
        <f t="shared" si="93"/>
        <v>0</v>
      </c>
      <c r="AJ457" s="404"/>
      <c r="AK457" s="999"/>
      <c r="AL457" s="87">
        <v>0</v>
      </c>
      <c r="AM457" s="401"/>
      <c r="AN457" s="1000">
        <f t="shared" si="95"/>
        <v>0</v>
      </c>
      <c r="AO457" s="211">
        <f t="shared" si="9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8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v>10713.5</v>
      </c>
      <c r="AA458" s="387"/>
      <c r="AB458" s="406">
        <f t="shared" si="91"/>
        <v>0</v>
      </c>
      <c r="AC458" s="388">
        <v>0</v>
      </c>
      <c r="AD458" s="407"/>
      <c r="AE458" s="406"/>
      <c r="AF458" s="388">
        <v>10713.48</v>
      </c>
      <c r="AG458" s="389"/>
      <c r="AH458" s="390">
        <f t="shared" si="92"/>
        <v>-2.0000000000436557E-2</v>
      </c>
      <c r="AI458" s="408">
        <f t="shared" si="93"/>
        <v>-1.8668035656355587E-6</v>
      </c>
      <c r="AJ458" s="407"/>
      <c r="AK458" s="387"/>
      <c r="AL458" s="388">
        <v>14561.49</v>
      </c>
      <c r="AM458" s="392"/>
      <c r="AN458" s="390">
        <f t="shared" si="95"/>
        <v>-3848.01</v>
      </c>
      <c r="AO458" s="393">
        <f t="shared" si="94"/>
        <v>-0.26425935807393341</v>
      </c>
      <c r="AP458" s="79"/>
      <c r="AQ458" s="1395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8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1002" t="s">
        <v>234</v>
      </c>
      <c r="X459" s="1004"/>
      <c r="Y459" s="1005"/>
      <c r="Z459" s="87">
        <v>20025</v>
      </c>
      <c r="AA459" s="1004"/>
      <c r="AB459" s="1005">
        <f t="shared" si="91"/>
        <v>0</v>
      </c>
      <c r="AC459" s="87">
        <v>0</v>
      </c>
      <c r="AD459" s="404"/>
      <c r="AE459" s="1003"/>
      <c r="AF459" s="87">
        <v>19757.789999999997</v>
      </c>
      <c r="AG459" s="398"/>
      <c r="AH459" s="1000">
        <f t="shared" si="92"/>
        <v>-267.21000000000276</v>
      </c>
      <c r="AI459" s="1001">
        <f t="shared" si="93"/>
        <v>-1.3343820224719239E-2</v>
      </c>
      <c r="AJ459" s="404"/>
      <c r="AK459" s="999"/>
      <c r="AL459" s="87">
        <v>17232.509999999998</v>
      </c>
      <c r="AM459" s="401"/>
      <c r="AN459" s="1000">
        <f t="shared" si="95"/>
        <v>2525.2799999999988</v>
      </c>
      <c r="AO459" s="211">
        <f t="shared" si="94"/>
        <v>0.14654162394218828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8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1002" t="s">
        <v>236</v>
      </c>
      <c r="X460" s="999"/>
      <c r="Y460" s="1003"/>
      <c r="Z460" s="87">
        <v>5250</v>
      </c>
      <c r="AA460" s="999"/>
      <c r="AB460" s="1003">
        <f t="shared" si="91"/>
        <v>0</v>
      </c>
      <c r="AC460" s="87">
        <v>0</v>
      </c>
      <c r="AD460" s="404"/>
      <c r="AE460" s="1003"/>
      <c r="AF460" s="87">
        <v>4816</v>
      </c>
      <c r="AG460" s="398"/>
      <c r="AH460" s="1000">
        <f t="shared" si="92"/>
        <v>-434</v>
      </c>
      <c r="AI460" s="1001">
        <f t="shared" si="93"/>
        <v>-8.2666666666666666E-2</v>
      </c>
      <c r="AJ460" s="404"/>
      <c r="AK460" s="999"/>
      <c r="AL460" s="87">
        <v>18921.989999999998</v>
      </c>
      <c r="AM460" s="401"/>
      <c r="AN460" s="1000">
        <f t="shared" si="95"/>
        <v>-14105.989999999998</v>
      </c>
      <c r="AO460" s="211">
        <f t="shared" si="94"/>
        <v>-0.74548131565443165</v>
      </c>
      <c r="AP460" s="79"/>
      <c r="AQ460" s="1395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8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v>1350</v>
      </c>
      <c r="AA461" s="387"/>
      <c r="AB461" s="406">
        <f t="shared" si="91"/>
        <v>0</v>
      </c>
      <c r="AC461" s="388">
        <v>0</v>
      </c>
      <c r="AD461" s="407"/>
      <c r="AE461" s="406"/>
      <c r="AF461" s="388">
        <v>1350</v>
      </c>
      <c r="AG461" s="389"/>
      <c r="AH461" s="390">
        <f t="shared" si="92"/>
        <v>0</v>
      </c>
      <c r="AI461" s="408">
        <f t="shared" si="93"/>
        <v>0</v>
      </c>
      <c r="AJ461" s="407"/>
      <c r="AK461" s="387"/>
      <c r="AL461" s="388">
        <v>3591.9</v>
      </c>
      <c r="AM461" s="392"/>
      <c r="AN461" s="390">
        <f t="shared" si="95"/>
        <v>-2241.9</v>
      </c>
      <c r="AO461" s="393">
        <f t="shared" si="94"/>
        <v>-0.62415434728138308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8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6"/>
      <c r="V462" s="266" t="s">
        <v>239</v>
      </c>
      <c r="W462" s="1002" t="s">
        <v>240</v>
      </c>
      <c r="X462" s="999"/>
      <c r="Y462" s="1003"/>
      <c r="Z462" s="87">
        <v>837</v>
      </c>
      <c r="AA462" s="999"/>
      <c r="AB462" s="1003">
        <f t="shared" si="91"/>
        <v>0</v>
      </c>
      <c r="AC462" s="87">
        <v>0</v>
      </c>
      <c r="AD462" s="404"/>
      <c r="AE462" s="1003"/>
      <c r="AF462" s="87">
        <v>913.16000000000008</v>
      </c>
      <c r="AG462" s="398"/>
      <c r="AH462" s="1000">
        <f t="shared" si="92"/>
        <v>76.160000000000082</v>
      </c>
      <c r="AI462" s="417">
        <f t="shared" si="93"/>
        <v>9.0991636798088513E-2</v>
      </c>
      <c r="AJ462" s="999"/>
      <c r="AK462" s="999"/>
      <c r="AL462" s="87">
        <v>614.099999999999</v>
      </c>
      <c r="AM462" s="401"/>
      <c r="AN462" s="1000">
        <f t="shared" si="95"/>
        <v>299.06000000000108</v>
      </c>
      <c r="AO462" s="211">
        <f t="shared" si="94"/>
        <v>0.48698908972480309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8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6"/>
      <c r="V463" s="266" t="s">
        <v>241</v>
      </c>
      <c r="W463" s="1002" t="s">
        <v>242</v>
      </c>
      <c r="X463" s="999"/>
      <c r="Y463" s="1003"/>
      <c r="Z463" s="87">
        <v>0</v>
      </c>
      <c r="AA463" s="999"/>
      <c r="AB463" s="1003">
        <f t="shared" si="91"/>
        <v>0</v>
      </c>
      <c r="AC463" s="87">
        <v>0</v>
      </c>
      <c r="AD463" s="404"/>
      <c r="AE463" s="1003"/>
      <c r="AF463" s="87">
        <v>0</v>
      </c>
      <c r="AG463" s="398"/>
      <c r="AH463" s="1000">
        <v>0</v>
      </c>
      <c r="AI463" s="97">
        <v>0</v>
      </c>
      <c r="AJ463" s="999"/>
      <c r="AK463" s="999"/>
      <c r="AL463" s="87">
        <v>0</v>
      </c>
      <c r="AM463" s="401"/>
      <c r="AN463" s="1000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8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6"/>
      <c r="V464" s="266" t="s">
        <v>42</v>
      </c>
      <c r="W464" s="1002"/>
      <c r="X464" s="999"/>
      <c r="Y464" s="1003"/>
      <c r="Z464" s="1000">
        <v>0</v>
      </c>
      <c r="AA464" s="999"/>
      <c r="AB464" s="999"/>
      <c r="AC464" s="1000">
        <v>0</v>
      </c>
      <c r="AD464" s="404"/>
      <c r="AE464" s="1003"/>
      <c r="AF464" s="87">
        <v>0</v>
      </c>
      <c r="AG464" s="398"/>
      <c r="AH464" s="1000">
        <f>AF464-Z464</f>
        <v>0</v>
      </c>
      <c r="AI464" s="1001">
        <f>IF(Z464=0,0,AH464/Z464)</f>
        <v>0</v>
      </c>
      <c r="AJ464" s="404"/>
      <c r="AK464" s="999"/>
      <c r="AL464" s="87">
        <v>0</v>
      </c>
      <c r="AM464" s="401"/>
      <c r="AN464" s="1000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8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06"/>
      <c r="V465" s="266" t="s">
        <v>42</v>
      </c>
      <c r="W465" s="1002"/>
      <c r="X465" s="999"/>
      <c r="Y465" s="1003"/>
      <c r="Z465" s="1000">
        <v>0</v>
      </c>
      <c r="AA465" s="999"/>
      <c r="AB465" s="999"/>
      <c r="AC465" s="1000">
        <v>0</v>
      </c>
      <c r="AD465" s="404"/>
      <c r="AE465" s="1003"/>
      <c r="AF465" s="87">
        <v>0</v>
      </c>
      <c r="AG465" s="398"/>
      <c r="AH465" s="1000">
        <f>AF465-Z465</f>
        <v>0</v>
      </c>
      <c r="AI465" s="1001">
        <f>IF(Z465=0,0,AH465/Z465)</f>
        <v>0</v>
      </c>
      <c r="AJ465" s="404"/>
      <c r="AK465" s="999"/>
      <c r="AL465" s="87">
        <v>0</v>
      </c>
      <c r="AM465" s="401"/>
      <c r="AN465" s="1000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8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1002"/>
      <c r="X466" s="999"/>
      <c r="Y466" s="1003"/>
      <c r="Z466" s="1000">
        <v>0</v>
      </c>
      <c r="AA466" s="999"/>
      <c r="AB466" s="999"/>
      <c r="AC466" s="1000">
        <v>0</v>
      </c>
      <c r="AD466" s="404"/>
      <c r="AE466" s="1003"/>
      <c r="AF466" s="87">
        <v>0</v>
      </c>
      <c r="AG466" s="398"/>
      <c r="AH466" s="1000">
        <f>AF466-Z466</f>
        <v>0</v>
      </c>
      <c r="AI466" s="1001">
        <f>IF(Z466=0,0,AH466/Z466)</f>
        <v>0</v>
      </c>
      <c r="AJ466" s="404"/>
      <c r="AK466" s="999"/>
      <c r="AL466" s="87">
        <v>0</v>
      </c>
      <c r="AM466" s="401"/>
      <c r="AN466" s="1000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8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0.11858183544156566</v>
      </c>
      <c r="Y467" s="88"/>
      <c r="Z467" s="90">
        <f>SUM(Z454:Z466)</f>
        <v>215374.91</v>
      </c>
      <c r="AA467" s="89" t="e">
        <f>AC467/+AC408</f>
        <v>#DIV/0!</v>
      </c>
      <c r="AB467" s="88"/>
      <c r="AC467" s="90">
        <f>SUM(AC454:AC466)</f>
        <v>0</v>
      </c>
      <c r="AD467" s="91">
        <f>AF467/AF408</f>
        <v>0.13603292779148204</v>
      </c>
      <c r="AE467" s="88"/>
      <c r="AF467" s="90">
        <f>SUM(AF454:AF466)</f>
        <v>214750.29000000004</v>
      </c>
      <c r="AG467" s="99"/>
      <c r="AH467" s="93">
        <f>SUM(AH454:AH466)</f>
        <v>-624.62000000000967</v>
      </c>
      <c r="AI467" s="89">
        <f>IF(Z467=0,0,AH467/Z467)</f>
        <v>-2.9001521114971548E-3</v>
      </c>
      <c r="AJ467" s="91">
        <f>IF($AL$407=0,0,AL467/$AL$407)</f>
        <v>1.5458988034433234E-2</v>
      </c>
      <c r="AK467" s="89"/>
      <c r="AL467" s="90">
        <f>SUM(AL454:AL466)</f>
        <v>231336.99</v>
      </c>
      <c r="AM467" s="100"/>
      <c r="AN467" s="93">
        <f>SUM(AN454:AN466)</f>
        <v>-16586.7</v>
      </c>
      <c r="AO467" s="544">
        <f t="shared" ref="AO467:AO484" si="96">IF(AL467=0,0,AN467/AL467)</f>
        <v>-7.169929893183101E-2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8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999"/>
      <c r="X468" s="999"/>
      <c r="Y468" s="999"/>
      <c r="Z468" s="105"/>
      <c r="AA468" s="999"/>
      <c r="AB468" s="999"/>
      <c r="AC468" s="105"/>
      <c r="AD468" s="404"/>
      <c r="AE468" s="999"/>
      <c r="AF468" s="105"/>
      <c r="AG468" s="404"/>
      <c r="AH468" s="1000">
        <f t="shared" ref="AH468:AH482" si="97">AF468-Z468</f>
        <v>0</v>
      </c>
      <c r="AI468" s="1001"/>
      <c r="AJ468" s="404"/>
      <c r="AK468" s="999"/>
      <c r="AL468" s="105"/>
      <c r="AM468" s="418"/>
      <c r="AN468" s="1000">
        <f t="shared" ref="AN468:AN484" si="98">AF468-AL468</f>
        <v>0</v>
      </c>
      <c r="AO468" s="419">
        <f t="shared" si="96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8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0.84582484136790459</v>
      </c>
      <c r="Y469" s="88"/>
      <c r="Z469" s="90">
        <f>Z420+Z434+Z453+Z467</f>
        <v>1536234.014316177</v>
      </c>
      <c r="AA469" s="89" t="e">
        <f>AC469/+AC408</f>
        <v>#DIV/0!</v>
      </c>
      <c r="AB469" s="88"/>
      <c r="AC469" s="90">
        <f>AC420+AC434+AC453+AC467</f>
        <v>0</v>
      </c>
      <c r="AD469" s="91">
        <f>AF469/AF408</f>
        <v>0.87682973304965972</v>
      </c>
      <c r="AE469" s="88"/>
      <c r="AF469" s="90">
        <f>AF420+AF434+AF453+AF467</f>
        <v>1384219.56</v>
      </c>
      <c r="AG469" s="99"/>
      <c r="AH469" s="93">
        <f t="shared" si="97"/>
        <v>-152014.45431617694</v>
      </c>
      <c r="AI469" s="89">
        <f>AH469/Z469</f>
        <v>-9.8952667952638101E-2</v>
      </c>
      <c r="AJ469" s="91">
        <f>IF($AL$407=0,0,AL469/$AL$407)</f>
        <v>0.10140113533143351</v>
      </c>
      <c r="AK469" s="89"/>
      <c r="AL469" s="90">
        <f>AL420+AL434+AL453+AL467</f>
        <v>1517423.6099999999</v>
      </c>
      <c r="AM469" s="100"/>
      <c r="AN469" s="93">
        <f t="shared" si="98"/>
        <v>-133204.04999999981</v>
      </c>
      <c r="AO469" s="395">
        <f t="shared" si="96"/>
        <v>-8.7783035088006722E-2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8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1005"/>
      <c r="X470" s="1005"/>
      <c r="Y470" s="999"/>
      <c r="Z470" s="237">
        <v>0</v>
      </c>
      <c r="AA470" s="238"/>
      <c r="AB470" s="239">
        <f t="shared" ref="AB470:AB478" si="99">IF(AC470=0,0,AC470/(G$13+G$97))</f>
        <v>0</v>
      </c>
      <c r="AC470" s="237">
        <v>0</v>
      </c>
      <c r="AD470" s="241"/>
      <c r="AE470" s="239"/>
      <c r="AF470" s="87">
        <v>45777.84</v>
      </c>
      <c r="AG470" s="240"/>
      <c r="AH470" s="1000">
        <f t="shared" si="97"/>
        <v>45777.84</v>
      </c>
      <c r="AI470" s="417" t="e">
        <f>IF(AH470=0,0,AH470/Z470)</f>
        <v>#DIV/0!</v>
      </c>
      <c r="AJ470" s="241"/>
      <c r="AK470" s="238"/>
      <c r="AL470" s="420">
        <v>2783.95999999999</v>
      </c>
      <c r="AM470" s="242"/>
      <c r="AN470" s="1000">
        <f t="shared" si="98"/>
        <v>42993.880000000005</v>
      </c>
      <c r="AO470" s="211">
        <f t="shared" si="96"/>
        <v>15.443425911291886</v>
      </c>
      <c r="AP470" s="79"/>
      <c r="AQ470" s="79"/>
      <c r="AR470" s="79"/>
      <c r="AS470" s="79"/>
      <c r="AT470" s="101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8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999"/>
      <c r="X471" s="999"/>
      <c r="Y471" s="999"/>
      <c r="Z471" s="87">
        <v>182145.2285714286</v>
      </c>
      <c r="AA471" s="1004"/>
      <c r="AB471" s="1005">
        <f t="shared" si="99"/>
        <v>0</v>
      </c>
      <c r="AC471" s="87">
        <v>0</v>
      </c>
      <c r="AD471" s="245"/>
      <c r="AE471" s="1005"/>
      <c r="AF471" s="87">
        <v>165196.79999999999</v>
      </c>
      <c r="AG471" s="244"/>
      <c r="AH471" s="1000">
        <f t="shared" si="97"/>
        <v>-16948.428571428609</v>
      </c>
      <c r="AI471" s="97">
        <f>IF(Z471=0,0,AH471/Z471)</f>
        <v>-9.3048984617141645E-2</v>
      </c>
      <c r="AJ471" s="245"/>
      <c r="AK471" s="1004"/>
      <c r="AL471" s="246">
        <v>160254.79999999999</v>
      </c>
      <c r="AM471" s="1007"/>
      <c r="AN471" s="1000">
        <f t="shared" si="98"/>
        <v>4942</v>
      </c>
      <c r="AO471" s="211">
        <f t="shared" si="96"/>
        <v>3.0838389864141356E-2</v>
      </c>
      <c r="AP471" s="79"/>
      <c r="AQ471" s="79"/>
      <c r="AR471" s="79"/>
      <c r="AS471" s="79"/>
      <c r="AT471" s="101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8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999"/>
      <c r="X472" s="999"/>
      <c r="Y472" s="999"/>
      <c r="Z472" s="87">
        <v>150269.81357142859</v>
      </c>
      <c r="AA472" s="1004"/>
      <c r="AB472" s="1005">
        <f t="shared" si="99"/>
        <v>0</v>
      </c>
      <c r="AC472" s="87">
        <v>0</v>
      </c>
      <c r="AD472" s="245"/>
      <c r="AE472" s="1005"/>
      <c r="AF472" s="87">
        <v>137796.24</v>
      </c>
      <c r="AG472" s="244"/>
      <c r="AH472" s="1000">
        <f t="shared" si="97"/>
        <v>-12473.573571428598</v>
      </c>
      <c r="AI472" s="97">
        <f t="shared" ref="AI472:AI481" si="100">IF(AH472=0,0,AH472/Z472)</f>
        <v>-8.3007846186615955E-2</v>
      </c>
      <c r="AJ472" s="245"/>
      <c r="AK472" s="1004"/>
      <c r="AL472" s="246">
        <v>147274.36000000002</v>
      </c>
      <c r="AM472" s="1007"/>
      <c r="AN472" s="1000">
        <f t="shared" si="98"/>
        <v>-9478.1200000000244</v>
      </c>
      <c r="AO472" s="211">
        <f t="shared" si="96"/>
        <v>-6.4356891450759138E-2</v>
      </c>
      <c r="AP472" s="79"/>
      <c r="AQ472" s="79"/>
      <c r="AR472" s="79"/>
      <c r="AS472" s="79"/>
      <c r="AT472" s="101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8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999"/>
      <c r="X473" s="999"/>
      <c r="Y473" s="999"/>
      <c r="Z473" s="87">
        <v>0</v>
      </c>
      <c r="AA473" s="1004"/>
      <c r="AB473" s="1005">
        <f t="shared" si="99"/>
        <v>0</v>
      </c>
      <c r="AC473" s="87">
        <v>0</v>
      </c>
      <c r="AD473" s="245"/>
      <c r="AE473" s="1005"/>
      <c r="AF473" s="87">
        <v>0</v>
      </c>
      <c r="AG473" s="244"/>
      <c r="AH473" s="1000">
        <f t="shared" si="97"/>
        <v>0</v>
      </c>
      <c r="AI473" s="97">
        <f t="shared" si="100"/>
        <v>0</v>
      </c>
      <c r="AJ473" s="245"/>
      <c r="AK473" s="1004"/>
      <c r="AL473" s="246">
        <v>0</v>
      </c>
      <c r="AM473" s="1007"/>
      <c r="AN473" s="1000">
        <f t="shared" si="98"/>
        <v>0</v>
      </c>
      <c r="AO473" s="211">
        <f t="shared" si="96"/>
        <v>0</v>
      </c>
      <c r="AP473" s="79"/>
      <c r="AQ473" s="79"/>
      <c r="AR473" s="79"/>
      <c r="AS473" s="79"/>
      <c r="AT473" s="101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8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999"/>
      <c r="X474" s="999"/>
      <c r="Y474" s="999"/>
      <c r="Z474" s="87">
        <v>0</v>
      </c>
      <c r="AA474" s="1004"/>
      <c r="AB474" s="1005">
        <f t="shared" si="99"/>
        <v>0</v>
      </c>
      <c r="AC474" s="87">
        <v>0</v>
      </c>
      <c r="AD474" s="245"/>
      <c r="AE474" s="1005"/>
      <c r="AF474" s="87">
        <v>0</v>
      </c>
      <c r="AG474" s="244"/>
      <c r="AH474" s="1000">
        <f t="shared" si="97"/>
        <v>0</v>
      </c>
      <c r="AI474" s="97">
        <f t="shared" si="100"/>
        <v>0</v>
      </c>
      <c r="AJ474" s="245"/>
      <c r="AK474" s="1004"/>
      <c r="AL474" s="246">
        <v>0</v>
      </c>
      <c r="AM474" s="1007"/>
      <c r="AN474" s="1000">
        <f t="shared" si="98"/>
        <v>0</v>
      </c>
      <c r="AO474" s="211">
        <f t="shared" si="96"/>
        <v>0</v>
      </c>
      <c r="AP474" s="79"/>
      <c r="AQ474" s="79"/>
      <c r="AR474" s="79"/>
      <c r="AS474" s="79"/>
      <c r="AT474" s="101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8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999"/>
      <c r="X475" s="999"/>
      <c r="Y475" s="999"/>
      <c r="Z475" s="87">
        <v>17250</v>
      </c>
      <c r="AA475" s="1004"/>
      <c r="AB475" s="1005">
        <f t="shared" si="99"/>
        <v>0</v>
      </c>
      <c r="AC475" s="87">
        <v>0</v>
      </c>
      <c r="AD475" s="245"/>
      <c r="AE475" s="1005"/>
      <c r="AF475" s="87">
        <v>13600</v>
      </c>
      <c r="AG475" s="244"/>
      <c r="AH475" s="1000">
        <f t="shared" si="97"/>
        <v>-3650</v>
      </c>
      <c r="AI475" s="97">
        <f t="shared" si="100"/>
        <v>-0.21159420289855072</v>
      </c>
      <c r="AJ475" s="245"/>
      <c r="AK475" s="1004"/>
      <c r="AL475" s="246">
        <v>4400</v>
      </c>
      <c r="AM475" s="1007"/>
      <c r="AN475" s="1000">
        <f t="shared" si="98"/>
        <v>9200</v>
      </c>
      <c r="AO475" s="211">
        <f t="shared" si="96"/>
        <v>2.0909090909090908</v>
      </c>
      <c r="AP475" s="79"/>
      <c r="AQ475" s="79"/>
      <c r="AR475" s="79"/>
      <c r="AS475" s="79"/>
      <c r="AT475" s="101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8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999"/>
      <c r="X476" s="999"/>
      <c r="Y476" s="999"/>
      <c r="Z476" s="87">
        <v>0</v>
      </c>
      <c r="AA476" s="1004"/>
      <c r="AB476" s="1005">
        <f t="shared" si="99"/>
        <v>0</v>
      </c>
      <c r="AC476" s="87">
        <v>0</v>
      </c>
      <c r="AD476" s="245"/>
      <c r="AE476" s="1005"/>
      <c r="AF476" s="87">
        <v>18900</v>
      </c>
      <c r="AG476" s="244"/>
      <c r="AH476" s="1000">
        <f t="shared" si="97"/>
        <v>18900</v>
      </c>
      <c r="AI476" s="97" t="e">
        <f t="shared" si="100"/>
        <v>#DIV/0!</v>
      </c>
      <c r="AJ476" s="245"/>
      <c r="AK476" s="1004"/>
      <c r="AL476" s="246">
        <v>-2050</v>
      </c>
      <c r="AM476" s="1007"/>
      <c r="AN476" s="1000">
        <f t="shared" si="98"/>
        <v>20950</v>
      </c>
      <c r="AO476" s="211">
        <f t="shared" si="96"/>
        <v>-10.219512195121951</v>
      </c>
      <c r="AP476" s="79"/>
      <c r="AQ476" s="79"/>
      <c r="AR476" s="79"/>
      <c r="AS476" s="79"/>
      <c r="AT476" s="101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8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999"/>
      <c r="X477" s="999"/>
      <c r="Y477" s="999"/>
      <c r="Z477" s="87">
        <v>0</v>
      </c>
      <c r="AA477" s="1004"/>
      <c r="AB477" s="1005">
        <f t="shared" si="99"/>
        <v>0</v>
      </c>
      <c r="AC477" s="87">
        <v>0</v>
      </c>
      <c r="AD477" s="245"/>
      <c r="AE477" s="1005"/>
      <c r="AF477" s="87">
        <v>0</v>
      </c>
      <c r="AG477" s="244"/>
      <c r="AH477" s="1000">
        <f t="shared" si="97"/>
        <v>0</v>
      </c>
      <c r="AI477" s="97">
        <f t="shared" si="100"/>
        <v>0</v>
      </c>
      <c r="AJ477" s="245"/>
      <c r="AK477" s="1004"/>
      <c r="AL477" s="246">
        <v>0</v>
      </c>
      <c r="AM477" s="1007"/>
      <c r="AN477" s="1000">
        <f t="shared" si="98"/>
        <v>0</v>
      </c>
      <c r="AO477" s="211">
        <f t="shared" si="96"/>
        <v>0</v>
      </c>
      <c r="AP477" s="79"/>
      <c r="AQ477" s="79"/>
      <c r="AR477" s="79"/>
      <c r="AS477" s="79"/>
      <c r="AT477" s="101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8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999"/>
      <c r="X478" s="999"/>
      <c r="Y478" s="999"/>
      <c r="Z478" s="87">
        <v>100179.87571428571</v>
      </c>
      <c r="AA478" s="1004"/>
      <c r="AB478" s="1005">
        <f t="shared" si="99"/>
        <v>0</v>
      </c>
      <c r="AC478" s="87">
        <v>0</v>
      </c>
      <c r="AD478" s="245"/>
      <c r="AE478" s="1005"/>
      <c r="AF478" s="87">
        <v>93120.94</v>
      </c>
      <c r="AG478" s="244"/>
      <c r="AH478" s="1000">
        <f t="shared" si="97"/>
        <v>-7058.9357142857043</v>
      </c>
      <c r="AI478" s="97">
        <f t="shared" si="100"/>
        <v>-7.0462612016188558E-2</v>
      </c>
      <c r="AJ478" s="245"/>
      <c r="AK478" s="1004"/>
      <c r="AL478" s="246">
        <v>82528.820000000007</v>
      </c>
      <c r="AM478" s="1007"/>
      <c r="AN478" s="1000">
        <f t="shared" si="98"/>
        <v>10592.119999999995</v>
      </c>
      <c r="AO478" s="211">
        <f t="shared" si="96"/>
        <v>0.12834449832191946</v>
      </c>
      <c r="AP478" s="79"/>
      <c r="AQ478" s="79"/>
      <c r="AR478" s="79"/>
      <c r="AS478" s="79"/>
      <c r="AT478" s="101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8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999"/>
      <c r="X479" s="999"/>
      <c r="Y479" s="999"/>
      <c r="Z479" s="1000">
        <v>0</v>
      </c>
      <c r="AA479" s="999"/>
      <c r="AB479" s="999">
        <f>IF(AC479=0,0,AC479/(G$13+G$97))</f>
        <v>0</v>
      </c>
      <c r="AC479" s="1000">
        <v>0</v>
      </c>
      <c r="AD479" s="404"/>
      <c r="AE479" s="1003"/>
      <c r="AF479" s="87">
        <v>0</v>
      </c>
      <c r="AG479" s="398"/>
      <c r="AH479" s="1000">
        <f t="shared" si="97"/>
        <v>0</v>
      </c>
      <c r="AI479" s="1001">
        <f t="shared" si="100"/>
        <v>0</v>
      </c>
      <c r="AJ479" s="404"/>
      <c r="AK479" s="999"/>
      <c r="AL479" s="87">
        <v>0</v>
      </c>
      <c r="AM479" s="1007"/>
      <c r="AN479" s="1000">
        <f t="shared" si="98"/>
        <v>0</v>
      </c>
      <c r="AO479" s="211">
        <f t="shared" si="96"/>
        <v>0</v>
      </c>
      <c r="AP479" s="79"/>
      <c r="AQ479" s="79"/>
      <c r="AR479" s="79"/>
      <c r="AS479" s="79"/>
      <c r="AT479" s="101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8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999"/>
      <c r="X480" s="999"/>
      <c r="Y480" s="999"/>
      <c r="Z480" s="1000">
        <v>0</v>
      </c>
      <c r="AA480" s="999"/>
      <c r="AB480" s="999">
        <f>IF(AC480=0,0,AC480/(G$13+G$97))</f>
        <v>0</v>
      </c>
      <c r="AC480" s="1000">
        <v>0</v>
      </c>
      <c r="AD480" s="404"/>
      <c r="AE480" s="1003"/>
      <c r="AF480" s="87">
        <v>0</v>
      </c>
      <c r="AG480" s="398"/>
      <c r="AH480" s="1000">
        <f t="shared" si="97"/>
        <v>0</v>
      </c>
      <c r="AI480" s="1001">
        <f t="shared" si="100"/>
        <v>0</v>
      </c>
      <c r="AJ480" s="404"/>
      <c r="AK480" s="999"/>
      <c r="AL480" s="87">
        <v>0</v>
      </c>
      <c r="AM480" s="1007"/>
      <c r="AN480" s="1000">
        <f t="shared" si="98"/>
        <v>0</v>
      </c>
      <c r="AO480" s="211">
        <f t="shared" si="96"/>
        <v>0</v>
      </c>
      <c r="AP480" s="79"/>
      <c r="AQ480" s="79"/>
      <c r="AR480" s="79"/>
      <c r="AS480" s="79"/>
      <c r="AT480" s="101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8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999"/>
      <c r="X481" s="999"/>
      <c r="Y481" s="999"/>
      <c r="Z481" s="87">
        <v>99002.050000000017</v>
      </c>
      <c r="AA481" s="1004"/>
      <c r="AB481" s="1005">
        <f>IF(AC481=0,0,AC481/(G$13+G$97))</f>
        <v>0</v>
      </c>
      <c r="AC481" s="87">
        <v>0</v>
      </c>
      <c r="AD481" s="245"/>
      <c r="AE481" s="1005"/>
      <c r="AF481" s="87">
        <v>90440</v>
      </c>
      <c r="AG481" s="244"/>
      <c r="AH481" s="1000">
        <f t="shared" si="97"/>
        <v>-8562.0500000000175</v>
      </c>
      <c r="AI481" s="97">
        <f t="shared" si="100"/>
        <v>-8.648356271410558E-2</v>
      </c>
      <c r="AJ481" s="245"/>
      <c r="AK481" s="1004"/>
      <c r="AL481" s="246">
        <v>90440</v>
      </c>
      <c r="AM481" s="1007"/>
      <c r="AN481" s="1000">
        <f t="shared" si="98"/>
        <v>0</v>
      </c>
      <c r="AO481" s="211">
        <f t="shared" si="96"/>
        <v>0</v>
      </c>
      <c r="AP481" s="79"/>
      <c r="AQ481" s="79"/>
      <c r="AR481" s="79"/>
      <c r="AS481" s="79"/>
      <c r="AT481" s="101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8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0.30218599197575052</v>
      </c>
      <c r="Y482" s="103"/>
      <c r="Z482" s="90">
        <f>SUM(Z470:Z481)</f>
        <v>548846.96785714291</v>
      </c>
      <c r="AA482" s="89" t="e">
        <f>AC482/+AC408</f>
        <v>#DIV/0!</v>
      </c>
      <c r="AB482" s="103"/>
      <c r="AC482" s="90">
        <f>SUM(AC470:AC481)</f>
        <v>0</v>
      </c>
      <c r="AD482" s="89">
        <f>AF482/+AF408</f>
        <v>0.35779102409776198</v>
      </c>
      <c r="AE482" s="103"/>
      <c r="AF482" s="90">
        <f>SUM(AF470:AF481)</f>
        <v>564831.82000000007</v>
      </c>
      <c r="AG482" s="99"/>
      <c r="AH482" s="93">
        <f t="shared" si="97"/>
        <v>15984.852142857155</v>
      </c>
      <c r="AI482" s="89">
        <f>AH482/Z482</f>
        <v>2.9124424619246116E-2</v>
      </c>
      <c r="AJ482" s="109"/>
      <c r="AK482" s="110"/>
      <c r="AL482" s="90">
        <f>SUM(AL470:AL481)</f>
        <v>485631.94</v>
      </c>
      <c r="AM482" s="111"/>
      <c r="AN482" s="93">
        <f t="shared" si="98"/>
        <v>79199.880000000063</v>
      </c>
      <c r="AO482" s="544">
        <f t="shared" si="96"/>
        <v>0.16308622534176823</v>
      </c>
      <c r="AP482" s="79"/>
      <c r="AQ482" s="79"/>
      <c r="AR482" s="79"/>
      <c r="AS482" s="101"/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" thickBot="1">
      <c r="A483" t="str">
        <f t="shared" si="8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008"/>
      <c r="AI483" s="1009"/>
      <c r="AJ483" s="117"/>
      <c r="AK483" s="118"/>
      <c r="AL483" s="113"/>
      <c r="AM483" s="119"/>
      <c r="AN483" s="1008">
        <f t="shared" si="98"/>
        <v>0</v>
      </c>
      <c r="AO483" s="422">
        <f t="shared" si="96"/>
        <v>0</v>
      </c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20" thickTop="1" thickBot="1">
      <c r="A484" t="str">
        <f t="shared" si="8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4.5939951970375988E-2</v>
      </c>
      <c r="Z484" s="427">
        <f>Z408-Z469+Z482</f>
        <v>828868.4466188387</v>
      </c>
      <c r="AA484" s="425" t="s">
        <v>247</v>
      </c>
      <c r="AB484" s="426" t="e">
        <f>AC484/AC407</f>
        <v>#DIV/0!</v>
      </c>
      <c r="AC484" s="427">
        <f>AC408-AC469+AC482</f>
        <v>0</v>
      </c>
      <c r="AD484" s="425" t="s">
        <v>247</v>
      </c>
      <c r="AE484" s="426">
        <f>AF484/AF407</f>
        <v>3.9286860195643869E-2</v>
      </c>
      <c r="AF484" s="214">
        <f>AF408-AF469+AF482</f>
        <v>759276.29</v>
      </c>
      <c r="AG484" s="428"/>
      <c r="AH484" s="214">
        <f>AF484-Z484</f>
        <v>-69592.156618838664</v>
      </c>
      <c r="AI484" s="721">
        <f>AH484/Z484</f>
        <v>-8.3960436547829087E-2</v>
      </c>
      <c r="AJ484" s="429" t="s">
        <v>247</v>
      </c>
      <c r="AK484" s="426" t="e">
        <f>IF($AL$406=0,0,AL484/$AL$406)</f>
        <v>#VALUE!</v>
      </c>
      <c r="AL484" s="214">
        <f>AL408-AL469+AL482</f>
        <v>672704.97999999812</v>
      </c>
      <c r="AM484" s="215"/>
      <c r="AN484" s="214">
        <f t="shared" si="98"/>
        <v>86571.310000001919</v>
      </c>
      <c r="AO484" s="430">
        <f t="shared" si="96"/>
        <v>0.12869134698542317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8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">
      <c r="A486" t="str">
        <f t="shared" si="88"/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V403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  Q2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 thickBot="1">
      <c r="A487" t="str">
        <f t="shared" si="8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20" hidden="1" thickTop="1" thickBot="1">
      <c r="A489" t="str">
        <f t="shared" si="88"/>
        <v>BAIIA Corpo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5.1162967052930962E-2</v>
      </c>
      <c r="Z489" s="914">
        <f>+Z490+Z416</f>
        <v>923104.33961532579</v>
      </c>
      <c r="AA489" s="911"/>
      <c r="AB489" s="912"/>
      <c r="AC489" s="913"/>
      <c r="AD489" s="911" t="s">
        <v>247</v>
      </c>
      <c r="AE489" s="912">
        <f>AF489/AF407</f>
        <v>4.3863372826926053E-2</v>
      </c>
      <c r="AF489" s="914">
        <f>+AF490+AF416</f>
        <v>847724.12</v>
      </c>
      <c r="AG489" s="915"/>
      <c r="AH489" s="914">
        <f>AF489-Z489</f>
        <v>-75380.219615325797</v>
      </c>
      <c r="AI489" s="968">
        <f>AH489/Z489</f>
        <v>-8.1659479194668386E-2</v>
      </c>
      <c r="AJ489" s="911" t="s">
        <v>247</v>
      </c>
      <c r="AK489" s="912">
        <f>AL489/AL407</f>
        <v>5.08812201258678E-2</v>
      </c>
      <c r="AL489" s="914">
        <f>+AL490+AL416</f>
        <v>761415.18999999808</v>
      </c>
      <c r="AM489" s="916"/>
      <c r="AN489" s="914">
        <f>AF489-AL489</f>
        <v>86308.930000001914</v>
      </c>
      <c r="AO489" s="917">
        <f>IF(AL489=0,0,AN489/AL489)</f>
        <v>0.11335330728035795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20" thickTop="1" thickBot="1">
      <c r="A490" t="str">
        <f t="shared" si="8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4.5939951970375988E-2</v>
      </c>
      <c r="Z490" s="435">
        <f>Z484</f>
        <v>828868.4466188387</v>
      </c>
      <c r="AA490" s="433" t="s">
        <v>247</v>
      </c>
      <c r="AB490" s="434" t="e">
        <f>AC490/AC407</f>
        <v>#DIV/0!</v>
      </c>
      <c r="AC490" s="435">
        <f>AC484</f>
        <v>0</v>
      </c>
      <c r="AD490" s="433" t="s">
        <v>247</v>
      </c>
      <c r="AE490" s="434">
        <f>AF490/AF407</f>
        <v>3.9286860195643869E-2</v>
      </c>
      <c r="AF490" s="435">
        <f>AF484</f>
        <v>759276.29</v>
      </c>
      <c r="AG490" s="436"/>
      <c r="AH490" s="214">
        <f>AF490-Z490</f>
        <v>-69592.156618838664</v>
      </c>
      <c r="AI490" s="721">
        <f>AH490/Z490</f>
        <v>-8.3960436547829087E-2</v>
      </c>
      <c r="AJ490" s="433" t="s">
        <v>247</v>
      </c>
      <c r="AK490" s="434" t="e">
        <f>IF($AL$406=0,0,AL490/$AL$406)</f>
        <v>#VALUE!</v>
      </c>
      <c r="AL490" s="437">
        <f>AL484</f>
        <v>672704.97999999812</v>
      </c>
      <c r="AM490" s="438"/>
      <c r="AN490" s="439">
        <f>AF490-AL490</f>
        <v>86571.310000001919</v>
      </c>
      <c r="AO490" s="440">
        <f>IF(AL490=0,0,AN490/AL490)</f>
        <v>0.12869134698542317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" thickTop="1">
      <c r="A491" t="str">
        <f t="shared" si="8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06"/>
      <c r="U491" s="1006"/>
      <c r="V491" s="441"/>
      <c r="W491" s="79"/>
      <c r="X491" s="79"/>
      <c r="Y491" s="79"/>
      <c r="Z491" s="121"/>
      <c r="AA491" s="79"/>
      <c r="AB491" s="79"/>
      <c r="AC491" s="122"/>
      <c r="AD491" s="79"/>
      <c r="AE491" s="79"/>
      <c r="AF491" s="122"/>
      <c r="AG491" s="79"/>
      <c r="AH491" s="79"/>
      <c r="AI491" s="122"/>
      <c r="AJ491" s="79"/>
      <c r="AK491" s="79"/>
      <c r="AL491" s="123"/>
      <c r="AM491" s="442"/>
      <c r="AN491" s="79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1002"/>
      <c r="X492" s="999"/>
      <c r="Y492" s="1003"/>
      <c r="Z492" s="87">
        <v>12233.25</v>
      </c>
      <c r="AA492" s="999"/>
      <c r="AB492" s="1003">
        <f t="shared" ref="AB492:AB496" si="101">IF(AC492=0,0,AC492/(G$13+G$97))</f>
        <v>0</v>
      </c>
      <c r="AC492" s="87">
        <v>0</v>
      </c>
      <c r="AD492" s="999"/>
      <c r="AE492" s="1003"/>
      <c r="AF492" s="87">
        <v>12233.25</v>
      </c>
      <c r="AG492" s="999"/>
      <c r="AH492" s="1000">
        <f t="shared" ref="AH492:AH499" si="102">AF492-Z492</f>
        <v>0</v>
      </c>
      <c r="AI492" s="97">
        <f t="shared" ref="AI492:AI498" si="103">IF(Z492=0,0,AH492/Z492)</f>
        <v>0</v>
      </c>
      <c r="AJ492" s="999"/>
      <c r="AK492" s="999"/>
      <c r="AL492" s="87">
        <v>57900</v>
      </c>
      <c r="AM492" s="401"/>
      <c r="AN492" s="1000">
        <f t="shared" ref="AN492:AN499" si="104">AF492-AL492</f>
        <v>-45666.75</v>
      </c>
      <c r="AO492" s="211">
        <f t="shared" ref="AO492:AO499" si="105">IF(AL492=0,0,AN492/AL492)</f>
        <v>-0.78871761658031092</v>
      </c>
      <c r="AP492" s="79"/>
      <c r="AQ492" s="1395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23"/>
      <c r="X493" s="23"/>
      <c r="Y493" s="23"/>
      <c r="Z493" s="87">
        <v>0</v>
      </c>
      <c r="AA493" s="23"/>
      <c r="AB493" s="23">
        <f t="shared" si="101"/>
        <v>0</v>
      </c>
      <c r="AC493" s="87">
        <v>0</v>
      </c>
      <c r="AD493" s="23"/>
      <c r="AE493" s="25"/>
      <c r="AF493" s="87">
        <v>0</v>
      </c>
      <c r="AG493" s="23"/>
      <c r="AH493" s="1000">
        <f t="shared" si="102"/>
        <v>0</v>
      </c>
      <c r="AI493" s="97">
        <f t="shared" si="103"/>
        <v>0</v>
      </c>
      <c r="AJ493" s="23"/>
      <c r="AK493" s="23"/>
      <c r="AL493" s="87">
        <v>0</v>
      </c>
      <c r="AM493" s="444"/>
      <c r="AN493" s="1000">
        <f t="shared" si="104"/>
        <v>0</v>
      </c>
      <c r="AO493" s="211">
        <f t="shared" si="105"/>
        <v>0</v>
      </c>
      <c r="AP493" s="79"/>
      <c r="AQ493" s="79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25"/>
      <c r="X494" s="25"/>
      <c r="Y494" s="25"/>
      <c r="Z494" s="87">
        <v>0</v>
      </c>
      <c r="AA494" s="23"/>
      <c r="AB494" s="23">
        <f t="shared" si="101"/>
        <v>0</v>
      </c>
      <c r="AC494" s="87">
        <v>0</v>
      </c>
      <c r="AD494" s="23"/>
      <c r="AE494" s="25"/>
      <c r="AF494" s="87">
        <v>0</v>
      </c>
      <c r="AG494" s="23"/>
      <c r="AH494" s="1000">
        <f t="shared" si="102"/>
        <v>0</v>
      </c>
      <c r="AI494" s="97">
        <f t="shared" si="103"/>
        <v>0</v>
      </c>
      <c r="AJ494" s="23"/>
      <c r="AK494" s="23"/>
      <c r="AL494" s="87">
        <v>0</v>
      </c>
      <c r="AM494" s="444"/>
      <c r="AN494" s="1000">
        <f t="shared" si="104"/>
        <v>0</v>
      </c>
      <c r="AO494" s="211">
        <f t="shared" si="105"/>
        <v>0</v>
      </c>
      <c r="AP494" s="79"/>
      <c r="AQ494" s="79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25"/>
      <c r="X495" s="25"/>
      <c r="Y495" s="25"/>
      <c r="Z495" s="87">
        <v>0</v>
      </c>
      <c r="AA495" s="23"/>
      <c r="AB495" s="23">
        <f t="shared" si="101"/>
        <v>0</v>
      </c>
      <c r="AC495" s="87">
        <v>0</v>
      </c>
      <c r="AD495" s="23"/>
      <c r="AE495" s="25"/>
      <c r="AF495" s="87">
        <v>0</v>
      </c>
      <c r="AG495" s="23"/>
      <c r="AH495" s="1000">
        <f t="shared" si="102"/>
        <v>0</v>
      </c>
      <c r="AI495" s="97">
        <f t="shared" si="103"/>
        <v>0</v>
      </c>
      <c r="AJ495" s="23"/>
      <c r="AK495" s="23"/>
      <c r="AL495" s="87">
        <v>0</v>
      </c>
      <c r="AM495" s="444"/>
      <c r="AN495" s="1000">
        <f t="shared" si="104"/>
        <v>0</v>
      </c>
      <c r="AO495" s="211">
        <f t="shared" si="105"/>
        <v>0</v>
      </c>
      <c r="AP495" s="79"/>
      <c r="AQ495" s="79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25"/>
      <c r="X496" s="25"/>
      <c r="Y496" s="25"/>
      <c r="Z496" s="1000">
        <v>0</v>
      </c>
      <c r="AA496" s="999"/>
      <c r="AB496" s="999">
        <f t="shared" si="101"/>
        <v>0</v>
      </c>
      <c r="AC496" s="1000">
        <v>0</v>
      </c>
      <c r="AD496" s="404"/>
      <c r="AE496" s="1003"/>
      <c r="AF496" s="87">
        <v>0</v>
      </c>
      <c r="AG496" s="398"/>
      <c r="AH496" s="1000">
        <f t="shared" si="102"/>
        <v>0</v>
      </c>
      <c r="AI496" s="1001">
        <f t="shared" si="103"/>
        <v>0</v>
      </c>
      <c r="AJ496" s="404"/>
      <c r="AK496" s="999"/>
      <c r="AL496" s="87">
        <v>0</v>
      </c>
      <c r="AM496" s="444"/>
      <c r="AN496" s="1000">
        <f t="shared" si="104"/>
        <v>0</v>
      </c>
      <c r="AO496" s="211">
        <f t="shared" si="105"/>
        <v>0</v>
      </c>
      <c r="AP496" s="79"/>
      <c r="AQ496" s="79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25"/>
      <c r="X497" s="25"/>
      <c r="Y497" s="25"/>
      <c r="Z497" s="1000">
        <v>0</v>
      </c>
      <c r="AA497" s="999"/>
      <c r="AB497" s="999">
        <f>IF(AC497=0,0,AC497/(G$13+G$97))</f>
        <v>0</v>
      </c>
      <c r="AC497" s="1000">
        <v>0</v>
      </c>
      <c r="AD497" s="404"/>
      <c r="AE497" s="1003"/>
      <c r="AF497" s="87">
        <v>-11353.43</v>
      </c>
      <c r="AG497" s="398"/>
      <c r="AH497" s="1000">
        <f t="shared" si="102"/>
        <v>-11353.43</v>
      </c>
      <c r="AI497" s="1001">
        <f t="shared" si="103"/>
        <v>0</v>
      </c>
      <c r="AJ497" s="404"/>
      <c r="AK497" s="999"/>
      <c r="AL497" s="87">
        <v>-7727.54</v>
      </c>
      <c r="AM497" s="444"/>
      <c r="AN497" s="1000">
        <f t="shared" si="104"/>
        <v>-3625.8900000000003</v>
      </c>
      <c r="AO497" s="211">
        <f t="shared" si="105"/>
        <v>0.46921659415544925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25"/>
      <c r="X498" s="79"/>
      <c r="Y498" s="25"/>
      <c r="Z498" s="1000">
        <v>0</v>
      </c>
      <c r="AA498" s="999"/>
      <c r="AB498" s="999">
        <f t="shared" ref="AB498" si="106">IF(AC498=0,0,AC498/(G$13+G$97))</f>
        <v>0</v>
      </c>
      <c r="AC498" s="1000">
        <v>0</v>
      </c>
      <c r="AD498" s="404"/>
      <c r="AE498" s="1003">
        <f>IF(AF498=0,0,AF498/(J$13+J$97))</f>
        <v>0</v>
      </c>
      <c r="AF498" s="87">
        <v>0</v>
      </c>
      <c r="AG498" s="398"/>
      <c r="AH498" s="1000">
        <f t="shared" si="102"/>
        <v>0</v>
      </c>
      <c r="AI498" s="1001">
        <f t="shared" si="103"/>
        <v>0</v>
      </c>
      <c r="AJ498" s="404"/>
      <c r="AK498" s="999">
        <f>AL498/(O$13+O$97)</f>
        <v>0</v>
      </c>
      <c r="AL498" s="87">
        <v>0</v>
      </c>
      <c r="AM498" s="444"/>
      <c r="AN498" s="1000">
        <f t="shared" si="104"/>
        <v>0</v>
      </c>
      <c r="AO498" s="211">
        <f t="shared" si="10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20" thickTop="1" thickBot="1">
      <c r="A499" t="str">
        <f t="shared" si="8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4.5261925294690454E-2</v>
      </c>
      <c r="Z499" s="427">
        <f>Z490-Z492-Z493-Z494-Z498-Z497-Z495-Z496</f>
        <v>816635.1966188387</v>
      </c>
      <c r="AA499" s="425"/>
      <c r="AB499" s="426"/>
      <c r="AC499" s="427"/>
      <c r="AD499" s="425" t="s">
        <v>247</v>
      </c>
      <c r="AE499" s="426">
        <f>AF499/AF407</f>
        <v>3.9241336101460272E-2</v>
      </c>
      <c r="AF499" s="214">
        <f>AF490-AF492-AF493-AF494-AF498-AF497-AF495-AF496</f>
        <v>758396.47000000009</v>
      </c>
      <c r="AG499" s="428"/>
      <c r="AH499" s="214">
        <f t="shared" si="102"/>
        <v>-58238.726618838613</v>
      </c>
      <c r="AI499" s="721">
        <f>AH499/Z499</f>
        <v>-7.1315474596206158E-2</v>
      </c>
      <c r="AJ499" s="429" t="s">
        <v>247</v>
      </c>
      <c r="AK499" s="426">
        <f>IF($AL$407=0,0,AL499/$AL$407)</f>
        <v>4.1600449533494573E-2</v>
      </c>
      <c r="AL499" s="214">
        <f>AL490-AL492-AL493-AL494-AL498-AL497-AL495-AL496</f>
        <v>622532.51999999816</v>
      </c>
      <c r="AM499" s="215"/>
      <c r="AN499" s="214">
        <f t="shared" si="104"/>
        <v>135863.95000000193</v>
      </c>
      <c r="AO499" s="445">
        <f t="shared" si="105"/>
        <v>0.21824394009167961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7" thickTop="1">
      <c r="A500" t="str">
        <f t="shared" si="88"/>
        <v/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/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/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6"/>
      <c r="U506" s="1006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6"/>
      <c r="U507" s="1006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6"/>
      <c r="U508" s="1006"/>
      <c r="W508" s="79"/>
      <c r="X508" s="79"/>
      <c r="Y508" s="79"/>
      <c r="Z508" s="79"/>
      <c r="AA508" s="79"/>
      <c r="AB508" s="79"/>
      <c r="AC508" s="79"/>
      <c r="AD508" s="79"/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6"/>
      <c r="U509" s="1006"/>
      <c r="W509" s="79"/>
      <c r="X509" s="79"/>
      <c r="Y509" s="79"/>
      <c r="Z509" s="79"/>
      <c r="AA509" s="79"/>
      <c r="AB509" s="79"/>
      <c r="AC509" s="79"/>
      <c r="AD509" s="79"/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6"/>
      <c r="U510" s="1006"/>
      <c r="W510" s="79"/>
      <c r="X510" s="79"/>
      <c r="Y510" s="79"/>
      <c r="Z510" s="79"/>
      <c r="AA510" s="79"/>
      <c r="AB510" s="79"/>
      <c r="AC510" s="79"/>
      <c r="AD510" s="79"/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6"/>
      <c r="U511" s="1006"/>
      <c r="W511" s="79"/>
      <c r="X511" s="79"/>
      <c r="Y511" s="79"/>
      <c r="Z511" s="79"/>
      <c r="AA511" s="79"/>
      <c r="AB511" s="79"/>
      <c r="AC511" s="79"/>
      <c r="AD511" s="79"/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6"/>
      <c r="U512" s="1006"/>
      <c r="W512" s="79"/>
      <c r="X512" s="79"/>
      <c r="Y512" s="79"/>
      <c r="Z512" s="79"/>
      <c r="AA512" s="79"/>
      <c r="AB512" s="79"/>
      <c r="AC512" s="79"/>
      <c r="AD512" s="79"/>
      <c r="AE512" s="79"/>
      <c r="AF512" s="1398"/>
      <c r="AG512" s="101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7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6"/>
      <c r="U513" s="1006"/>
      <c r="W513" s="1006"/>
      <c r="X513" s="1006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7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6"/>
      <c r="U514" s="1006"/>
      <c r="W514" s="1006"/>
      <c r="X514" s="1006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7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6"/>
      <c r="U515" s="1006"/>
      <c r="W515" s="1006"/>
      <c r="X515" s="1006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7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6"/>
      <c r="U516" s="1006"/>
      <c r="W516" s="1006"/>
      <c r="X516" s="1006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7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6"/>
      <c r="U517" s="1006"/>
      <c r="W517" s="1006"/>
      <c r="X517" s="1006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7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06"/>
      <c r="U518" s="1006"/>
      <c r="W518" s="1006"/>
      <c r="X518" s="1006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7">
      <c r="B519" s="2"/>
      <c r="C519" s="1010"/>
      <c r="D519" s="1006"/>
      <c r="E519" s="1006"/>
      <c r="F519" s="1011"/>
      <c r="G519" s="1006"/>
      <c r="H519" s="1006"/>
      <c r="I519" s="1011"/>
      <c r="J519" s="1006"/>
      <c r="K519" s="1006"/>
      <c r="L519" s="1006"/>
      <c r="M519" s="1011"/>
      <c r="N519" s="1006"/>
      <c r="O519" s="1006"/>
      <c r="P519" s="1006"/>
      <c r="Q519" s="1011"/>
      <c r="R519" s="1011"/>
      <c r="S519" s="1011"/>
      <c r="T519" s="1006"/>
      <c r="U519" s="1006"/>
      <c r="W519" s="1006"/>
      <c r="X519" s="1006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7">
      <c r="B520" s="2"/>
      <c r="C520" s="1012"/>
      <c r="D520" s="1006"/>
      <c r="E520" s="1006"/>
      <c r="F520" s="1011"/>
      <c r="G520" s="1006"/>
      <c r="H520" s="1006"/>
      <c r="I520" s="1011"/>
      <c r="J520" s="1006"/>
      <c r="K520" s="1006"/>
      <c r="L520" s="1006"/>
      <c r="M520" s="1011"/>
      <c r="N520" s="1006"/>
      <c r="O520" s="1006"/>
      <c r="P520" s="1006"/>
      <c r="Q520" s="1011"/>
      <c r="R520" s="1011"/>
      <c r="S520" s="1011"/>
      <c r="T520" s="1006"/>
      <c r="U520" s="1006"/>
      <c r="W520" s="1006"/>
      <c r="X520" s="1006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7">
      <c r="B521" s="2"/>
      <c r="C521" s="1006"/>
      <c r="D521" s="1006"/>
      <c r="E521" s="1006"/>
      <c r="F521" s="1011"/>
      <c r="G521" s="1006"/>
      <c r="H521" s="1006"/>
      <c r="I521" s="1011"/>
      <c r="J521" s="1006"/>
      <c r="K521" s="1006"/>
      <c r="L521" s="1006"/>
      <c r="M521" s="1011"/>
      <c r="N521" s="1006"/>
      <c r="O521" s="1006"/>
      <c r="P521" s="1006"/>
      <c r="Q521" s="1011"/>
      <c r="R521" s="1011"/>
      <c r="S521" s="1011"/>
      <c r="T521" s="1006"/>
      <c r="U521" s="1006"/>
      <c r="W521" s="1006"/>
      <c r="X521" s="1006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7">
      <c r="B522" s="2"/>
      <c r="C522" s="1006"/>
      <c r="D522" s="1006"/>
      <c r="E522" s="1006"/>
      <c r="F522" s="1006"/>
      <c r="G522" s="1006"/>
      <c r="H522" s="1006"/>
      <c r="I522" s="1006"/>
      <c r="J522" s="1010"/>
      <c r="K522" s="1010"/>
      <c r="L522" s="1010"/>
      <c r="M522" s="1011"/>
      <c r="N522" s="1006"/>
      <c r="O522" s="1006"/>
      <c r="P522" s="1006"/>
      <c r="Q522" s="1006"/>
      <c r="R522" s="1006"/>
      <c r="S522" s="1011"/>
      <c r="T522" s="1006"/>
      <c r="U522" s="1006"/>
      <c r="W522" s="1006"/>
      <c r="X522" s="1006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7">
      <c r="B523" s="2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11"/>
      <c r="N523" s="1006"/>
      <c r="O523" s="1006"/>
      <c r="P523" s="1006"/>
      <c r="Q523" s="1006"/>
      <c r="R523" s="1006"/>
      <c r="S523" s="1011"/>
      <c r="T523" s="1006"/>
      <c r="U523" s="1006"/>
      <c r="W523" s="1006"/>
      <c r="X523" s="1006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7">
      <c r="B524" s="2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11"/>
      <c r="N524" s="1006"/>
      <c r="O524" s="1006"/>
      <c r="P524" s="1006"/>
      <c r="Q524" s="1006"/>
      <c r="R524" s="1006"/>
      <c r="S524" s="1011"/>
      <c r="T524" s="1006"/>
      <c r="U524" s="1006"/>
      <c r="W524" s="1006"/>
      <c r="X524" s="1006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7">
      <c r="B525" s="2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11"/>
      <c r="N525" s="1006"/>
      <c r="O525" s="1006"/>
      <c r="P525" s="1006"/>
      <c r="Q525" s="1006"/>
      <c r="R525" s="1006"/>
      <c r="S525" s="1011"/>
      <c r="T525" s="1006"/>
      <c r="U525" s="1006"/>
      <c r="W525" s="1006"/>
      <c r="X525" s="1006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7">
      <c r="B526" s="2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11"/>
      <c r="N526" s="1006"/>
      <c r="O526" s="1006"/>
      <c r="P526" s="1006"/>
      <c r="Q526" s="1006"/>
      <c r="R526" s="1006"/>
      <c r="S526" s="1006"/>
      <c r="T526" s="1006"/>
      <c r="U526" s="1006"/>
      <c r="W526" s="1006"/>
      <c r="X526" s="1006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6">
      <c r="B527" s="2"/>
      <c r="C527" s="1006"/>
      <c r="D527" s="1006"/>
      <c r="E527" s="1006"/>
      <c r="F527" s="1006"/>
      <c r="G527" s="1006"/>
      <c r="H527" s="1006"/>
      <c r="I527" s="1006"/>
      <c r="J527" s="1010"/>
      <c r="K527" s="1010"/>
      <c r="L527" s="1010"/>
      <c r="M527" s="1013"/>
      <c r="N527" s="1010"/>
      <c r="O527" s="1010"/>
      <c r="P527" s="1010"/>
      <c r="Q527" s="1006"/>
      <c r="R527" s="1006"/>
      <c r="S527" s="1010"/>
      <c r="T527" s="1006"/>
      <c r="U527" s="1006"/>
      <c r="V527" s="79"/>
      <c r="W527" s="1006"/>
      <c r="X527" s="1006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7">
      <c r="B528" s="2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1006"/>
      <c r="Q528" s="1006"/>
      <c r="R528" s="1006"/>
      <c r="S528" s="1006"/>
      <c r="T528" s="1006"/>
      <c r="U528" s="1006"/>
      <c r="W528" s="1006"/>
      <c r="X528" s="1006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7">
      <c r="B529" s="2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1006"/>
      <c r="Q529" s="1006"/>
      <c r="R529" s="1006"/>
      <c r="S529" s="1006"/>
      <c r="T529" s="1006"/>
      <c r="U529" s="1006"/>
      <c r="W529" s="1006"/>
      <c r="X529" s="1006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">
      <c r="B530" s="2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1006"/>
      <c r="Q530" s="1006"/>
      <c r="R530" s="1006"/>
      <c r="S530" s="1006"/>
      <c r="T530" s="1006"/>
      <c r="U530" s="1006"/>
      <c r="W530" s="1006"/>
      <c r="X530" s="1006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">
      <c r="B531" s="2"/>
      <c r="C531" s="1014"/>
      <c r="D531" s="1015"/>
      <c r="E531" s="1015"/>
      <c r="F531" s="1015"/>
      <c r="G531" s="1015"/>
      <c r="H531" s="1015"/>
      <c r="I531" s="1015"/>
      <c r="J531" s="1015"/>
      <c r="K531" s="1015"/>
      <c r="L531" s="1015"/>
      <c r="M531" s="1015"/>
      <c r="N531" s="1015"/>
      <c r="O531" s="1015"/>
      <c r="P531" s="1015"/>
      <c r="Q531" s="1015"/>
      <c r="R531" s="1015"/>
      <c r="S531" s="1015"/>
      <c r="T531" s="1006"/>
      <c r="U531" s="1006"/>
      <c r="W531" s="1006"/>
      <c r="X531" s="1006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7">
      <c r="B532" s="2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1006"/>
      <c r="Q532" s="1016"/>
      <c r="R532" s="1006"/>
      <c r="S532" s="1006"/>
      <c r="T532" s="1006"/>
      <c r="U532" s="1006"/>
      <c r="W532" s="1006"/>
      <c r="X532" s="1006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7">
      <c r="B533" s="2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17"/>
      <c r="M533" s="1018"/>
      <c r="N533" s="1018"/>
      <c r="O533" s="1006"/>
      <c r="P533" s="1017"/>
      <c r="Q533" s="1018"/>
      <c r="R533" s="1018"/>
      <c r="S533" s="1017"/>
      <c r="T533" s="1006"/>
      <c r="U533" s="1006"/>
      <c r="W533" s="1006"/>
      <c r="X533" s="1006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7">
      <c r="B534" s="2"/>
      <c r="C534" s="1006"/>
      <c r="D534" s="1006"/>
      <c r="E534" s="1017"/>
      <c r="F534" s="1019"/>
      <c r="G534" s="1006"/>
      <c r="H534" s="1017"/>
      <c r="I534" s="1019"/>
      <c r="J534" s="1018"/>
      <c r="K534" s="1010"/>
      <c r="L534" s="1017"/>
      <c r="M534" s="1018"/>
      <c r="N534" s="1018"/>
      <c r="O534" s="1010"/>
      <c r="P534" s="1017"/>
      <c r="Q534" s="1018"/>
      <c r="R534" s="1018"/>
      <c r="S534" s="1017"/>
      <c r="T534" s="1006"/>
      <c r="U534" s="1006"/>
      <c r="W534" s="1006"/>
      <c r="X534" s="1006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7">
      <c r="B535" s="2"/>
      <c r="C535" s="1006"/>
      <c r="D535" s="1020"/>
      <c r="E535" s="1019"/>
      <c r="F535" s="1019"/>
      <c r="G535" s="1020"/>
      <c r="H535" s="1019"/>
      <c r="I535" s="1019"/>
      <c r="J535" s="1019"/>
      <c r="K535" s="1019"/>
      <c r="L535" s="1019"/>
      <c r="M535" s="1019"/>
      <c r="N535" s="1019"/>
      <c r="O535" s="1019"/>
      <c r="P535" s="1019"/>
      <c r="Q535" s="1019"/>
      <c r="R535" s="1019"/>
      <c r="S535" s="1019"/>
      <c r="T535" s="1006"/>
      <c r="U535" s="1006"/>
      <c r="W535" s="1006"/>
      <c r="X535" s="1006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7">
      <c r="B536" s="2"/>
      <c r="C536" s="1010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1006"/>
      <c r="Q536" s="1006"/>
      <c r="R536" s="1006"/>
      <c r="S536" s="1006"/>
      <c r="T536" s="1006"/>
      <c r="U536" s="1006"/>
      <c r="W536" s="1006"/>
      <c r="X536" s="1006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7">
      <c r="B537" s="2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1006"/>
      <c r="Q537" s="1006"/>
      <c r="R537" s="1006"/>
      <c r="S537" s="1006"/>
      <c r="T537" s="1006"/>
      <c r="U537" s="1006"/>
      <c r="W537" s="1006"/>
      <c r="X537" s="1006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7">
      <c r="B538" s="2"/>
      <c r="C538" s="1006"/>
      <c r="D538" s="1006"/>
      <c r="E538" s="1011"/>
      <c r="F538" s="1021"/>
      <c r="G538" s="1006"/>
      <c r="H538" s="1011"/>
      <c r="I538" s="1021"/>
      <c r="J538" s="1021"/>
      <c r="K538" s="1011"/>
      <c r="L538" s="1021"/>
      <c r="M538" s="1011"/>
      <c r="N538" s="1021"/>
      <c r="O538" s="1011"/>
      <c r="P538" s="1021"/>
      <c r="Q538" s="1011"/>
      <c r="R538" s="1011"/>
      <c r="S538" s="1011"/>
      <c r="T538" s="1006"/>
      <c r="U538" s="1006"/>
      <c r="W538" s="1006"/>
      <c r="X538" s="1006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7">
      <c r="B539" s="2"/>
      <c r="C539" s="1006"/>
      <c r="D539" s="1006"/>
      <c r="E539" s="1011"/>
      <c r="F539" s="1021"/>
      <c r="G539" s="1006"/>
      <c r="H539" s="1011"/>
      <c r="I539" s="1021"/>
      <c r="J539" s="1021"/>
      <c r="K539" s="1011"/>
      <c r="L539" s="1021"/>
      <c r="M539" s="1011"/>
      <c r="N539" s="1021"/>
      <c r="O539" s="1011"/>
      <c r="P539" s="1021"/>
      <c r="Q539" s="1011"/>
      <c r="R539" s="1011"/>
      <c r="S539" s="1011"/>
      <c r="T539" s="1006"/>
      <c r="U539" s="1006"/>
      <c r="W539" s="1006"/>
      <c r="X539" s="1006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7">
      <c r="B540" s="2"/>
      <c r="C540" s="1006"/>
      <c r="D540" s="1006"/>
      <c r="E540" s="1011"/>
      <c r="F540" s="1021"/>
      <c r="G540" s="1006"/>
      <c r="H540" s="1011"/>
      <c r="I540" s="1021"/>
      <c r="J540" s="1021"/>
      <c r="K540" s="1011"/>
      <c r="L540" s="1021"/>
      <c r="M540" s="1011"/>
      <c r="N540" s="1021"/>
      <c r="O540" s="1011"/>
      <c r="P540" s="1021"/>
      <c r="Q540" s="1011"/>
      <c r="R540" s="1011"/>
      <c r="S540" s="1011"/>
      <c r="T540" s="1006"/>
      <c r="U540" s="1006"/>
      <c r="W540" s="1006"/>
      <c r="X540" s="1006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7">
      <c r="B541" s="2"/>
      <c r="C541" s="1006"/>
      <c r="D541" s="1006"/>
      <c r="E541" s="1011"/>
      <c r="F541" s="1021"/>
      <c r="G541" s="1006"/>
      <c r="H541" s="1011"/>
      <c r="I541" s="1021"/>
      <c r="J541" s="1021"/>
      <c r="K541" s="1011"/>
      <c r="L541" s="1021"/>
      <c r="M541" s="1011"/>
      <c r="N541" s="1021"/>
      <c r="O541" s="1011"/>
      <c r="P541" s="1021"/>
      <c r="Q541" s="1011"/>
      <c r="R541" s="1011"/>
      <c r="S541" s="1011"/>
      <c r="T541" s="1006"/>
      <c r="U541" s="1006"/>
      <c r="W541" s="1006"/>
      <c r="X541" s="1006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7">
      <c r="B542" s="2"/>
      <c r="C542" s="1006"/>
      <c r="D542" s="1006"/>
      <c r="E542" s="1011"/>
      <c r="F542" s="1021"/>
      <c r="G542" s="1006"/>
      <c r="H542" s="1011"/>
      <c r="I542" s="1021"/>
      <c r="J542" s="1021"/>
      <c r="K542" s="1011"/>
      <c r="L542" s="1021"/>
      <c r="M542" s="1011"/>
      <c r="N542" s="1021"/>
      <c r="O542" s="1011"/>
      <c r="P542" s="1021"/>
      <c r="Q542" s="1011"/>
      <c r="R542" s="1011"/>
      <c r="S542" s="1006"/>
      <c r="T542" s="1006"/>
      <c r="U542" s="1006"/>
      <c r="W542" s="1006"/>
      <c r="X542" s="1006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7">
      <c r="B543" s="2"/>
      <c r="C543" s="1006"/>
      <c r="D543" s="1006"/>
      <c r="E543" s="1011"/>
      <c r="F543" s="1021"/>
      <c r="G543" s="1006"/>
      <c r="H543" s="1011"/>
      <c r="I543" s="1021"/>
      <c r="J543" s="1021"/>
      <c r="K543" s="1011"/>
      <c r="L543" s="1021"/>
      <c r="M543" s="1011"/>
      <c r="N543" s="1021"/>
      <c r="O543" s="1011"/>
      <c r="P543" s="1021"/>
      <c r="Q543" s="1011"/>
      <c r="R543" s="1011"/>
      <c r="S543" s="1011"/>
      <c r="T543" s="1006"/>
      <c r="U543" s="1006"/>
      <c r="W543" s="1006"/>
      <c r="X543" s="1006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7">
      <c r="B544" s="2"/>
      <c r="C544" s="1006"/>
      <c r="D544" s="1006"/>
      <c r="E544" s="1011"/>
      <c r="F544" s="1022"/>
      <c r="G544" s="1006"/>
      <c r="H544" s="1011"/>
      <c r="I544" s="1022"/>
      <c r="J544" s="1021"/>
      <c r="K544" s="1011"/>
      <c r="L544" s="1021"/>
      <c r="M544" s="1011"/>
      <c r="N544" s="1021"/>
      <c r="O544" s="1011"/>
      <c r="P544" s="1006"/>
      <c r="Q544" s="1006"/>
      <c r="R544" s="1011"/>
      <c r="S544" s="1011"/>
      <c r="T544" s="1006"/>
      <c r="U544" s="1006"/>
      <c r="W544" s="1006"/>
      <c r="X544" s="1006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7">
      <c r="B545" s="2"/>
      <c r="C545" s="1010"/>
      <c r="D545" s="1010"/>
      <c r="E545" s="1013"/>
      <c r="F545" s="1023"/>
      <c r="G545" s="1010"/>
      <c r="H545" s="1013"/>
      <c r="I545" s="1023"/>
      <c r="J545" s="1023"/>
      <c r="K545" s="1013"/>
      <c r="L545" s="1023"/>
      <c r="M545" s="1013"/>
      <c r="N545" s="1023"/>
      <c r="O545" s="1013"/>
      <c r="P545" s="1023"/>
      <c r="Q545" s="1013"/>
      <c r="R545" s="1013"/>
      <c r="S545" s="1010"/>
      <c r="T545" s="1006"/>
      <c r="U545" s="1006"/>
      <c r="W545" s="1006"/>
      <c r="X545" s="1006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7">
      <c r="B546" s="2"/>
      <c r="C546" s="1006"/>
      <c r="D546" s="1006"/>
      <c r="E546" s="1011"/>
      <c r="F546" s="1006"/>
      <c r="G546" s="1006"/>
      <c r="H546" s="1011"/>
      <c r="I546" s="1006"/>
      <c r="J546" s="1021"/>
      <c r="K546" s="1011"/>
      <c r="L546" s="1021"/>
      <c r="M546" s="1011"/>
      <c r="N546" s="1021"/>
      <c r="O546" s="1011"/>
      <c r="P546" s="1010"/>
      <c r="Q546" s="1023"/>
      <c r="R546" s="1023"/>
      <c r="S546" s="1006"/>
      <c r="T546" s="1006"/>
      <c r="U546" s="1006"/>
      <c r="W546" s="1006"/>
      <c r="X546" s="1006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7">
      <c r="B547" s="2"/>
      <c r="C547" s="1006"/>
      <c r="D547" s="1006"/>
      <c r="E547" s="1011"/>
      <c r="F547" s="1006"/>
      <c r="G547" s="1006"/>
      <c r="H547" s="1011"/>
      <c r="I547" s="1006"/>
      <c r="J547" s="1021"/>
      <c r="K547" s="1011"/>
      <c r="L547" s="1021"/>
      <c r="M547" s="1011"/>
      <c r="N547" s="1021"/>
      <c r="O547" s="1011"/>
      <c r="P547" s="1006"/>
      <c r="Q547" s="1006"/>
      <c r="R547" s="1011"/>
      <c r="S547" s="1006"/>
      <c r="T547" s="1006"/>
      <c r="U547" s="1006"/>
      <c r="W547" s="1006"/>
      <c r="X547" s="1006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7">
      <c r="B548" s="2"/>
      <c r="C548" s="1010"/>
      <c r="D548" s="1006"/>
      <c r="E548" s="1011"/>
      <c r="F548" s="1006"/>
      <c r="G548" s="1006"/>
      <c r="H548" s="1011"/>
      <c r="I548" s="1006"/>
      <c r="J548" s="1021"/>
      <c r="K548" s="1011"/>
      <c r="L548" s="1021"/>
      <c r="M548" s="1011"/>
      <c r="N548" s="1021"/>
      <c r="O548" s="1011"/>
      <c r="P548" s="1006"/>
      <c r="Q548" s="1006"/>
      <c r="R548" s="1011"/>
      <c r="S548" s="1006"/>
      <c r="T548" s="1006"/>
      <c r="U548" s="1006"/>
      <c r="W548" s="1006"/>
      <c r="X548" s="1006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7">
      <c r="B549" s="2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1006"/>
      <c r="Q549" s="1006"/>
      <c r="R549" s="1006"/>
      <c r="S549" s="1006"/>
      <c r="T549" s="1006"/>
      <c r="U549" s="1006"/>
      <c r="W549" s="1006"/>
      <c r="X549" s="1006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7">
      <c r="B550" s="2"/>
      <c r="C550" s="1006"/>
      <c r="D550" s="1006"/>
      <c r="E550" s="1011"/>
      <c r="F550" s="1021"/>
      <c r="G550" s="1006"/>
      <c r="H550" s="1011"/>
      <c r="I550" s="1021"/>
      <c r="J550" s="1021"/>
      <c r="K550" s="1006"/>
      <c r="L550" s="1021"/>
      <c r="M550" s="1006"/>
      <c r="N550" s="1021"/>
      <c r="O550" s="1006"/>
      <c r="P550" s="1021"/>
      <c r="Q550" s="1011"/>
      <c r="R550" s="1011"/>
      <c r="S550" s="1006"/>
      <c r="T550" s="1006"/>
      <c r="U550" s="1006"/>
      <c r="W550" s="1006"/>
      <c r="X550" s="1006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7">
      <c r="B551" s="2"/>
      <c r="C551" s="1006"/>
      <c r="D551" s="1006"/>
      <c r="E551" s="1011"/>
      <c r="F551" s="1022"/>
      <c r="G551" s="1006"/>
      <c r="H551" s="1011"/>
      <c r="I551" s="1022"/>
      <c r="J551" s="1021"/>
      <c r="K551" s="1011"/>
      <c r="L551" s="1021"/>
      <c r="M551" s="1011"/>
      <c r="N551" s="1021"/>
      <c r="O551" s="1011"/>
      <c r="P551" s="1006"/>
      <c r="Q551" s="1021"/>
      <c r="R551" s="1021"/>
      <c r="S551" s="1011"/>
      <c r="T551" s="1006"/>
      <c r="U551" s="1006"/>
      <c r="W551" s="1006"/>
      <c r="X551" s="1006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7">
      <c r="B552" s="2"/>
      <c r="C552" s="1006"/>
      <c r="D552" s="1006"/>
      <c r="E552" s="1011"/>
      <c r="F552" s="1022"/>
      <c r="G552" s="1006"/>
      <c r="H552" s="1011"/>
      <c r="I552" s="1022"/>
      <c r="J552" s="1021"/>
      <c r="K552" s="1011"/>
      <c r="L552" s="1021"/>
      <c r="M552" s="1011"/>
      <c r="N552" s="1021"/>
      <c r="O552" s="1011"/>
      <c r="P552" s="1006"/>
      <c r="Q552" s="1006"/>
      <c r="R552" s="1011"/>
      <c r="S552" s="1011"/>
      <c r="T552" s="1006"/>
      <c r="U552" s="1006"/>
      <c r="W552" s="1006"/>
      <c r="X552" s="1006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7">
      <c r="B553" s="2"/>
      <c r="C553" s="1006"/>
      <c r="D553" s="1006"/>
      <c r="E553" s="1011"/>
      <c r="F553" s="1021"/>
      <c r="G553" s="1006"/>
      <c r="H553" s="1011"/>
      <c r="I553" s="1021"/>
      <c r="J553" s="1021"/>
      <c r="K553" s="1011"/>
      <c r="L553" s="1021"/>
      <c r="M553" s="1011"/>
      <c r="N553" s="1021"/>
      <c r="O553" s="1011"/>
      <c r="P553" s="1006"/>
      <c r="Q553" s="1006"/>
      <c r="R553" s="1011"/>
      <c r="S553" s="1006"/>
      <c r="T553" s="1006"/>
      <c r="U553" s="1006"/>
      <c r="W553" s="1006"/>
      <c r="X553" s="1006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7">
      <c r="B554" s="2"/>
      <c r="C554" s="1010"/>
      <c r="D554" s="1010"/>
      <c r="E554" s="1013"/>
      <c r="F554" s="1023"/>
      <c r="G554" s="1010"/>
      <c r="H554" s="1013"/>
      <c r="I554" s="1023"/>
      <c r="J554" s="1023"/>
      <c r="K554" s="1013"/>
      <c r="L554" s="1023"/>
      <c r="M554" s="1013"/>
      <c r="N554" s="1023"/>
      <c r="O554" s="1013"/>
      <c r="P554" s="1023"/>
      <c r="Q554" s="1010"/>
      <c r="R554" s="1013"/>
      <c r="S554" s="1010"/>
      <c r="T554" s="1006"/>
      <c r="U554" s="1006"/>
      <c r="W554" s="1006"/>
      <c r="X554" s="1006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7">
      <c r="B555" s="2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1010"/>
      <c r="Q555" s="1023"/>
      <c r="R555" s="1023"/>
      <c r="S555" s="1006"/>
      <c r="T555" s="1006"/>
      <c r="U555" s="1006"/>
      <c r="W555" s="1006"/>
      <c r="X555" s="1006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7">
      <c r="B556" s="2"/>
      <c r="C556" s="1006"/>
      <c r="D556" s="1006"/>
      <c r="E556" s="1011"/>
      <c r="F556" s="1021"/>
      <c r="G556" s="1006"/>
      <c r="H556" s="1011"/>
      <c r="I556" s="1021"/>
      <c r="J556" s="1021"/>
      <c r="K556" s="1011"/>
      <c r="L556" s="1021"/>
      <c r="M556" s="1011"/>
      <c r="N556" s="1021"/>
      <c r="O556" s="1011"/>
      <c r="P556" s="1006"/>
      <c r="Q556" s="1006"/>
      <c r="R556" s="1011"/>
      <c r="S556" s="1006"/>
      <c r="T556" s="1006"/>
      <c r="U556" s="1006"/>
      <c r="W556" s="1006"/>
      <c r="X556" s="1006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7">
      <c r="B557" s="2"/>
      <c r="C557" s="1010"/>
      <c r="D557" s="1006"/>
      <c r="E557" s="1011"/>
      <c r="F557" s="1021"/>
      <c r="G557" s="1006"/>
      <c r="H557" s="1011"/>
      <c r="I557" s="1021"/>
      <c r="J557" s="1021"/>
      <c r="K557" s="1011"/>
      <c r="L557" s="1021"/>
      <c r="M557" s="1011"/>
      <c r="N557" s="1021"/>
      <c r="O557" s="1011"/>
      <c r="P557" s="1006"/>
      <c r="Q557" s="1006"/>
      <c r="R557" s="1011"/>
      <c r="S557" s="1006"/>
      <c r="T557" s="1006"/>
      <c r="U557" s="1006"/>
      <c r="W557" s="1006"/>
      <c r="X557" s="1006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7">
      <c r="B558" s="2"/>
      <c r="C558" s="1006"/>
      <c r="D558" s="1006"/>
      <c r="E558" s="1011"/>
      <c r="F558" s="1021"/>
      <c r="G558" s="1006"/>
      <c r="H558" s="1011"/>
      <c r="I558" s="1021"/>
      <c r="J558" s="1021"/>
      <c r="K558" s="1011"/>
      <c r="L558" s="1021"/>
      <c r="M558" s="1011"/>
      <c r="N558" s="1021"/>
      <c r="O558" s="1011"/>
      <c r="P558" s="1006"/>
      <c r="Q558" s="1006"/>
      <c r="R558" s="1011"/>
      <c r="S558" s="1006"/>
      <c r="T558" s="1006"/>
      <c r="U558" s="1006"/>
      <c r="W558" s="1006"/>
      <c r="X558" s="1006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7">
      <c r="B559" s="2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1021"/>
      <c r="Q559" s="1011"/>
      <c r="R559" s="1006"/>
      <c r="S559" s="1011"/>
      <c r="T559" s="1006"/>
      <c r="U559" s="1006"/>
      <c r="W559" s="1006"/>
      <c r="X559" s="1006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7">
      <c r="B560" s="2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1021"/>
      <c r="Q560" s="1011"/>
      <c r="R560" s="1006"/>
      <c r="S560" s="1011"/>
      <c r="T560" s="1006"/>
      <c r="U560" s="1006"/>
      <c r="W560" s="1006"/>
      <c r="X560" s="1006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7">
      <c r="B561" s="2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1021"/>
      <c r="Q561" s="1011"/>
      <c r="R561" s="1006"/>
      <c r="S561" s="1011"/>
      <c r="T561" s="1006"/>
      <c r="U561" s="1006"/>
      <c r="W561" s="1006"/>
      <c r="X561" s="1006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7">
      <c r="B562" s="2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1021"/>
      <c r="Q562" s="1011"/>
      <c r="R562" s="1006"/>
      <c r="S562" s="1011"/>
      <c r="T562" s="1006"/>
      <c r="U562" s="1006"/>
      <c r="W562" s="1006"/>
      <c r="X562" s="1006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7">
      <c r="B563" s="2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1021"/>
      <c r="Q563" s="1011"/>
      <c r="R563" s="1006"/>
      <c r="S563" s="1011"/>
      <c r="T563" s="1006"/>
      <c r="U563" s="1006"/>
      <c r="W563" s="1006"/>
      <c r="X563" s="1006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7">
      <c r="B564" s="2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1021"/>
      <c r="Q564" s="1011"/>
      <c r="R564" s="1006"/>
      <c r="S564" s="1011"/>
      <c r="T564" s="1006"/>
      <c r="U564" s="1006"/>
      <c r="W564" s="1006"/>
      <c r="X564" s="1006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7">
      <c r="B565" s="2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1021"/>
      <c r="Q565" s="1011"/>
      <c r="R565" s="1006"/>
      <c r="S565" s="1011"/>
      <c r="T565" s="1006"/>
      <c r="U565" s="1006"/>
      <c r="W565" s="1006"/>
      <c r="X565" s="1006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7">
      <c r="B566" s="2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1021"/>
      <c r="Q566" s="1011"/>
      <c r="R566" s="1006"/>
      <c r="S566" s="1011"/>
      <c r="T566" s="1006"/>
      <c r="U566" s="1006"/>
      <c r="W566" s="1006"/>
      <c r="X566" s="1006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7">
      <c r="B567" s="2"/>
      <c r="C567" s="1010"/>
      <c r="D567" s="1010"/>
      <c r="E567" s="1006"/>
      <c r="F567" s="1006"/>
      <c r="G567" s="1010"/>
      <c r="H567" s="1006"/>
      <c r="I567" s="1006"/>
      <c r="J567" s="1006"/>
      <c r="K567" s="1006"/>
      <c r="L567" s="1006"/>
      <c r="M567" s="1006"/>
      <c r="N567" s="1006"/>
      <c r="O567" s="1006"/>
      <c r="P567" s="1023"/>
      <c r="Q567" s="1013"/>
      <c r="R567" s="1006"/>
      <c r="S567" s="1013"/>
      <c r="T567" s="1006"/>
      <c r="U567" s="1006"/>
      <c r="W567" s="1006"/>
      <c r="X567" s="1006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7">
      <c r="B568" s="2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1023"/>
      <c r="Q568" s="1023"/>
      <c r="R568" s="1006"/>
      <c r="S568" s="1006"/>
      <c r="T568" s="1006"/>
      <c r="U568" s="1006"/>
      <c r="W568" s="1006"/>
      <c r="X568" s="1006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7">
      <c r="B569" s="2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1021"/>
      <c r="Q569" s="1011"/>
      <c r="R569" s="1006"/>
      <c r="S569" s="1011"/>
      <c r="T569" s="1006"/>
      <c r="U569" s="1006"/>
      <c r="W569" s="1006"/>
      <c r="X569" s="1006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7">
      <c r="B570" s="2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1021"/>
      <c r="Q570" s="1011"/>
      <c r="R570" s="1006"/>
      <c r="S570" s="1011"/>
      <c r="T570" s="1006"/>
      <c r="U570" s="1006"/>
      <c r="W570" s="1006"/>
      <c r="X570" s="1006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7">
      <c r="B571" s="2"/>
      <c r="C571" s="1010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1023"/>
      <c r="Q571" s="1013"/>
      <c r="R571" s="1006"/>
      <c r="S571" s="1013"/>
      <c r="T571" s="1006"/>
      <c r="U571" s="1006"/>
      <c r="W571" s="1006"/>
      <c r="X571" s="1006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7">
      <c r="B572" s="2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1023"/>
      <c r="Q572" s="1023"/>
      <c r="R572" s="1006"/>
      <c r="S572" s="1006"/>
      <c r="T572" s="1006"/>
      <c r="U572" s="1006"/>
      <c r="W572" s="1006"/>
      <c r="X572" s="1006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7">
      <c r="B573" s="2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1021"/>
      <c r="Q573" s="1011"/>
      <c r="R573" s="1006"/>
      <c r="S573" s="1011"/>
      <c r="T573" s="1006"/>
      <c r="U573" s="1006"/>
      <c r="W573" s="1006"/>
      <c r="X573" s="1006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7">
      <c r="B574" s="2"/>
      <c r="C574" s="1010"/>
      <c r="D574" s="1010"/>
      <c r="E574" s="1006"/>
      <c r="F574" s="1006"/>
      <c r="G574" s="1010"/>
      <c r="H574" s="1006"/>
      <c r="I574" s="1006"/>
      <c r="J574" s="1006"/>
      <c r="K574" s="1006"/>
      <c r="L574" s="1006"/>
      <c r="M574" s="1006"/>
      <c r="N574" s="1006"/>
      <c r="O574" s="1006"/>
      <c r="P574" s="1023"/>
      <c r="Q574" s="1013"/>
      <c r="R574" s="1006"/>
      <c r="S574" s="1013"/>
      <c r="T574" s="1006"/>
      <c r="U574" s="1006"/>
      <c r="W574" s="1006"/>
      <c r="X574" s="1006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7">
      <c r="B575" s="2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1023"/>
      <c r="Q575" s="1023"/>
      <c r="R575" s="1006"/>
      <c r="S575" s="1006"/>
      <c r="T575" s="1006"/>
      <c r="U575" s="1006"/>
      <c r="W575" s="1006"/>
      <c r="X575" s="1006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7">
      <c r="B576" s="2"/>
      <c r="C576" s="1006"/>
      <c r="D576" s="1006"/>
      <c r="E576" s="1011"/>
      <c r="F576" s="1021"/>
      <c r="G576" s="1006"/>
      <c r="H576" s="1011"/>
      <c r="I576" s="1021"/>
      <c r="J576" s="1021"/>
      <c r="K576" s="1011"/>
      <c r="L576" s="1021"/>
      <c r="M576" s="1011"/>
      <c r="N576" s="1021"/>
      <c r="O576" s="1011"/>
      <c r="P576" s="1021"/>
      <c r="Q576" s="1011"/>
      <c r="R576" s="1011"/>
      <c r="S576" s="1006"/>
      <c r="T576" s="1006"/>
      <c r="U576" s="1006"/>
      <c r="W576" s="1006"/>
      <c r="X576" s="1006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7">
      <c r="B577" s="2"/>
      <c r="C577" s="1010"/>
      <c r="D577" s="1010"/>
      <c r="E577" s="1013"/>
      <c r="F577" s="1023"/>
      <c r="G577" s="1010"/>
      <c r="H577" s="1013"/>
      <c r="I577" s="1023"/>
      <c r="J577" s="1023"/>
      <c r="K577" s="1013"/>
      <c r="L577" s="1023"/>
      <c r="M577" s="1013"/>
      <c r="N577" s="1023"/>
      <c r="O577" s="1013"/>
      <c r="P577" s="1023"/>
      <c r="Q577" s="1013"/>
      <c r="R577" s="1013"/>
      <c r="S577" s="1013"/>
      <c r="T577" s="1006"/>
      <c r="U577" s="1006"/>
      <c r="W577" s="1006"/>
      <c r="X577" s="1006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7">
      <c r="B578" s="2"/>
      <c r="C578" s="1006"/>
      <c r="D578" s="1006"/>
      <c r="E578" s="1011"/>
      <c r="F578" s="1021"/>
      <c r="G578" s="1006"/>
      <c r="H578" s="1011"/>
      <c r="I578" s="1021"/>
      <c r="J578" s="1011"/>
      <c r="K578" s="1021"/>
      <c r="L578" s="1011"/>
      <c r="M578" s="1006"/>
      <c r="N578" s="1011"/>
      <c r="O578" s="1021"/>
      <c r="P578" s="1013"/>
      <c r="Q578" s="1023"/>
      <c r="R578" s="1023"/>
      <c r="S578" s="1011"/>
      <c r="T578" s="1006"/>
      <c r="U578" s="1006"/>
      <c r="W578" s="1006"/>
      <c r="X578" s="1006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7">
      <c r="B579" s="2"/>
      <c r="C579" s="1006"/>
      <c r="D579" s="1006"/>
      <c r="E579" s="1011"/>
      <c r="F579" s="1021"/>
      <c r="G579" s="1006"/>
      <c r="H579" s="1011"/>
      <c r="I579" s="1021"/>
      <c r="J579" s="1011"/>
      <c r="K579" s="1021"/>
      <c r="L579" s="1011"/>
      <c r="M579" s="1006"/>
      <c r="N579" s="1011"/>
      <c r="O579" s="1021"/>
      <c r="P579" s="1011"/>
      <c r="Q579" s="1006"/>
      <c r="R579" s="1021"/>
      <c r="S579" s="1011"/>
      <c r="T579" s="1006"/>
      <c r="U579" s="1006"/>
      <c r="W579" s="1006"/>
      <c r="X579" s="1006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7">
      <c r="B580" s="2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1006"/>
      <c r="Q580" s="1006"/>
      <c r="R580" s="1021"/>
      <c r="S580" s="1011"/>
      <c r="T580" s="1006"/>
      <c r="U580" s="1006"/>
      <c r="W580" s="1006"/>
      <c r="X580" s="1006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7">
      <c r="B581" s="2"/>
      <c r="C581" s="1006"/>
      <c r="D581" s="1006"/>
      <c r="E581" s="1011"/>
      <c r="F581" s="1021"/>
      <c r="G581" s="1006"/>
      <c r="H581" s="1011"/>
      <c r="I581" s="1021"/>
      <c r="J581" s="1011"/>
      <c r="K581" s="1021"/>
      <c r="L581" s="1011"/>
      <c r="M581" s="1006"/>
      <c r="N581" s="1011"/>
      <c r="O581" s="1021"/>
      <c r="P581" s="1011"/>
      <c r="Q581" s="1006"/>
      <c r="R581" s="1021"/>
      <c r="S581" s="1011"/>
      <c r="T581" s="1006"/>
      <c r="U581" s="1006"/>
      <c r="W581" s="1006"/>
      <c r="X581" s="1006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7">
      <c r="B582" s="2"/>
      <c r="C582" s="1006"/>
      <c r="D582" s="1006"/>
      <c r="E582" s="1011"/>
      <c r="F582" s="1021"/>
      <c r="G582" s="1006"/>
      <c r="H582" s="1011"/>
      <c r="I582" s="1021"/>
      <c r="J582" s="1011"/>
      <c r="K582" s="1021"/>
      <c r="L582" s="1011"/>
      <c r="M582" s="1006"/>
      <c r="N582" s="1011"/>
      <c r="O582" s="1021"/>
      <c r="P582" s="1011"/>
      <c r="Q582" s="1006"/>
      <c r="R582" s="1021"/>
      <c r="S582" s="1011"/>
      <c r="T582" s="1006"/>
      <c r="U582" s="1006"/>
      <c r="W582" s="1006"/>
      <c r="X582" s="1006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7">
      <c r="B583" s="2"/>
      <c r="C583" s="1006"/>
      <c r="D583" s="1006"/>
      <c r="E583" s="1011"/>
      <c r="F583" s="1021"/>
      <c r="G583" s="1006"/>
      <c r="H583" s="1011"/>
      <c r="I583" s="1021"/>
      <c r="J583" s="1011"/>
      <c r="K583" s="1021"/>
      <c r="L583" s="1011"/>
      <c r="M583" s="1006"/>
      <c r="N583" s="1011"/>
      <c r="O583" s="1021"/>
      <c r="P583" s="1011"/>
      <c r="Q583" s="1006"/>
      <c r="R583" s="1021"/>
      <c r="S583" s="1011"/>
      <c r="T583" s="1006"/>
      <c r="U583" s="1006"/>
      <c r="W583" s="1006"/>
      <c r="X583" s="1006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7">
      <c r="B584" s="2"/>
      <c r="C584" s="1006"/>
      <c r="D584" s="1006"/>
      <c r="E584" s="1011"/>
      <c r="F584" s="1021"/>
      <c r="G584" s="1006"/>
      <c r="H584" s="1011"/>
      <c r="I584" s="1021"/>
      <c r="J584" s="1011"/>
      <c r="K584" s="1021"/>
      <c r="L584" s="1011"/>
      <c r="M584" s="1006"/>
      <c r="N584" s="1011"/>
      <c r="O584" s="1021"/>
      <c r="P584" s="1011"/>
      <c r="Q584" s="1006"/>
      <c r="R584" s="1021"/>
      <c r="S584" s="1011"/>
      <c r="T584" s="1006"/>
      <c r="U584" s="1006"/>
      <c r="W584" s="1006"/>
      <c r="X584" s="1006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7">
      <c r="B585" s="2"/>
      <c r="C585" s="1006"/>
      <c r="D585" s="1006"/>
      <c r="E585" s="1011"/>
      <c r="F585" s="1021"/>
      <c r="G585" s="1006"/>
      <c r="H585" s="1011"/>
      <c r="I585" s="1021"/>
      <c r="J585" s="1011"/>
      <c r="K585" s="1021"/>
      <c r="L585" s="1011"/>
      <c r="M585" s="1006"/>
      <c r="N585" s="1011"/>
      <c r="O585" s="1021"/>
      <c r="P585" s="1011"/>
      <c r="Q585" s="1006"/>
      <c r="R585" s="1021"/>
      <c r="S585" s="1011"/>
      <c r="T585" s="1006"/>
      <c r="U585" s="1006"/>
      <c r="W585" s="1006"/>
      <c r="X585" s="1006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7">
      <c r="B586" s="2"/>
      <c r="C586" s="1006"/>
      <c r="D586" s="1006"/>
      <c r="E586" s="1011"/>
      <c r="F586" s="1021"/>
      <c r="G586" s="1006"/>
      <c r="H586" s="1011"/>
      <c r="I586" s="1021"/>
      <c r="J586" s="1011"/>
      <c r="K586" s="1021"/>
      <c r="L586" s="1011"/>
      <c r="M586" s="1006"/>
      <c r="N586" s="1011"/>
      <c r="O586" s="1021"/>
      <c r="P586" s="1011"/>
      <c r="Q586" s="1006"/>
      <c r="R586" s="1021"/>
      <c r="S586" s="1011"/>
      <c r="T586" s="1006"/>
      <c r="U586" s="1006"/>
      <c r="W586" s="1006"/>
      <c r="X586" s="1006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7">
      <c r="B587" s="2"/>
      <c r="C587" s="1006"/>
      <c r="D587" s="1006"/>
      <c r="E587" s="1011"/>
      <c r="F587" s="1021"/>
      <c r="G587" s="1006"/>
      <c r="H587" s="1011"/>
      <c r="I587" s="1021"/>
      <c r="J587" s="1011"/>
      <c r="K587" s="1021"/>
      <c r="L587" s="1011"/>
      <c r="M587" s="1006"/>
      <c r="N587" s="1011"/>
      <c r="O587" s="1021"/>
      <c r="P587" s="1011"/>
      <c r="Q587" s="1006"/>
      <c r="R587" s="1021"/>
      <c r="S587" s="1011"/>
      <c r="T587" s="1006"/>
      <c r="U587" s="1006"/>
      <c r="W587" s="1006"/>
      <c r="X587" s="1006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7">
      <c r="B588" s="2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1006"/>
      <c r="Q588" s="1006"/>
      <c r="R588" s="1006"/>
      <c r="S588" s="1006"/>
      <c r="T588" s="1006"/>
      <c r="U588" s="1006"/>
      <c r="W588" s="1006"/>
      <c r="X588" s="1006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7">
      <c r="B589" s="2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1006"/>
      <c r="Q589" s="1006"/>
      <c r="R589" s="1006"/>
      <c r="S589" s="1006"/>
      <c r="T589" s="1006"/>
      <c r="U589" s="1006"/>
      <c r="W589" s="1006"/>
      <c r="X589" s="1006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7">
      <c r="B590" s="2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1006"/>
      <c r="Q590" s="1006"/>
      <c r="R590" s="1006"/>
      <c r="S590" s="1006"/>
      <c r="T590" s="1006"/>
      <c r="U590" s="1006"/>
      <c r="W590" s="1006"/>
      <c r="X590" s="1006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7">
      <c r="B591" s="2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1006"/>
      <c r="Q591" s="1006"/>
      <c r="R591" s="1006"/>
      <c r="S591" s="1006"/>
      <c r="T591" s="1006"/>
      <c r="U591" s="1006"/>
      <c r="W591" s="1006"/>
      <c r="X591" s="1006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7">
      <c r="B592" s="2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1006"/>
      <c r="Q592" s="1006"/>
      <c r="R592" s="1006"/>
      <c r="S592" s="1006"/>
      <c r="T592" s="1006"/>
      <c r="U592" s="1006"/>
      <c r="W592" s="1006"/>
      <c r="X592" s="1006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7">
      <c r="B593" s="2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1006"/>
      <c r="Q593" s="1006"/>
      <c r="R593" s="1006"/>
      <c r="S593" s="1006"/>
      <c r="T593" s="1006"/>
      <c r="U593" s="1006"/>
      <c r="W593" s="1006"/>
      <c r="X593" s="1006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7">
      <c r="B594" s="2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1006"/>
      <c r="Q594" s="1006"/>
      <c r="R594" s="1006"/>
      <c r="S594" s="1006"/>
      <c r="T594" s="1006"/>
      <c r="U594" s="1006"/>
      <c r="W594" s="1006"/>
      <c r="X594" s="1006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7">
      <c r="B595" s="2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1006"/>
      <c r="Q595" s="1006"/>
      <c r="R595" s="1006"/>
      <c r="S595" s="1006"/>
      <c r="T595" s="1006"/>
      <c r="U595" s="1006"/>
      <c r="W595" s="1006"/>
      <c r="X595" s="1006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7">
      <c r="B596" s="2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1006"/>
      <c r="Q596" s="1006"/>
      <c r="R596" s="1006"/>
      <c r="S596" s="1006"/>
      <c r="T596" s="1006"/>
      <c r="U596" s="1006"/>
      <c r="W596" s="1006"/>
      <c r="X596" s="1006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7">
      <c r="B597" s="2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1006"/>
      <c r="Q597" s="1006"/>
      <c r="R597" s="1006"/>
      <c r="S597" s="1006"/>
      <c r="T597" s="1006"/>
      <c r="U597" s="1006"/>
      <c r="W597" s="1006"/>
      <c r="X597" s="1006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7">
      <c r="B598" s="2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1006"/>
      <c r="Q598" s="1006"/>
      <c r="R598" s="1006"/>
      <c r="S598" s="1006"/>
      <c r="T598" s="1006"/>
      <c r="U598" s="1006"/>
      <c r="W598" s="1006"/>
      <c r="X598" s="1006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7">
      <c r="B599" s="2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1006"/>
      <c r="Q599" s="1006"/>
      <c r="R599" s="1006"/>
      <c r="S599" s="1006"/>
      <c r="T599" s="1006"/>
      <c r="U599" s="1006"/>
      <c r="W599" s="1006"/>
      <c r="X599" s="1006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7">
      <c r="B600" s="2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1006"/>
      <c r="Q600" s="1006"/>
      <c r="R600" s="1006"/>
      <c r="S600" s="1006"/>
      <c r="T600" s="1006"/>
      <c r="U600" s="1006"/>
      <c r="W600" s="1006"/>
      <c r="X600" s="1006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7">
      <c r="B601" s="2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1006"/>
      <c r="Q601" s="1006"/>
      <c r="R601" s="1006"/>
      <c r="S601" s="1006"/>
      <c r="T601" s="1006"/>
      <c r="U601" s="1006"/>
      <c r="W601" s="1006"/>
      <c r="X601" s="1006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7">
      <c r="B602" s="2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1006"/>
      <c r="Q602" s="1006"/>
      <c r="R602" s="1006"/>
      <c r="S602" s="1006"/>
      <c r="T602" s="1006"/>
      <c r="U602" s="1006"/>
      <c r="W602" s="1006"/>
      <c r="X602" s="1006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7">
      <c r="B603" s="2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1006"/>
      <c r="Q603" s="1006"/>
      <c r="R603" s="1006"/>
      <c r="S603" s="1006"/>
      <c r="T603" s="1006"/>
      <c r="U603" s="1006"/>
      <c r="W603" s="1006"/>
      <c r="X603" s="1006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7">
      <c r="B604" s="2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1006"/>
      <c r="Q604" s="1006"/>
      <c r="R604" s="1006"/>
      <c r="S604" s="1006"/>
      <c r="T604" s="1006"/>
      <c r="U604" s="1006"/>
      <c r="W604" s="1006"/>
      <c r="X604" s="1006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7">
      <c r="B605" s="2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1006"/>
      <c r="Q605" s="1006"/>
      <c r="R605" s="1006"/>
      <c r="S605" s="1006"/>
      <c r="T605" s="1006"/>
      <c r="U605" s="1006"/>
      <c r="W605" s="1006"/>
      <c r="X605" s="1006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7">
      <c r="B606" s="2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1006"/>
      <c r="Q606" s="1006"/>
      <c r="R606" s="1006"/>
      <c r="S606" s="1006"/>
      <c r="T606" s="1006"/>
      <c r="U606" s="1006"/>
      <c r="W606" s="1006"/>
      <c r="X606" s="1006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7">
      <c r="B607" s="2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1006"/>
      <c r="Q607" s="1006"/>
      <c r="R607" s="1006"/>
      <c r="S607" s="1006"/>
      <c r="T607" s="1006"/>
      <c r="U607" s="1006"/>
      <c r="W607" s="1006"/>
      <c r="X607" s="1006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7">
      <c r="B608" s="2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1006"/>
      <c r="Q608" s="1006"/>
      <c r="R608" s="1006"/>
      <c r="S608" s="1006"/>
      <c r="T608" s="1006"/>
      <c r="U608" s="1006"/>
      <c r="W608" s="1006"/>
      <c r="X608" s="1006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7">
      <c r="B609" s="2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1006"/>
      <c r="Q609" s="1006"/>
      <c r="R609" s="1006"/>
      <c r="S609" s="1006"/>
      <c r="T609" s="1006"/>
      <c r="U609" s="1006"/>
      <c r="W609" s="1006"/>
      <c r="X609" s="1006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7">
      <c r="B610" s="2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1006"/>
      <c r="Q610" s="1006"/>
      <c r="R610" s="1006"/>
      <c r="S610" s="1006"/>
      <c r="T610" s="1006"/>
      <c r="U610" s="1006"/>
      <c r="W610" s="1006"/>
      <c r="X610" s="1006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7">
      <c r="B611" s="2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1006"/>
      <c r="Q611" s="1006"/>
      <c r="R611" s="1006"/>
      <c r="S611" s="1006"/>
      <c r="T611" s="1006"/>
      <c r="U611" s="1006"/>
      <c r="W611" s="1006"/>
      <c r="X611" s="1006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7">
      <c r="B612" s="2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1006"/>
      <c r="Q612" s="1006"/>
      <c r="R612" s="1006"/>
      <c r="S612" s="1006"/>
      <c r="T612" s="1006"/>
      <c r="U612" s="1006"/>
      <c r="W612" s="1006"/>
      <c r="X612" s="1006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7">
      <c r="B613" s="2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1006"/>
      <c r="Q613" s="1006"/>
      <c r="R613" s="1006"/>
      <c r="S613" s="1006"/>
      <c r="T613" s="1006"/>
      <c r="U613" s="1006"/>
      <c r="W613" s="1006"/>
      <c r="X613" s="1006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7">
      <c r="B614" s="2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1006"/>
      <c r="Q614" s="1006"/>
      <c r="R614" s="1006"/>
      <c r="S614" s="1006"/>
      <c r="T614" s="1006"/>
      <c r="U614" s="1006"/>
      <c r="W614" s="1006"/>
      <c r="X614" s="1006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7">
      <c r="B615" s="2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1006"/>
      <c r="Q615" s="1006"/>
      <c r="R615" s="1006"/>
      <c r="S615" s="1006"/>
      <c r="T615" s="1006"/>
      <c r="U615" s="1006"/>
      <c r="W615" s="1006"/>
      <c r="X615" s="1006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7">
      <c r="B616" s="2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1006"/>
      <c r="Q616" s="1006"/>
      <c r="R616" s="1006"/>
      <c r="S616" s="1006"/>
      <c r="T616" s="1006"/>
      <c r="U616" s="1006"/>
      <c r="W616" s="1006"/>
      <c r="X616" s="1006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7">
      <c r="B617" s="2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1006"/>
      <c r="Q617" s="1006"/>
      <c r="R617" s="1006"/>
      <c r="S617" s="1006"/>
      <c r="T617" s="1006"/>
      <c r="U617" s="1006"/>
      <c r="W617" s="1006"/>
      <c r="X617" s="1006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7">
      <c r="B618" s="2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1006"/>
      <c r="Q618" s="1006"/>
      <c r="R618" s="1006"/>
      <c r="S618" s="1006"/>
      <c r="T618" s="1006"/>
      <c r="U618" s="1006"/>
      <c r="W618" s="1006"/>
      <c r="X618" s="1006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7">
      <c r="B619" s="2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1006"/>
      <c r="Q619" s="1006"/>
      <c r="R619" s="1006"/>
      <c r="S619" s="1006"/>
      <c r="T619" s="1006"/>
      <c r="U619" s="1006"/>
      <c r="W619" s="1006"/>
      <c r="X619" s="1006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7">
      <c r="B620" s="2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1006"/>
      <c r="Q620" s="1006"/>
      <c r="R620" s="1006"/>
      <c r="S620" s="1006"/>
      <c r="T620" s="1006"/>
      <c r="U620" s="1006"/>
      <c r="W620" s="1006"/>
      <c r="X620" s="1006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7">
      <c r="B621" s="2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1006"/>
      <c r="Q621" s="1006"/>
      <c r="R621" s="1006"/>
      <c r="S621" s="1006"/>
      <c r="T621" s="1006"/>
      <c r="U621" s="1006"/>
      <c r="W621" s="1006"/>
      <c r="X621" s="1006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7">
      <c r="B622" s="2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1006"/>
      <c r="Q622" s="1006"/>
      <c r="R622" s="1006"/>
      <c r="S622" s="1006"/>
      <c r="T622" s="1006"/>
      <c r="U622" s="1006"/>
      <c r="W622" s="1006"/>
      <c r="X622" s="1006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7">
      <c r="B623" s="2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1006"/>
      <c r="Q623" s="1006"/>
      <c r="R623" s="1006"/>
      <c r="S623" s="1006"/>
      <c r="T623" s="1006"/>
      <c r="U623" s="1006"/>
      <c r="W623" s="1006"/>
      <c r="X623" s="1006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7">
      <c r="B624" s="2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1006"/>
      <c r="Q624" s="1006"/>
      <c r="R624" s="1006"/>
      <c r="S624" s="1006"/>
      <c r="T624" s="1006"/>
      <c r="U624" s="1006"/>
      <c r="W624" s="1006"/>
      <c r="X624" s="1006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7">
      <c r="B625" s="2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1006"/>
      <c r="Q625" s="1006"/>
      <c r="R625" s="1006"/>
      <c r="S625" s="1006"/>
      <c r="T625" s="1006"/>
      <c r="U625" s="1006"/>
      <c r="W625" s="1006"/>
      <c r="X625" s="1006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7">
      <c r="B626" s="2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1006"/>
      <c r="Q626" s="1006"/>
      <c r="R626" s="1006"/>
      <c r="S626" s="1006"/>
      <c r="T626" s="1006"/>
      <c r="U626" s="1006"/>
      <c r="W626" s="1006"/>
      <c r="X626" s="1006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7">
      <c r="B627" s="2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1006"/>
      <c r="Q627" s="1006"/>
      <c r="R627" s="1006"/>
      <c r="S627" s="1006"/>
      <c r="T627" s="1006"/>
      <c r="U627" s="1006"/>
      <c r="W627" s="1006"/>
      <c r="X627" s="1006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7">
      <c r="B628" s="2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1006"/>
      <c r="Q628" s="1006"/>
      <c r="R628" s="1006"/>
      <c r="S628" s="1006"/>
      <c r="T628" s="1006"/>
      <c r="U628" s="1006"/>
      <c r="W628" s="1006"/>
      <c r="X628" s="1006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7">
      <c r="B629" s="2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1006"/>
      <c r="Q629" s="1006"/>
      <c r="R629" s="1006"/>
      <c r="S629" s="1006"/>
      <c r="T629" s="1006"/>
      <c r="U629" s="1006"/>
      <c r="W629" s="1006"/>
      <c r="X629" s="1006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7">
      <c r="B630" s="2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1006"/>
      <c r="Q630" s="1006"/>
      <c r="R630" s="1006"/>
      <c r="S630" s="1006"/>
      <c r="T630" s="1006"/>
      <c r="U630" s="1006"/>
      <c r="W630" s="1006"/>
      <c r="X630" s="1006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7">
      <c r="B631" s="2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1006"/>
      <c r="Q631" s="1006"/>
      <c r="R631" s="1006"/>
      <c r="S631" s="1006"/>
      <c r="T631" s="1006"/>
      <c r="U631" s="1006"/>
      <c r="W631" s="1006"/>
      <c r="X631" s="1006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7">
      <c r="B632" s="2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1006"/>
      <c r="Q632" s="1006"/>
      <c r="R632" s="1006"/>
      <c r="S632" s="1006"/>
      <c r="T632" s="1006"/>
      <c r="U632" s="1006"/>
      <c r="W632" s="1006"/>
      <c r="X632" s="1006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7">
      <c r="B633" s="2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1006"/>
      <c r="Q633" s="1006"/>
      <c r="R633" s="1006"/>
      <c r="S633" s="1006"/>
      <c r="T633" s="1006"/>
      <c r="U633" s="1006"/>
      <c r="W633" s="1006"/>
      <c r="X633" s="1006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7">
      <c r="B634" s="2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1006"/>
      <c r="Q634" s="1006"/>
      <c r="R634" s="1006"/>
      <c r="S634" s="1006"/>
      <c r="T634" s="1006"/>
      <c r="U634" s="1006"/>
      <c r="W634" s="1006"/>
      <c r="X634" s="1006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7">
      <c r="B635" s="2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1006"/>
      <c r="Q635" s="1006"/>
      <c r="R635" s="1006"/>
      <c r="S635" s="1006"/>
      <c r="T635" s="1006"/>
      <c r="U635" s="1006"/>
      <c r="W635" s="1006"/>
      <c r="X635" s="1006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7">
      <c r="B636" s="2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1006"/>
      <c r="Q636" s="1006"/>
      <c r="R636" s="1006"/>
      <c r="S636" s="1006"/>
      <c r="T636" s="1006"/>
      <c r="U636" s="1006"/>
      <c r="W636" s="1006"/>
      <c r="X636" s="1006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7">
      <c r="B637" s="2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1006"/>
      <c r="Q637" s="1006"/>
      <c r="R637" s="1006"/>
      <c r="S637" s="1006"/>
      <c r="T637" s="1006"/>
      <c r="U637" s="1006"/>
      <c r="W637" s="1006"/>
      <c r="X637" s="1006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7">
      <c r="B638" s="2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1006"/>
      <c r="Q638" s="1006"/>
      <c r="R638" s="1006"/>
      <c r="S638" s="1006"/>
      <c r="T638" s="1006"/>
      <c r="U638" s="1006"/>
      <c r="W638" s="1006"/>
      <c r="X638" s="1006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7">
      <c r="B639" s="2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1006"/>
      <c r="Q639" s="1006"/>
      <c r="R639" s="1006"/>
      <c r="S639" s="1006"/>
      <c r="T639" s="1006"/>
      <c r="U639" s="1006"/>
      <c r="W639" s="1006"/>
      <c r="X639" s="1006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7">
      <c r="B640" s="2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1006"/>
      <c r="Q640" s="1006"/>
      <c r="R640" s="1006"/>
      <c r="S640" s="1006"/>
      <c r="T640" s="1006"/>
      <c r="U640" s="1006"/>
      <c r="W640" s="1006"/>
      <c r="X640" s="1006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7">
      <c r="B641" s="2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1006"/>
      <c r="Q641" s="1006"/>
      <c r="R641" s="1006"/>
      <c r="S641" s="1006"/>
      <c r="T641" s="1006"/>
      <c r="U641" s="1006"/>
      <c r="W641" s="1006"/>
      <c r="X641" s="1006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7">
      <c r="B642" s="2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1006"/>
      <c r="Q642" s="1006"/>
      <c r="R642" s="1006"/>
      <c r="S642" s="1006"/>
      <c r="T642" s="1006"/>
      <c r="U642" s="1006"/>
      <c r="W642" s="1006"/>
      <c r="X642" s="1006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7">
      <c r="B643" s="2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1006"/>
      <c r="Q643" s="1006"/>
      <c r="R643" s="1006"/>
      <c r="S643" s="1006"/>
      <c r="T643" s="1006"/>
      <c r="U643" s="1006"/>
      <c r="W643" s="1006"/>
      <c r="X643" s="1006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7">
      <c r="B644" s="2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1006"/>
      <c r="Q644" s="1006"/>
      <c r="R644" s="1006"/>
      <c r="S644" s="1006"/>
      <c r="T644" s="1006"/>
      <c r="U644" s="1006"/>
      <c r="W644" s="1006"/>
      <c r="X644" s="1006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7">
      <c r="B645" s="2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1006"/>
      <c r="Q645" s="1006"/>
      <c r="R645" s="1006"/>
      <c r="S645" s="1006"/>
      <c r="T645" s="1006"/>
      <c r="U645" s="1006"/>
      <c r="W645" s="1006"/>
      <c r="X645" s="1006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7">
      <c r="B646" s="2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1006"/>
      <c r="Q646" s="1006"/>
      <c r="R646" s="1006"/>
      <c r="S646" s="1006"/>
      <c r="T646" s="1006"/>
      <c r="U646" s="1006"/>
      <c r="W646" s="1006"/>
      <c r="X646" s="1006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7">
      <c r="B647" s="2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1006"/>
      <c r="Q647" s="1006"/>
      <c r="R647" s="1006"/>
      <c r="S647" s="1006"/>
      <c r="T647" s="1006"/>
      <c r="U647" s="1006"/>
      <c r="W647" s="1006"/>
      <c r="X647" s="1006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7">
      <c r="B648" s="2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1006"/>
      <c r="Q648" s="1006"/>
      <c r="R648" s="1006"/>
      <c r="S648" s="1006"/>
      <c r="T648" s="1006"/>
      <c r="U648" s="1006"/>
      <c r="W648" s="1006"/>
      <c r="X648" s="1006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7">
      <c r="B649" s="2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1006"/>
      <c r="Q649" s="1006"/>
      <c r="R649" s="1006"/>
      <c r="S649" s="1006"/>
      <c r="T649" s="1006"/>
      <c r="U649" s="1006"/>
      <c r="W649" s="1006"/>
      <c r="X649" s="1006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7">
      <c r="B650" s="2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1006"/>
      <c r="Q650" s="1006"/>
      <c r="R650" s="1006"/>
      <c r="S650" s="1006"/>
      <c r="T650" s="1006"/>
      <c r="U650" s="1006"/>
      <c r="W650" s="1006"/>
      <c r="X650" s="1006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024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25"/>
      <c r="P651" s="1006"/>
      <c r="Q651" s="1006"/>
      <c r="R651" s="1006"/>
      <c r="S651" s="1006"/>
      <c r="T651" s="1006"/>
      <c r="U651" s="1006"/>
      <c r="W651" s="1006"/>
      <c r="X651" s="1006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">
      <c r="B652" s="2"/>
      <c r="C652" s="1014"/>
      <c r="D652" s="1018"/>
      <c r="E652" s="1018"/>
      <c r="F652" s="1018"/>
      <c r="G652" s="1018"/>
      <c r="H652" s="1018"/>
      <c r="I652" s="1018"/>
      <c r="J652" s="1018"/>
      <c r="K652" s="1018"/>
      <c r="L652" s="1018"/>
      <c r="M652" s="1018"/>
      <c r="N652" s="1018"/>
      <c r="O652" s="1018"/>
      <c r="P652" s="1018"/>
      <c r="Q652" s="1026"/>
      <c r="R652" s="1018"/>
      <c r="S652" s="1018"/>
      <c r="T652" s="1006"/>
      <c r="U652" s="1006"/>
      <c r="W652" s="1006"/>
      <c r="X652" s="1006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7">
      <c r="B653" s="2"/>
      <c r="C653" s="1006"/>
      <c r="D653" s="1015"/>
      <c r="E653" s="1015"/>
      <c r="F653" s="1027"/>
      <c r="G653" s="1015"/>
      <c r="H653" s="1015"/>
      <c r="I653" s="1027"/>
      <c r="J653" s="1019"/>
      <c r="K653" s="1019"/>
      <c r="L653" s="1028"/>
      <c r="M653" s="1019"/>
      <c r="N653" s="1019"/>
      <c r="O653" s="1019"/>
      <c r="P653" s="1019"/>
      <c r="Q653" s="1016"/>
      <c r="R653" s="1015"/>
      <c r="S653" s="1027"/>
      <c r="T653" s="1006"/>
      <c r="U653" s="1006"/>
      <c r="W653" s="1006"/>
      <c r="X653" s="1006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7">
      <c r="B654" s="2"/>
      <c r="C654" s="1029"/>
      <c r="D654" s="1006"/>
      <c r="E654" s="1006"/>
      <c r="F654" s="1018"/>
      <c r="G654" s="1006"/>
      <c r="H654" s="1006"/>
      <c r="I654" s="1018"/>
      <c r="J654" s="1018"/>
      <c r="K654" s="1018"/>
      <c r="L654" s="1006"/>
      <c r="M654" s="1018"/>
      <c r="N654" s="1018"/>
      <c r="O654" s="1006"/>
      <c r="P654" s="1018"/>
      <c r="Q654" s="1018"/>
      <c r="R654" s="1006"/>
      <c r="S654" s="1018"/>
      <c r="T654" s="1006"/>
      <c r="U654" s="1006"/>
      <c r="W654" s="1006"/>
      <c r="X654" s="1006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7">
      <c r="B655" s="2"/>
      <c r="C655" s="1006"/>
      <c r="D655" s="1006"/>
      <c r="E655" s="1006"/>
      <c r="F655" s="1011"/>
      <c r="G655" s="1006"/>
      <c r="H655" s="1006"/>
      <c r="I655" s="1011"/>
      <c r="J655" s="1011"/>
      <c r="K655" s="1011"/>
      <c r="L655" s="1011"/>
      <c r="M655" s="1011"/>
      <c r="N655" s="1011"/>
      <c r="O655" s="1011"/>
      <c r="P655" s="1011"/>
      <c r="Q655" s="1011"/>
      <c r="R655" s="1011"/>
      <c r="S655" s="1011"/>
      <c r="T655" s="1006"/>
      <c r="U655" s="1006"/>
      <c r="W655" s="1006"/>
      <c r="X655" s="1006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7">
      <c r="B656" s="2"/>
      <c r="C656" s="1010"/>
      <c r="D656" s="1010"/>
      <c r="E656" s="1010"/>
      <c r="F656" s="1013"/>
      <c r="G656" s="1010"/>
      <c r="H656" s="1010"/>
      <c r="I656" s="1013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6"/>
      <c r="U656" s="1006"/>
      <c r="W656" s="1006"/>
      <c r="X656" s="1006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7">
      <c r="B657" s="2"/>
      <c r="C657" s="1006"/>
      <c r="D657" s="1006"/>
      <c r="E657" s="1006"/>
      <c r="F657" s="1006"/>
      <c r="G657" s="1006"/>
      <c r="H657" s="1006"/>
      <c r="I657" s="1006"/>
      <c r="J657" s="1011"/>
      <c r="K657" s="1011"/>
      <c r="L657" s="1011"/>
      <c r="M657" s="1011"/>
      <c r="N657" s="1011"/>
      <c r="O657" s="1011"/>
      <c r="P657" s="1011"/>
      <c r="Q657" s="1011"/>
      <c r="R657" s="1011"/>
      <c r="S657" s="1011"/>
      <c r="T657" s="1006"/>
      <c r="U657" s="1006"/>
      <c r="W657" s="1006"/>
      <c r="X657" s="1006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7">
      <c r="B658" s="2"/>
      <c r="C658" s="1006"/>
      <c r="D658" s="1006"/>
      <c r="E658" s="1006"/>
      <c r="F658" s="1006"/>
      <c r="G658" s="1006"/>
      <c r="H658" s="1006"/>
      <c r="I658" s="1006"/>
      <c r="J658" s="1006"/>
      <c r="K658" s="1011"/>
      <c r="L658" s="1011"/>
      <c r="M658" s="1006"/>
      <c r="N658" s="1011"/>
      <c r="O658" s="1011"/>
      <c r="P658" s="1006"/>
      <c r="Q658" s="1011"/>
      <c r="R658" s="1011"/>
      <c r="S658" s="1006"/>
      <c r="T658" s="1006"/>
      <c r="U658" s="1006"/>
      <c r="W658" s="1006"/>
      <c r="X658" s="1006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7">
      <c r="B659" s="2"/>
      <c r="C659" s="1006"/>
      <c r="D659" s="1006"/>
      <c r="E659" s="1006"/>
      <c r="F659" s="1006"/>
      <c r="G659" s="1006"/>
      <c r="H659" s="1006"/>
      <c r="I659" s="1006"/>
      <c r="J659" s="1006"/>
      <c r="K659" s="1011"/>
      <c r="L659" s="1011"/>
      <c r="M659" s="1006"/>
      <c r="N659" s="1011"/>
      <c r="O659" s="1011"/>
      <c r="P659" s="1006"/>
      <c r="Q659" s="1011"/>
      <c r="R659" s="1011"/>
      <c r="S659" s="1006"/>
      <c r="T659" s="1006"/>
      <c r="U659" s="1006"/>
      <c r="W659" s="1006"/>
      <c r="X659" s="1006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7">
      <c r="B660" s="2"/>
      <c r="C660" s="1006"/>
      <c r="D660" s="1006"/>
      <c r="E660" s="1006"/>
      <c r="F660" s="1006"/>
      <c r="G660" s="1006"/>
      <c r="H660" s="1006"/>
      <c r="I660" s="1006"/>
      <c r="J660" s="1006"/>
      <c r="K660" s="1011"/>
      <c r="L660" s="1011"/>
      <c r="M660" s="1006"/>
      <c r="N660" s="1011"/>
      <c r="O660" s="1011"/>
      <c r="P660" s="1006"/>
      <c r="Q660" s="1011"/>
      <c r="R660" s="1011"/>
      <c r="S660" s="1006"/>
      <c r="T660" s="1006"/>
      <c r="U660" s="1006"/>
      <c r="W660" s="1006"/>
      <c r="X660" s="1006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7">
      <c r="B661" s="2"/>
      <c r="C661" s="1006"/>
      <c r="D661" s="1006"/>
      <c r="E661" s="1006"/>
      <c r="F661" s="1006"/>
      <c r="G661" s="1006"/>
      <c r="H661" s="1006"/>
      <c r="I661" s="1006"/>
      <c r="J661" s="1006"/>
      <c r="K661" s="1011"/>
      <c r="L661" s="1011"/>
      <c r="M661" s="1006"/>
      <c r="N661" s="1011"/>
      <c r="O661" s="1011"/>
      <c r="P661" s="1006"/>
      <c r="Q661" s="1011"/>
      <c r="R661" s="1011"/>
      <c r="S661" s="1006"/>
      <c r="T661" s="1006"/>
      <c r="U661" s="1006"/>
      <c r="W661" s="1006"/>
      <c r="X661" s="1006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7">
      <c r="B662" s="2"/>
      <c r="C662" s="1006"/>
      <c r="D662" s="1006"/>
      <c r="E662" s="1006"/>
      <c r="F662" s="1006"/>
      <c r="G662" s="1006"/>
      <c r="H662" s="1006"/>
      <c r="I662" s="1006"/>
      <c r="J662" s="1006"/>
      <c r="K662" s="1011"/>
      <c r="L662" s="1011"/>
      <c r="M662" s="1006"/>
      <c r="N662" s="1011"/>
      <c r="O662" s="1011"/>
      <c r="P662" s="1006"/>
      <c r="Q662" s="1011"/>
      <c r="R662" s="1011"/>
      <c r="S662" s="1006"/>
      <c r="T662" s="1006"/>
      <c r="U662" s="1006"/>
      <c r="W662" s="1006"/>
      <c r="X662" s="1006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7">
      <c r="B663" s="2"/>
      <c r="C663" s="1006"/>
      <c r="D663" s="1006"/>
      <c r="E663" s="1006"/>
      <c r="F663" s="1006"/>
      <c r="G663" s="1006"/>
      <c r="H663" s="1006"/>
      <c r="I663" s="1006"/>
      <c r="J663" s="1006"/>
      <c r="K663" s="1011"/>
      <c r="L663" s="1013"/>
      <c r="M663" s="1006"/>
      <c r="N663" s="1011"/>
      <c r="O663" s="1011"/>
      <c r="P663" s="1006"/>
      <c r="Q663" s="1011"/>
      <c r="R663" s="1013"/>
      <c r="S663" s="1006"/>
      <c r="T663" s="1006"/>
      <c r="U663" s="1006"/>
      <c r="W663" s="1006"/>
      <c r="X663" s="1006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7">
      <c r="B664" s="2"/>
      <c r="C664" s="1006"/>
      <c r="D664" s="1006"/>
      <c r="E664" s="1006"/>
      <c r="F664" s="1006"/>
      <c r="G664" s="1006"/>
      <c r="H664" s="1006"/>
      <c r="I664" s="1006"/>
      <c r="J664" s="1006"/>
      <c r="K664" s="1011"/>
      <c r="L664" s="1011"/>
      <c r="M664" s="1006"/>
      <c r="N664" s="1011"/>
      <c r="O664" s="1011"/>
      <c r="P664" s="1006"/>
      <c r="Q664" s="1011"/>
      <c r="R664" s="1011"/>
      <c r="S664" s="1006"/>
      <c r="T664" s="1006"/>
      <c r="U664" s="1006"/>
      <c r="W664" s="1006"/>
      <c r="X664" s="1006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7">
      <c r="B665" s="2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13"/>
      <c r="O665" s="1013"/>
      <c r="P665" s="1006"/>
      <c r="Q665" s="1013"/>
      <c r="R665" s="1006"/>
      <c r="S665" s="1006"/>
      <c r="T665" s="1006"/>
      <c r="U665" s="1006"/>
      <c r="W665" s="1006"/>
      <c r="X665" s="1006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7">
      <c r="B666" s="2"/>
      <c r="C666" s="1006"/>
      <c r="D666" s="1006"/>
      <c r="E666" s="1006"/>
      <c r="F666" s="1006"/>
      <c r="G666" s="1006"/>
      <c r="H666" s="1006"/>
      <c r="I666" s="1006"/>
      <c r="J666" s="1006"/>
      <c r="K666" s="1013"/>
      <c r="L666" s="1013"/>
      <c r="M666" s="1006"/>
      <c r="N666" s="1011"/>
      <c r="O666" s="1011"/>
      <c r="P666" s="1006"/>
      <c r="Q666" s="1011"/>
      <c r="R666" s="1013"/>
      <c r="S666" s="1006"/>
      <c r="T666" s="1006"/>
      <c r="U666" s="1006"/>
      <c r="W666" s="1006"/>
      <c r="X666" s="1006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7">
      <c r="B667" s="2"/>
      <c r="C667" s="1006"/>
      <c r="D667" s="1006"/>
      <c r="E667" s="1006"/>
      <c r="F667" s="1006"/>
      <c r="G667" s="1006"/>
      <c r="H667" s="1006"/>
      <c r="I667" s="1006"/>
      <c r="J667" s="1006"/>
      <c r="K667" s="1011"/>
      <c r="L667" s="1011"/>
      <c r="M667" s="1006"/>
      <c r="N667" s="1011"/>
      <c r="O667" s="1011"/>
      <c r="P667" s="1006"/>
      <c r="Q667" s="1011"/>
      <c r="R667" s="1011"/>
      <c r="S667" s="1006"/>
      <c r="T667" s="1006"/>
      <c r="U667" s="1006"/>
      <c r="W667" s="1006"/>
      <c r="X667" s="1006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7">
      <c r="B668" s="2"/>
      <c r="C668" s="1006"/>
      <c r="D668" s="1006"/>
      <c r="E668" s="1006"/>
      <c r="F668" s="1006"/>
      <c r="G668" s="1006"/>
      <c r="H668" s="1006"/>
      <c r="I668" s="1006"/>
      <c r="J668" s="1006"/>
      <c r="K668" s="1011"/>
      <c r="L668" s="1011"/>
      <c r="M668" s="1006"/>
      <c r="N668" s="1011"/>
      <c r="O668" s="1011"/>
      <c r="P668" s="1006"/>
      <c r="Q668" s="1011"/>
      <c r="R668" s="1011"/>
      <c r="S668" s="1006"/>
      <c r="T668" s="1006"/>
      <c r="U668" s="1006"/>
      <c r="W668" s="1006"/>
      <c r="X668" s="1006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7">
      <c r="B669" s="2"/>
      <c r="C669" s="1006"/>
      <c r="D669" s="1006"/>
      <c r="E669" s="1006"/>
      <c r="F669" s="1006"/>
      <c r="G669" s="1006"/>
      <c r="H669" s="1006"/>
      <c r="I669" s="1006"/>
      <c r="J669" s="1006"/>
      <c r="K669" s="1011"/>
      <c r="L669" s="1011"/>
      <c r="M669" s="1006"/>
      <c r="N669" s="1011"/>
      <c r="O669" s="1011"/>
      <c r="P669" s="1006"/>
      <c r="Q669" s="1011"/>
      <c r="R669" s="1011"/>
      <c r="S669" s="1006"/>
      <c r="T669" s="1006"/>
      <c r="U669" s="1006"/>
      <c r="W669" s="1006"/>
      <c r="X669" s="1006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7">
      <c r="B670" s="2"/>
      <c r="C670" s="1006"/>
      <c r="D670" s="1006"/>
      <c r="E670" s="1006"/>
      <c r="F670" s="1006"/>
      <c r="G670" s="1006"/>
      <c r="H670" s="1006"/>
      <c r="I670" s="1006"/>
      <c r="J670" s="1006"/>
      <c r="K670" s="1011"/>
      <c r="L670" s="1011"/>
      <c r="M670" s="1006"/>
      <c r="N670" s="1011"/>
      <c r="O670" s="1011"/>
      <c r="P670" s="1006"/>
      <c r="Q670" s="1011"/>
      <c r="R670" s="1011"/>
      <c r="S670" s="1006"/>
      <c r="T670" s="1006"/>
      <c r="U670" s="1006"/>
      <c r="W670" s="1006"/>
      <c r="X670" s="1006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7">
      <c r="B671" s="2"/>
      <c r="C671" s="1006"/>
      <c r="D671" s="1006"/>
      <c r="E671" s="1006"/>
      <c r="F671" s="1006"/>
      <c r="G671" s="1006"/>
      <c r="H671" s="1006"/>
      <c r="I671" s="1006"/>
      <c r="J671" s="1006"/>
      <c r="K671" s="1011"/>
      <c r="L671" s="1011"/>
      <c r="M671" s="1006"/>
      <c r="N671" s="1011"/>
      <c r="O671" s="1011"/>
      <c r="P671" s="1006"/>
      <c r="Q671" s="1011"/>
      <c r="R671" s="1011"/>
      <c r="S671" s="1006"/>
      <c r="T671" s="1006"/>
      <c r="U671" s="1006"/>
      <c r="W671" s="1006"/>
      <c r="X671" s="1006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7">
      <c r="B672" s="2"/>
      <c r="C672" s="1006"/>
      <c r="D672" s="1006"/>
      <c r="E672" s="1006"/>
      <c r="F672" s="1006"/>
      <c r="G672" s="1006"/>
      <c r="H672" s="1006"/>
      <c r="I672" s="1006"/>
      <c r="J672" s="1006"/>
      <c r="K672" s="1011"/>
      <c r="L672" s="1011"/>
      <c r="M672" s="1006"/>
      <c r="N672" s="1011"/>
      <c r="O672" s="1011"/>
      <c r="P672" s="1006"/>
      <c r="Q672" s="1011"/>
      <c r="R672" s="1011"/>
      <c r="S672" s="1006"/>
      <c r="T672" s="1006"/>
      <c r="U672" s="1006"/>
      <c r="W672" s="1006"/>
      <c r="X672" s="1006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7">
      <c r="B673" s="2"/>
      <c r="C673" s="1006"/>
      <c r="D673" s="1006"/>
      <c r="E673" s="1006"/>
      <c r="F673" s="1006"/>
      <c r="G673" s="1006"/>
      <c r="H673" s="1006"/>
      <c r="I673" s="1006"/>
      <c r="J673" s="1006"/>
      <c r="K673" s="1011"/>
      <c r="L673" s="1011"/>
      <c r="M673" s="1006"/>
      <c r="N673" s="1011"/>
      <c r="O673" s="1011"/>
      <c r="P673" s="1006"/>
      <c r="Q673" s="1011"/>
      <c r="R673" s="1011"/>
      <c r="S673" s="1006"/>
      <c r="T673" s="1006"/>
      <c r="U673" s="1006"/>
      <c r="W673" s="1006"/>
      <c r="X673" s="1006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7">
      <c r="B674" s="2"/>
      <c r="C674" s="1006"/>
      <c r="D674" s="1006"/>
      <c r="E674" s="1006"/>
      <c r="F674" s="1006"/>
      <c r="G674" s="1006"/>
      <c r="H674" s="1006"/>
      <c r="I674" s="1006"/>
      <c r="J674" s="1006"/>
      <c r="K674" s="1011"/>
      <c r="L674" s="1011"/>
      <c r="M674" s="1006"/>
      <c r="N674" s="1011"/>
      <c r="O674" s="1011"/>
      <c r="P674" s="1006"/>
      <c r="Q674" s="1011"/>
      <c r="R674" s="1011"/>
      <c r="S674" s="1006"/>
      <c r="T674" s="1006"/>
      <c r="U674" s="1006"/>
      <c r="W674" s="1006"/>
      <c r="X674" s="1006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7">
      <c r="B675" s="2"/>
      <c r="C675" s="1006"/>
      <c r="D675" s="1006"/>
      <c r="E675" s="1006"/>
      <c r="F675" s="1006"/>
      <c r="G675" s="1006"/>
      <c r="H675" s="1006"/>
      <c r="I675" s="1006"/>
      <c r="J675" s="1006"/>
      <c r="K675" s="1011"/>
      <c r="L675" s="1011"/>
      <c r="M675" s="1006"/>
      <c r="N675" s="1013"/>
      <c r="O675" s="1013"/>
      <c r="P675" s="1006"/>
      <c r="Q675" s="1013"/>
      <c r="R675" s="1011"/>
      <c r="S675" s="1006"/>
      <c r="T675" s="1006"/>
      <c r="U675" s="1006"/>
      <c r="W675" s="1006"/>
      <c r="X675" s="1006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7">
      <c r="B676" s="2"/>
      <c r="C676" s="1006"/>
      <c r="D676" s="1006"/>
      <c r="E676" s="1006"/>
      <c r="F676" s="1006"/>
      <c r="G676" s="1006"/>
      <c r="H676" s="1006"/>
      <c r="I676" s="1006"/>
      <c r="J676" s="1006"/>
      <c r="K676" s="1013"/>
      <c r="L676" s="1013"/>
      <c r="M676" s="1006"/>
      <c r="N676" s="1011"/>
      <c r="O676" s="1011"/>
      <c r="P676" s="1006"/>
      <c r="Q676" s="1011"/>
      <c r="R676" s="1013"/>
      <c r="S676" s="1006"/>
      <c r="T676" s="1006"/>
      <c r="U676" s="1006"/>
      <c r="W676" s="1006"/>
      <c r="X676" s="1006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7">
      <c r="B677" s="2"/>
      <c r="C677" s="1006"/>
      <c r="D677" s="1006"/>
      <c r="E677" s="1006"/>
      <c r="F677" s="1006"/>
      <c r="G677" s="1006"/>
      <c r="H677" s="1006"/>
      <c r="I677" s="1006"/>
      <c r="J677" s="1006"/>
      <c r="K677" s="1011"/>
      <c r="L677" s="1011"/>
      <c r="M677" s="1006"/>
      <c r="N677" s="1011"/>
      <c r="O677" s="1011"/>
      <c r="P677" s="1006"/>
      <c r="Q677" s="1011"/>
      <c r="R677" s="1011"/>
      <c r="S677" s="1006"/>
      <c r="T677" s="1006"/>
      <c r="U677" s="1006"/>
      <c r="W677" s="1006"/>
      <c r="X677" s="1006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7">
      <c r="B678" s="2"/>
      <c r="C678" s="1006"/>
      <c r="D678" s="1006"/>
      <c r="E678" s="1006"/>
      <c r="F678" s="1006"/>
      <c r="G678" s="1006"/>
      <c r="H678" s="1006"/>
      <c r="I678" s="1006"/>
      <c r="J678" s="1006"/>
      <c r="K678" s="1011"/>
      <c r="L678" s="1011"/>
      <c r="M678" s="1006"/>
      <c r="N678" s="1011"/>
      <c r="O678" s="1011"/>
      <c r="P678" s="1006"/>
      <c r="Q678" s="1011"/>
      <c r="R678" s="1011"/>
      <c r="S678" s="1006"/>
      <c r="T678" s="1006"/>
      <c r="U678" s="1006"/>
      <c r="W678" s="1006"/>
      <c r="X678" s="1006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7">
      <c r="B679" s="2"/>
      <c r="C679" s="1006"/>
      <c r="D679" s="1006"/>
      <c r="E679" s="1006"/>
      <c r="F679" s="1006"/>
      <c r="G679" s="1006"/>
      <c r="H679" s="1006"/>
      <c r="I679" s="1006"/>
      <c r="J679" s="1006"/>
      <c r="K679" s="1011"/>
      <c r="L679" s="1011"/>
      <c r="M679" s="1006"/>
      <c r="N679" s="1011"/>
      <c r="O679" s="1011"/>
      <c r="P679" s="1006"/>
      <c r="Q679" s="1011"/>
      <c r="R679" s="1011"/>
      <c r="S679" s="1006"/>
      <c r="T679" s="1006"/>
      <c r="U679" s="1006"/>
      <c r="W679" s="1006"/>
      <c r="X679" s="1006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7">
      <c r="B680" s="2"/>
      <c r="C680" s="1006"/>
      <c r="D680" s="1006"/>
      <c r="E680" s="1006"/>
      <c r="F680" s="1006"/>
      <c r="G680" s="1006"/>
      <c r="H680" s="1006"/>
      <c r="I680" s="1006"/>
      <c r="J680" s="1006"/>
      <c r="K680" s="1011"/>
      <c r="L680" s="1011"/>
      <c r="M680" s="1006"/>
      <c r="N680" s="1011"/>
      <c r="O680" s="1011"/>
      <c r="P680" s="1006"/>
      <c r="Q680" s="1011"/>
      <c r="R680" s="1011"/>
      <c r="S680" s="1006"/>
      <c r="T680" s="1006"/>
      <c r="U680" s="1006"/>
      <c r="W680" s="1006"/>
      <c r="X680" s="1006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7">
      <c r="B681" s="2"/>
      <c r="C681" s="1006"/>
      <c r="D681" s="1006"/>
      <c r="E681" s="1006"/>
      <c r="F681" s="1006"/>
      <c r="G681" s="1006"/>
      <c r="H681" s="1006"/>
      <c r="I681" s="1006"/>
      <c r="J681" s="1006"/>
      <c r="K681" s="1011"/>
      <c r="L681" s="1011"/>
      <c r="M681" s="1006"/>
      <c r="N681" s="1011"/>
      <c r="O681" s="1011"/>
      <c r="P681" s="1006"/>
      <c r="Q681" s="1011"/>
      <c r="R681" s="1011"/>
      <c r="S681" s="1006"/>
      <c r="T681" s="1006"/>
      <c r="U681" s="1006"/>
      <c r="W681" s="1006"/>
      <c r="X681" s="1006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7">
      <c r="B682" s="2"/>
      <c r="C682" s="1006"/>
      <c r="D682" s="1006"/>
      <c r="E682" s="1006"/>
      <c r="F682" s="1006"/>
      <c r="G682" s="1006"/>
      <c r="H682" s="1006"/>
      <c r="I682" s="1006"/>
      <c r="J682" s="1006"/>
      <c r="K682" s="1011"/>
      <c r="L682" s="1011"/>
      <c r="M682" s="1006"/>
      <c r="N682" s="1011"/>
      <c r="O682" s="1011"/>
      <c r="P682" s="1006"/>
      <c r="Q682" s="1011"/>
      <c r="R682" s="1011"/>
      <c r="S682" s="1006"/>
      <c r="T682" s="1006"/>
      <c r="U682" s="1006"/>
      <c r="W682" s="1006"/>
      <c r="X682" s="1006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7">
      <c r="B683" s="2"/>
      <c r="C683" s="1006"/>
      <c r="D683" s="1006"/>
      <c r="E683" s="1006"/>
      <c r="F683" s="1006"/>
      <c r="G683" s="1006"/>
      <c r="H683" s="1006"/>
      <c r="I683" s="1006"/>
      <c r="J683" s="1006"/>
      <c r="K683" s="1011"/>
      <c r="L683" s="1011"/>
      <c r="M683" s="1006"/>
      <c r="N683" s="1011"/>
      <c r="O683" s="1011"/>
      <c r="P683" s="1006"/>
      <c r="Q683" s="1011"/>
      <c r="R683" s="1011"/>
      <c r="S683" s="1006"/>
      <c r="T683" s="1006"/>
      <c r="U683" s="1006"/>
      <c r="W683" s="1006"/>
      <c r="X683" s="1006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7">
      <c r="B684" s="2"/>
      <c r="C684" s="1006"/>
      <c r="D684" s="1006"/>
      <c r="E684" s="1006"/>
      <c r="F684" s="1006"/>
      <c r="G684" s="1006"/>
      <c r="H684" s="1006"/>
      <c r="I684" s="1006"/>
      <c r="J684" s="1006"/>
      <c r="K684" s="1011"/>
      <c r="L684" s="1011"/>
      <c r="M684" s="1006"/>
      <c r="N684" s="1011"/>
      <c r="O684" s="1011"/>
      <c r="P684" s="1006"/>
      <c r="Q684" s="1011"/>
      <c r="R684" s="1011"/>
      <c r="S684" s="1006"/>
      <c r="T684" s="1006"/>
      <c r="U684" s="1006"/>
      <c r="W684" s="1006"/>
      <c r="X684" s="1006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7">
      <c r="B685" s="2"/>
      <c r="C685" s="1006"/>
      <c r="D685" s="1006"/>
      <c r="E685" s="1006"/>
      <c r="F685" s="1006"/>
      <c r="G685" s="1006"/>
      <c r="H685" s="1006"/>
      <c r="I685" s="1006"/>
      <c r="J685" s="1006"/>
      <c r="K685" s="1011"/>
      <c r="L685" s="1011"/>
      <c r="M685" s="1006"/>
      <c r="N685" s="1011"/>
      <c r="O685" s="1011"/>
      <c r="P685" s="1006"/>
      <c r="Q685" s="1011"/>
      <c r="R685" s="1011"/>
      <c r="S685" s="1006"/>
      <c r="T685" s="1006"/>
      <c r="U685" s="1006"/>
      <c r="W685" s="1006"/>
      <c r="X685" s="1006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7">
      <c r="B686" s="2"/>
      <c r="C686" s="1006"/>
      <c r="D686" s="1006"/>
      <c r="E686" s="1006"/>
      <c r="F686" s="1006"/>
      <c r="G686" s="1006"/>
      <c r="H686" s="1006"/>
      <c r="I686" s="1006"/>
      <c r="J686" s="1006"/>
      <c r="K686" s="1011"/>
      <c r="L686" s="1011"/>
      <c r="M686" s="1006"/>
      <c r="N686" s="1011"/>
      <c r="O686" s="1011"/>
      <c r="P686" s="1006"/>
      <c r="Q686" s="1011"/>
      <c r="R686" s="1011"/>
      <c r="S686" s="1006"/>
      <c r="T686" s="1006"/>
      <c r="U686" s="1006"/>
      <c r="W686" s="1006"/>
      <c r="X686" s="1006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7">
      <c r="B687" s="2"/>
      <c r="C687" s="1006"/>
      <c r="D687" s="1006"/>
      <c r="E687" s="1006"/>
      <c r="F687" s="1006"/>
      <c r="G687" s="1006"/>
      <c r="H687" s="1006"/>
      <c r="I687" s="1006"/>
      <c r="J687" s="1006"/>
      <c r="K687" s="1011"/>
      <c r="L687" s="1011"/>
      <c r="M687" s="1006"/>
      <c r="N687" s="1011"/>
      <c r="O687" s="1011"/>
      <c r="P687" s="1006"/>
      <c r="Q687" s="1011"/>
      <c r="R687" s="1011"/>
      <c r="S687" s="1006"/>
      <c r="T687" s="1006"/>
      <c r="U687" s="1006"/>
      <c r="W687" s="1006"/>
      <c r="X687" s="1006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7">
      <c r="B688" s="2"/>
      <c r="C688" s="1006"/>
      <c r="D688" s="1006"/>
      <c r="E688" s="1006"/>
      <c r="F688" s="1006"/>
      <c r="G688" s="1006"/>
      <c r="H688" s="1006"/>
      <c r="I688" s="1006"/>
      <c r="J688" s="1006"/>
      <c r="K688" s="1011"/>
      <c r="L688" s="1011"/>
      <c r="M688" s="1006"/>
      <c r="N688" s="1011"/>
      <c r="O688" s="1011"/>
      <c r="P688" s="1006"/>
      <c r="Q688" s="1011"/>
      <c r="R688" s="1011"/>
      <c r="S688" s="1006"/>
      <c r="T688" s="1006"/>
      <c r="U688" s="1006"/>
      <c r="W688" s="1006"/>
      <c r="X688" s="1006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7">
      <c r="B689" s="2"/>
      <c r="C689" s="1006"/>
      <c r="D689" s="1006"/>
      <c r="E689" s="1006"/>
      <c r="F689" s="1006"/>
      <c r="G689" s="1006"/>
      <c r="H689" s="1006"/>
      <c r="I689" s="1006"/>
      <c r="J689" s="1006"/>
      <c r="K689" s="1011"/>
      <c r="L689" s="1011"/>
      <c r="M689" s="1006"/>
      <c r="N689" s="1011"/>
      <c r="O689" s="1011"/>
      <c r="P689" s="1006"/>
      <c r="Q689" s="1011"/>
      <c r="R689" s="1011"/>
      <c r="S689" s="1006"/>
      <c r="T689" s="1006"/>
      <c r="U689" s="1006"/>
      <c r="W689" s="1006"/>
      <c r="X689" s="1006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7">
      <c r="B690" s="2"/>
      <c r="C690" s="1006"/>
      <c r="D690" s="1006"/>
      <c r="E690" s="1006"/>
      <c r="F690" s="1006"/>
      <c r="G690" s="1006"/>
      <c r="H690" s="1006"/>
      <c r="I690" s="1006"/>
      <c r="J690" s="1006"/>
      <c r="K690" s="1011"/>
      <c r="L690" s="1011"/>
      <c r="M690" s="1006"/>
      <c r="N690" s="1006"/>
      <c r="O690" s="1006"/>
      <c r="P690" s="1006"/>
      <c r="Q690" s="1006"/>
      <c r="R690" s="1011"/>
      <c r="S690" s="1006"/>
      <c r="T690" s="1006"/>
      <c r="U690" s="1006"/>
      <c r="W690" s="1006"/>
      <c r="X690" s="1006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7">
      <c r="B691" s="2"/>
      <c r="C691" s="1006"/>
      <c r="D691" s="1006"/>
      <c r="E691" s="1006"/>
      <c r="F691" s="1006"/>
      <c r="G691" s="1006"/>
      <c r="H691" s="1006"/>
      <c r="I691" s="1006"/>
      <c r="J691" s="1006"/>
      <c r="K691" s="1011"/>
      <c r="L691" s="1011"/>
      <c r="M691" s="1006"/>
      <c r="N691" s="1013"/>
      <c r="O691" s="1013"/>
      <c r="P691" s="1006"/>
      <c r="Q691" s="1013"/>
      <c r="R691" s="1011"/>
      <c r="S691" s="1006"/>
      <c r="T691" s="1006"/>
      <c r="U691" s="1006"/>
      <c r="W691" s="1006"/>
      <c r="X691" s="1006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7">
      <c r="B692" s="2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11"/>
      <c r="O692" s="1011"/>
      <c r="P692" s="1006"/>
      <c r="Q692" s="1011"/>
      <c r="R692" s="1006"/>
      <c r="S692" s="1006"/>
      <c r="T692" s="1006"/>
      <c r="U692" s="1006"/>
      <c r="W692" s="1006"/>
      <c r="X692" s="1006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7">
      <c r="B693" s="2"/>
      <c r="C693" s="1006"/>
      <c r="D693" s="1006"/>
      <c r="E693" s="1006"/>
      <c r="F693" s="1006"/>
      <c r="G693" s="1006"/>
      <c r="H693" s="1006"/>
      <c r="I693" s="1006"/>
      <c r="J693" s="1006"/>
      <c r="K693" s="1013"/>
      <c r="L693" s="1013"/>
      <c r="M693" s="1006"/>
      <c r="N693" s="1011"/>
      <c r="O693" s="1011"/>
      <c r="P693" s="1006"/>
      <c r="Q693" s="1011"/>
      <c r="R693" s="1013"/>
      <c r="S693" s="1006"/>
      <c r="T693" s="1006"/>
      <c r="U693" s="1006"/>
      <c r="W693" s="1006"/>
      <c r="X693" s="1006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7">
      <c r="B694" s="2"/>
      <c r="C694" s="1006"/>
      <c r="D694" s="1006"/>
      <c r="E694" s="1006"/>
      <c r="F694" s="1006"/>
      <c r="G694" s="1006"/>
      <c r="H694" s="1006"/>
      <c r="I694" s="1006"/>
      <c r="J694" s="1006"/>
      <c r="K694" s="1011"/>
      <c r="L694" s="1011"/>
      <c r="M694" s="1006"/>
      <c r="N694" s="1011"/>
      <c r="O694" s="1011"/>
      <c r="P694" s="1006"/>
      <c r="Q694" s="1011"/>
      <c r="R694" s="1011"/>
      <c r="S694" s="1006"/>
      <c r="T694" s="1006"/>
      <c r="U694" s="1006"/>
      <c r="W694" s="1006"/>
      <c r="X694" s="1006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7">
      <c r="B695" s="2"/>
      <c r="C695" s="1006"/>
      <c r="D695" s="1006"/>
      <c r="E695" s="1006"/>
      <c r="F695" s="1006"/>
      <c r="G695" s="1006"/>
      <c r="H695" s="1006"/>
      <c r="I695" s="1006"/>
      <c r="J695" s="1006"/>
      <c r="K695" s="1011"/>
      <c r="L695" s="1011"/>
      <c r="M695" s="1006"/>
      <c r="N695" s="1011"/>
      <c r="O695" s="1011"/>
      <c r="P695" s="1006"/>
      <c r="Q695" s="1011"/>
      <c r="R695" s="1011"/>
      <c r="S695" s="1006"/>
      <c r="T695" s="1006"/>
      <c r="U695" s="1006"/>
      <c r="W695" s="1006"/>
      <c r="X695" s="1006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7">
      <c r="B696" s="2"/>
      <c r="C696" s="1006"/>
      <c r="D696" s="1006"/>
      <c r="E696" s="1006"/>
      <c r="F696" s="1006"/>
      <c r="G696" s="1006"/>
      <c r="H696" s="1006"/>
      <c r="I696" s="1006"/>
      <c r="J696" s="1006"/>
      <c r="K696" s="1011"/>
      <c r="L696" s="1011"/>
      <c r="M696" s="1006"/>
      <c r="N696" s="1011"/>
      <c r="O696" s="1011"/>
      <c r="P696" s="1006"/>
      <c r="Q696" s="1011"/>
      <c r="R696" s="1011"/>
      <c r="S696" s="1006"/>
      <c r="T696" s="1006"/>
      <c r="U696" s="1006"/>
      <c r="W696" s="1006"/>
      <c r="X696" s="1006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7">
      <c r="B697" s="2"/>
      <c r="C697" s="1006"/>
      <c r="D697" s="1006"/>
      <c r="E697" s="1006"/>
      <c r="F697" s="1006"/>
      <c r="G697" s="1006"/>
      <c r="H697" s="1006"/>
      <c r="I697" s="1006"/>
      <c r="J697" s="1006"/>
      <c r="K697" s="1011"/>
      <c r="L697" s="1011"/>
      <c r="M697" s="1006"/>
      <c r="N697" s="1011"/>
      <c r="O697" s="1011"/>
      <c r="P697" s="1006"/>
      <c r="Q697" s="1011"/>
      <c r="R697" s="1011"/>
      <c r="S697" s="1006"/>
      <c r="T697" s="1006"/>
      <c r="U697" s="1006"/>
      <c r="W697" s="1006"/>
      <c r="X697" s="1006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7">
      <c r="B698" s="2"/>
      <c r="C698" s="1006"/>
      <c r="D698" s="1006"/>
      <c r="E698" s="1006"/>
      <c r="F698" s="1006"/>
      <c r="G698" s="1006"/>
      <c r="H698" s="1006"/>
      <c r="I698" s="1006"/>
      <c r="J698" s="1006"/>
      <c r="K698" s="1011"/>
      <c r="L698" s="1011"/>
      <c r="M698" s="1006"/>
      <c r="N698" s="1011"/>
      <c r="O698" s="1011"/>
      <c r="P698" s="1006"/>
      <c r="Q698" s="1011"/>
      <c r="R698" s="1011"/>
      <c r="S698" s="1006"/>
      <c r="T698" s="1006"/>
      <c r="U698" s="1006"/>
      <c r="W698" s="1006"/>
      <c r="X698" s="1006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7">
      <c r="B699" s="2"/>
      <c r="C699" s="1006"/>
      <c r="D699" s="1006"/>
      <c r="E699" s="1006"/>
      <c r="F699" s="1006"/>
      <c r="G699" s="1006"/>
      <c r="H699" s="1006"/>
      <c r="I699" s="1006"/>
      <c r="J699" s="1006"/>
      <c r="K699" s="1011"/>
      <c r="L699" s="1011"/>
      <c r="M699" s="1006"/>
      <c r="N699" s="1011"/>
      <c r="O699" s="1011"/>
      <c r="P699" s="1006"/>
      <c r="Q699" s="1011"/>
      <c r="R699" s="1011"/>
      <c r="S699" s="1006"/>
      <c r="T699" s="1006"/>
      <c r="U699" s="1006"/>
      <c r="W699" s="1006"/>
      <c r="X699" s="1006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7">
      <c r="B700" s="2"/>
      <c r="C700" s="1006"/>
      <c r="D700" s="1006"/>
      <c r="E700" s="1006"/>
      <c r="F700" s="1006"/>
      <c r="G700" s="1006"/>
      <c r="H700" s="1006"/>
      <c r="I700" s="1006"/>
      <c r="J700" s="1006"/>
      <c r="K700" s="1011"/>
      <c r="L700" s="1013"/>
      <c r="M700" s="1006"/>
      <c r="N700" s="1011"/>
      <c r="O700" s="1011"/>
      <c r="P700" s="1006"/>
      <c r="Q700" s="1011"/>
      <c r="R700" s="1013"/>
      <c r="S700" s="1006"/>
      <c r="T700" s="1006"/>
      <c r="U700" s="1006"/>
      <c r="W700" s="1006"/>
      <c r="X700" s="1006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7">
      <c r="B701" s="2"/>
      <c r="C701" s="1006"/>
      <c r="D701" s="1006"/>
      <c r="E701" s="1006"/>
      <c r="F701" s="1006"/>
      <c r="G701" s="1006"/>
      <c r="H701" s="1006"/>
      <c r="I701" s="1006"/>
      <c r="J701" s="1006"/>
      <c r="K701" s="1011"/>
      <c r="L701" s="1011"/>
      <c r="M701" s="1006"/>
      <c r="N701" s="1011"/>
      <c r="O701" s="1011"/>
      <c r="P701" s="1006"/>
      <c r="Q701" s="1011"/>
      <c r="R701" s="1011"/>
      <c r="S701" s="1006"/>
      <c r="T701" s="1006"/>
      <c r="U701" s="1006"/>
      <c r="W701" s="1006"/>
      <c r="X701" s="1006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7">
      <c r="B702" s="2"/>
      <c r="C702" s="1006"/>
      <c r="D702" s="1006"/>
      <c r="E702" s="1006"/>
      <c r="F702" s="1006"/>
      <c r="G702" s="1006"/>
      <c r="H702" s="1006"/>
      <c r="I702" s="1006"/>
      <c r="J702" s="1006"/>
      <c r="K702" s="1011"/>
      <c r="L702" s="1011"/>
      <c r="M702" s="1006"/>
      <c r="N702" s="1011"/>
      <c r="O702" s="1011"/>
      <c r="P702" s="1006"/>
      <c r="Q702" s="1011"/>
      <c r="R702" s="1011"/>
      <c r="S702" s="1006"/>
      <c r="T702" s="1006"/>
      <c r="U702" s="1006"/>
      <c r="W702" s="1006"/>
      <c r="X702" s="1006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7">
      <c r="B703" s="2"/>
      <c r="C703" s="1006"/>
      <c r="D703" s="1006"/>
      <c r="E703" s="1006"/>
      <c r="F703" s="1006"/>
      <c r="G703" s="1006"/>
      <c r="H703" s="1006"/>
      <c r="I703" s="1006"/>
      <c r="J703" s="1006"/>
      <c r="K703" s="1011"/>
      <c r="L703" s="1011"/>
      <c r="M703" s="1006"/>
      <c r="N703" s="1013"/>
      <c r="O703" s="1013"/>
      <c r="P703" s="1006"/>
      <c r="Q703" s="1013"/>
      <c r="R703" s="1011"/>
      <c r="S703" s="1006"/>
      <c r="T703" s="1006"/>
      <c r="U703" s="1006"/>
      <c r="W703" s="1006"/>
      <c r="X703" s="1006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110" priority="26" stopIfTrue="1">
      <formula>"esterreur(reference)"</formula>
    </cfRule>
  </conditionalFormatting>
  <conditionalFormatting sqref="E103:E105">
    <cfRule type="expression" dxfId="109" priority="2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5">
    <cfRule type="expression" dxfId="107" priority="78" stopIfTrue="1">
      <formula>"esterreur(reference)"</formula>
    </cfRule>
  </conditionalFormatting>
  <conditionalFormatting sqref="G31:G32">
    <cfRule type="expression" dxfId="106" priority="30" stopIfTrue="1">
      <formula>"esterreur(reference)"</formula>
    </cfRule>
  </conditionalFormatting>
  <conditionalFormatting sqref="G113:G114">
    <cfRule type="expression" dxfId="105" priority="27" stopIfTrue="1">
      <formula>"esterreur(reference)"</formula>
    </cfRule>
  </conditionalFormatting>
  <conditionalFormatting sqref="H137:H153">
    <cfRule type="expression" dxfId="104" priority="35" stopIfTrue="1">
      <formula>"esterreur(reference)"</formula>
    </cfRule>
  </conditionalFormatting>
  <conditionalFormatting sqref="H361">
    <cfRule type="expression" dxfId="103" priority="108" stopIfTrue="1">
      <formula>"esterreur(reference)"</formula>
    </cfRule>
  </conditionalFormatting>
  <conditionalFormatting sqref="H198:L198">
    <cfRule type="expression" dxfId="102" priority="110" stopIfTrue="1">
      <formula>"esterreur(reference)"</formula>
    </cfRule>
  </conditionalFormatting>
  <conditionalFormatting sqref="H397:L400">
    <cfRule type="expression" dxfId="101" priority="106" stopIfTrue="1">
      <formula>"esterreur(reference)"</formula>
    </cfRule>
  </conditionalFormatting>
  <conditionalFormatting sqref="I378:L378 H379:H396">
    <cfRule type="expression" dxfId="100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9" priority="102" stopIfTrue="1">
      <formula>"esterreur(reference)"</formula>
    </cfRule>
  </conditionalFormatting>
  <conditionalFormatting sqref="J49:L72">
    <cfRule type="expression" dxfId="98" priority="36" stopIfTrue="1">
      <formula>"esterreur(reference)"</formula>
    </cfRule>
  </conditionalFormatting>
  <conditionalFormatting sqref="J103:L105">
    <cfRule type="expression" dxfId="97" priority="99" stopIfTrue="1">
      <formula>"esterreur(reference)"</formula>
    </cfRule>
  </conditionalFormatting>
  <conditionalFormatting sqref="J150:L153">
    <cfRule type="expression" dxfId="96" priority="34" stopIfTrue="1">
      <formula>"esterreur(reference)"</formula>
    </cfRule>
  </conditionalFormatting>
  <conditionalFormatting sqref="J296:L304">
    <cfRule type="expression" dxfId="95" priority="95" stopIfTrue="1">
      <formula>"esterreur(reference)"</formula>
    </cfRule>
  </conditionalFormatting>
  <conditionalFormatting sqref="J308:L309">
    <cfRule type="expression" dxfId="94" priority="85" stopIfTrue="1">
      <formula>"esterreur(reference)"</formula>
    </cfRule>
  </conditionalFormatting>
  <conditionalFormatting sqref="J361:L361">
    <cfRule type="expression" dxfId="93" priority="77" stopIfTrue="1">
      <formula>"esterreur(reference)"</formula>
    </cfRule>
  </conditionalFormatting>
  <conditionalFormatting sqref="J366:L377">
    <cfRule type="expression" dxfId="92" priority="82" stopIfTrue="1">
      <formula>"esterreur(reference)"</formula>
    </cfRule>
  </conditionalFormatting>
  <conditionalFormatting sqref="J379:L395">
    <cfRule type="expression" dxfId="91" priority="81" stopIfTrue="1">
      <formula>"esterreur(reference)"</formula>
    </cfRule>
  </conditionalFormatting>
  <conditionalFormatting sqref="J313:M313">
    <cfRule type="expression" dxfId="90" priority="83" stopIfTrue="1">
      <formula>"esterreur(reference)"</formula>
    </cfRule>
  </conditionalFormatting>
  <conditionalFormatting sqref="J113:Q122">
    <cfRule type="expression" dxfId="89" priority="28" stopIfTrue="1">
      <formula>"esterreur(reference)"</formula>
    </cfRule>
  </conditionalFormatting>
  <conditionalFormatting sqref="J124:Q135">
    <cfRule type="expression" dxfId="88" priority="61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6">
    <cfRule type="expression" dxfId="86" priority="89" stopIfTrue="1">
      <formula>"esterreur(reference)"</formula>
    </cfRule>
  </conditionalFormatting>
  <conditionalFormatting sqref="K184:K185">
    <cfRule type="expression" dxfId="85" priority="91" stopIfTrue="1">
      <formula>"esterreur(reference)"</formula>
    </cfRule>
  </conditionalFormatting>
  <conditionalFormatting sqref="K288">
    <cfRule type="expression" dxfId="84" priority="75" stopIfTrue="1">
      <formula>"esterreur(reference)"</formula>
    </cfRule>
  </conditionalFormatting>
  <conditionalFormatting sqref="K396">
    <cfRule type="expression" dxfId="83" priority="109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100:L101">
    <cfRule type="expression" dxfId="81" priority="100" stopIfTrue="1">
      <formula>"esterreur(reference)"</formula>
    </cfRule>
  </conditionalFormatting>
  <conditionalFormatting sqref="K172:L174">
    <cfRule type="expression" dxfId="80" priority="90" stopIfTrue="1">
      <formula>"esterreur(reference)"</formula>
    </cfRule>
  </conditionalFormatting>
  <conditionalFormatting sqref="K177:L183">
    <cfRule type="expression" dxfId="79" priority="88" stopIfTrue="1">
      <formula>"esterreur(reference)"</formula>
    </cfRule>
  </conditionalFormatting>
  <conditionalFormatting sqref="K186:L197">
    <cfRule type="expression" dxfId="78" priority="84" stopIfTrue="1">
      <formula>"esterreur(reference)"</formula>
    </cfRule>
  </conditionalFormatting>
  <conditionalFormatting sqref="K240:L242">
    <cfRule type="expression" dxfId="77" priority="79" stopIfTrue="1">
      <formula>"esterreur(reference)"</formula>
    </cfRule>
  </conditionalFormatting>
  <conditionalFormatting sqref="K245:L245">
    <cfRule type="expression" dxfId="76" priority="87" stopIfTrue="1">
      <formula>"esterreur(reference)"</formula>
    </cfRule>
  </conditionalFormatting>
  <conditionalFormatting sqref="K248:L248">
    <cfRule type="expression" dxfId="75" priority="86" stopIfTrue="1">
      <formula>"esterreur(reference)"</formula>
    </cfRule>
  </conditionalFormatting>
  <conditionalFormatting sqref="L16:L24 Q16:Q24 O18:O24 D31:D32 L99 O99 Q99">
    <cfRule type="expression" dxfId="74" priority="31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7:L148">
    <cfRule type="expression" dxfId="71" priority="74" stopIfTrue="1">
      <formula>"esterreur(reference)"</formula>
    </cfRule>
  </conditionalFormatting>
  <conditionalFormatting sqref="L175:L176">
    <cfRule type="expression" dxfId="70" priority="98" stopIfTrue="1">
      <formula>"esterreur(reference)"</formula>
    </cfRule>
  </conditionalFormatting>
  <conditionalFormatting sqref="L199:L210">
    <cfRule type="expression" dxfId="69" priority="97" stopIfTrue="1">
      <formula>"esterreur(reference)"</formula>
    </cfRule>
  </conditionalFormatting>
  <conditionalFormatting sqref="L212:L229">
    <cfRule type="expression" dxfId="68" priority="73" stopIfTrue="1">
      <formula>"esterreur(reference)"</formula>
    </cfRule>
  </conditionalFormatting>
  <conditionalFormatting sqref="L255:L266">
    <cfRule type="expression" dxfId="67" priority="96" stopIfTrue="1">
      <formula>"esterreur(reference)"</formula>
    </cfRule>
  </conditionalFormatting>
  <conditionalFormatting sqref="L268:L285">
    <cfRule type="expression" dxfId="66" priority="72" stopIfTrue="1">
      <formula>"esterreur(reference)"</formula>
    </cfRule>
  </conditionalFormatting>
  <conditionalFormatting sqref="L319:L330">
    <cfRule type="expression" dxfId="65" priority="94" stopIfTrue="1">
      <formula>"esterreur(reference)"</formula>
    </cfRule>
  </conditionalFormatting>
  <conditionalFormatting sqref="L332">
    <cfRule type="expression" dxfId="64" priority="71" stopIfTrue="1">
      <formula>"esterreur(reference)"</formula>
    </cfRule>
  </conditionalFormatting>
  <conditionalFormatting sqref="L335:L344 L346:L349">
    <cfRule type="expression" dxfId="63" priority="93" stopIfTrue="1">
      <formula>"esterreur(reference)"</formula>
    </cfRule>
  </conditionalFormatting>
  <conditionalFormatting sqref="L357:L358 H358:I358 K358 J358:J359 H360:L360">
    <cfRule type="expression" dxfId="62" priority="105" stopIfTrue="1">
      <formula>"esterreur(reference)"</formula>
    </cfRule>
  </conditionalFormatting>
  <conditionalFormatting sqref="L5:Q14">
    <cfRule type="expression" dxfId="61" priority="65" stopIfTrue="1">
      <formula>"esterreur(reference)"</formula>
    </cfRule>
  </conditionalFormatting>
  <conditionalFormatting sqref="L157:Q163">
    <cfRule type="expression" dxfId="60" priority="32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83:Q85">
    <cfRule type="expression" dxfId="58" priority="68" stopIfTrue="1">
      <formula>"esterreur(reference)"</formula>
    </cfRule>
  </conditionalFormatting>
  <conditionalFormatting sqref="O173:O197 Q184 O199:P230 O233:Q233 O234:P234">
    <cfRule type="expression" dxfId="57" priority="59" stopIfTrue="1">
      <formula>"esterreur(reference)"</formula>
    </cfRule>
  </conditionalFormatting>
  <conditionalFormatting sqref="O319:P349 O350:Q350 O353:Q353 O354:P354">
    <cfRule type="expression" dxfId="56" priority="43" stopIfTrue="1">
      <formula>"esterreur(reference)"</formula>
    </cfRule>
  </conditionalFormatting>
  <conditionalFormatting sqref="O25:Q72">
    <cfRule type="expression" dxfId="55" priority="29" stopIfTrue="1">
      <formula>"esterreur(reference)"</formula>
    </cfRule>
  </conditionalFormatting>
  <conditionalFormatting sqref="O97:Q99 O123:Q123 O157:P158 O165:Q165 O166:P166">
    <cfRule type="expression" dxfId="54" priority="64" stopIfTrue="1">
      <formula>"esterreur(reference)"</formula>
    </cfRule>
  </conditionalFormatting>
  <conditionalFormatting sqref="O102:Q112">
    <cfRule type="expression" dxfId="53" priority="1" stopIfTrue="1">
      <formula>"esterreur(reference)"</formula>
    </cfRule>
  </conditionalFormatting>
  <conditionalFormatting sqref="O136:Q154">
    <cfRule type="expression" dxfId="52" priority="33" stopIfTrue="1">
      <formula>"esterreur(reference)"</formula>
    </cfRule>
  </conditionalFormatting>
  <conditionalFormatting sqref="O198:Q198">
    <cfRule type="expression" dxfId="51" priority="60" stopIfTrue="1">
      <formula>"esterreur(reference)"</formula>
    </cfRule>
  </conditionalFormatting>
  <conditionalFormatting sqref="O244:Q244 O253:Q254 O255:P285 O286:Q286 O289:Q289 O290:P290">
    <cfRule type="expression" dxfId="50" priority="50" stopIfTrue="1">
      <formula>"esterreur(reference)"</formula>
    </cfRule>
  </conditionalFormatting>
  <conditionalFormatting sqref="O296:Q318">
    <cfRule type="expression" dxfId="49" priority="41" stopIfTrue="1">
      <formula>"esterreur(reference)"</formula>
    </cfRule>
  </conditionalFormatting>
  <conditionalFormatting sqref="O360:Q395">
    <cfRule type="expression" dxfId="48" priority="37" stopIfTrue="1">
      <formula>"esterreur(reference)"</formula>
    </cfRule>
  </conditionalFormatting>
  <conditionalFormatting sqref="O397:Q400">
    <cfRule type="expression" dxfId="47" priority="38" stopIfTrue="1">
      <formula>"esterreur(reference)"</formula>
    </cfRule>
  </conditionalFormatting>
  <conditionalFormatting sqref="P5">
    <cfRule type="expression" dxfId="46" priority="66" stopIfTrue="1">
      <formula>"esterreur(reference)"</formula>
    </cfRule>
  </conditionalFormatting>
  <conditionalFormatting sqref="P176">
    <cfRule type="expression" dxfId="45" priority="54" stopIfTrue="1">
      <formula>"esterreur(reference)"</formula>
    </cfRule>
  </conditionalFormatting>
  <conditionalFormatting sqref="P184:P185">
    <cfRule type="expression" dxfId="44" priority="56" stopIfTrue="1">
      <formula>"esterreur(reference)"</formula>
    </cfRule>
  </conditionalFormatting>
  <conditionalFormatting sqref="P288">
    <cfRule type="expression" dxfId="43" priority="45" stopIfTrue="1">
      <formula>"esterreur(reference)"</formula>
    </cfRule>
  </conditionalFormatting>
  <conditionalFormatting sqref="P396">
    <cfRule type="expression" dxfId="42" priority="39" stopIfTrue="1">
      <formula>"esterreur(reference)"</formula>
    </cfRule>
  </conditionalFormatting>
  <conditionalFormatting sqref="P93:Q96">
    <cfRule type="expression" dxfId="41" priority="62" stopIfTrue="1">
      <formula>"esterreur(reference)"</formula>
    </cfRule>
  </conditionalFormatting>
  <conditionalFormatting sqref="P100:Q101">
    <cfRule type="expression" dxfId="40" priority="63" stopIfTrue="1">
      <formula>"esterreur(reference)"</formula>
    </cfRule>
  </conditionalFormatting>
  <conditionalFormatting sqref="P173:Q174">
    <cfRule type="expression" dxfId="39" priority="55" stopIfTrue="1">
      <formula>"esterreur(reference)"</formula>
    </cfRule>
  </conditionalFormatting>
  <conditionalFormatting sqref="P177:Q183">
    <cfRule type="expression" dxfId="38" priority="53" stopIfTrue="1">
      <formula>"esterreur(reference)"</formula>
    </cfRule>
  </conditionalFormatting>
  <conditionalFormatting sqref="P186:Q197">
    <cfRule type="expression" dxfId="37" priority="52" stopIfTrue="1">
      <formula>"esterreur(reference)"</formula>
    </cfRule>
  </conditionalFormatting>
  <conditionalFormatting sqref="P242:Q242">
    <cfRule type="expression" dxfId="36" priority="46" stopIfTrue="1">
      <formula>"esterreur(reference)"</formula>
    </cfRule>
  </conditionalFormatting>
  <conditionalFormatting sqref="P245:Q245">
    <cfRule type="expression" dxfId="35" priority="48" stopIfTrue="1">
      <formula>"esterreur(reference)"</formula>
    </cfRule>
  </conditionalFormatting>
  <conditionalFormatting sqref="P248:Q248">
    <cfRule type="expression" dxfId="34" priority="47" stopIfTrue="1">
      <formula>"esterreur(reference)"</formula>
    </cfRule>
  </conditionalFormatting>
  <conditionalFormatting sqref="Q75:Q82">
    <cfRule type="expression" dxfId="33" priority="67" stopIfTrue="1">
      <formula>"esterreur(reference)"</formula>
    </cfRule>
  </conditionalFormatting>
  <conditionalFormatting sqref="Q175:Q176">
    <cfRule type="expression" dxfId="32" priority="58" stopIfTrue="1">
      <formula>"esterreur(reference)"</formula>
    </cfRule>
  </conditionalFormatting>
  <conditionalFormatting sqref="Q199:Q210">
    <cfRule type="expression" dxfId="31" priority="57" stopIfTrue="1">
      <formula>"esterreur(reference)"</formula>
    </cfRule>
  </conditionalFormatting>
  <conditionalFormatting sqref="Q212:Q229">
    <cfRule type="expression" dxfId="30" priority="51" stopIfTrue="1">
      <formula>"esterreur(reference)"</formula>
    </cfRule>
  </conditionalFormatting>
  <conditionalFormatting sqref="Q255:Q266">
    <cfRule type="expression" dxfId="29" priority="49" stopIfTrue="1">
      <formula>"esterreur(reference)"</formula>
    </cfRule>
  </conditionalFormatting>
  <conditionalFormatting sqref="Q268:Q285">
    <cfRule type="expression" dxfId="28" priority="44" stopIfTrue="1">
      <formula>"esterreur(reference)"</formula>
    </cfRule>
  </conditionalFormatting>
  <conditionalFormatting sqref="Q319:Q330">
    <cfRule type="expression" dxfId="27" priority="42" stopIfTrue="1">
      <formula>"esterreur(reference)"</formula>
    </cfRule>
  </conditionalFormatting>
  <conditionalFormatting sqref="Q332:Q349">
    <cfRule type="expression" dxfId="26" priority="40" stopIfTrue="1">
      <formula>"esterreur(reference)"</formula>
    </cfRule>
  </conditionalFormatting>
  <conditionalFormatting sqref="R313">
    <cfRule type="expression" dxfId="25" priority="104" stopIfTrue="1">
      <formula>"esterreur(reference)"</formula>
    </cfRule>
  </conditionalFormatting>
  <conditionalFormatting sqref="S187">
    <cfRule type="expression" dxfId="24" priority="76" stopIfTrue="1">
      <formula>"esterreur(reference)"</formula>
    </cfRule>
  </conditionalFormatting>
  <conditionalFormatting sqref="Z426:Z428">
    <cfRule type="cellIs" dxfId="23" priority="20" operator="greaterThan">
      <formula>0</formula>
    </cfRule>
  </conditionalFormatting>
  <conditionalFormatting sqref="Z433">
    <cfRule type="cellIs" dxfId="22" priority="17" operator="greaterThan">
      <formula>0</formula>
    </cfRule>
  </conditionalFormatting>
  <conditionalFormatting sqref="Z450:Z452">
    <cfRule type="cellIs" dxfId="21" priority="13" operator="greaterThan">
      <formula>0</formula>
    </cfRule>
  </conditionalFormatting>
  <conditionalFormatting sqref="Z464:Z466">
    <cfRule type="cellIs" dxfId="20" priority="9" operator="greaterThan">
      <formula>0</formula>
    </cfRule>
  </conditionalFormatting>
  <conditionalFormatting sqref="Z479:Z480">
    <cfRule type="cellIs" dxfId="19" priority="6" operator="greaterThan">
      <formula>0</formula>
    </cfRule>
  </conditionalFormatting>
  <conditionalFormatting sqref="Z496:Z498">
    <cfRule type="cellIs" dxfId="18" priority="3" operator="greaterThan">
      <formula>0</formula>
    </cfRule>
  </conditionalFormatting>
  <conditionalFormatting sqref="AC426:AC428">
    <cfRule type="cellIs" dxfId="17" priority="21" operator="greaterThan">
      <formula>0</formula>
    </cfRule>
  </conditionalFormatting>
  <conditionalFormatting sqref="AC433">
    <cfRule type="cellIs" dxfId="16" priority="18" operator="greaterThan">
      <formula>0</formula>
    </cfRule>
  </conditionalFormatting>
  <conditionalFormatting sqref="AC450:AC452">
    <cfRule type="cellIs" dxfId="15" priority="14" operator="greaterThan">
      <formula>0</formula>
    </cfRule>
  </conditionalFormatting>
  <conditionalFormatting sqref="AC464:AC466">
    <cfRule type="cellIs" dxfId="14" priority="10" operator="greaterThan">
      <formula>0</formula>
    </cfRule>
  </conditionalFormatting>
  <conditionalFormatting sqref="AC479:AC480">
    <cfRule type="cellIs" dxfId="13" priority="7" operator="greaterThan">
      <formula>0</formula>
    </cfRule>
  </conditionalFormatting>
  <conditionalFormatting sqref="AC496:AC498">
    <cfRule type="cellIs" dxfId="12" priority="4" operator="greaterThan">
      <formula>0</formula>
    </cfRule>
  </conditionalFormatting>
  <conditionalFormatting sqref="AG410:AI419">
    <cfRule type="cellIs" dxfId="11" priority="23" operator="greaterThan">
      <formula>0</formula>
    </cfRule>
  </conditionalFormatting>
  <conditionalFormatting sqref="AH450:AH453">
    <cfRule type="cellIs" dxfId="10" priority="15" operator="greaterThan">
      <formula>0</formula>
    </cfRule>
  </conditionalFormatting>
  <conditionalFormatting sqref="AH462:AH467">
    <cfRule type="cellIs" dxfId="9" priority="11" operator="greaterThan">
      <formula>0</formula>
    </cfRule>
  </conditionalFormatting>
  <conditionalFormatting sqref="AH421:AI449">
    <cfRule type="cellIs" dxfId="8" priority="19" operator="greaterThan">
      <formula>0</formula>
    </cfRule>
  </conditionalFormatting>
  <conditionalFormatting sqref="AH454:AI461 AH468:AI469">
    <cfRule type="cellIs" dxfId="7" priority="24" operator="greaterThan">
      <formula>0</formula>
    </cfRule>
  </conditionalFormatting>
  <conditionalFormatting sqref="AH470:AI478 AH481:AI481">
    <cfRule type="cellIs" dxfId="6" priority="25" operator="lessThan">
      <formula>0</formula>
    </cfRule>
  </conditionalFormatting>
  <conditionalFormatting sqref="AH479:AI480">
    <cfRule type="cellIs" dxfId="5" priority="8" operator="greaterThan">
      <formula>0</formula>
    </cfRule>
  </conditionalFormatting>
  <conditionalFormatting sqref="AH492:AI498">
    <cfRule type="cellIs" dxfId="4" priority="5" operator="greaterThan">
      <formula>0</formula>
    </cfRule>
  </conditionalFormatting>
  <conditionalFormatting sqref="AI450:AI452">
    <cfRule type="cellIs" dxfId="3" priority="16" operator="greaterThan">
      <formula>0</formula>
    </cfRule>
  </conditionalFormatting>
  <conditionalFormatting sqref="AI464:AI466">
    <cfRule type="cellIs" dxfId="2" priority="12" operator="greaterThan">
      <formula>0</formula>
    </cfRule>
  </conditionalFormatting>
  <conditionalFormatting sqref="AO410:AO419">
    <cfRule type="cellIs" dxfId="1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4" min="2" max="18" man="1"/>
    <brk id="356" min="1" max="1" man="1"/>
    <brk id="400" min="1" max="1" man="1"/>
    <brk id="484" min="1" max="1" man="1"/>
    <brk id="484" min="21" max="40" man="1"/>
    <brk id="485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1640625" style="545" customWidth="1"/>
    <col min="2" max="2" width="23.1640625" style="545" customWidth="1"/>
    <col min="3" max="9" width="11.6640625" style="545" customWidth="1"/>
    <col min="10" max="10" width="58.83203125" style="545" customWidth="1"/>
    <col min="11" max="13" width="3.1640625" style="545" customWidth="1"/>
    <col min="14" max="25" width="10.6640625" style="919" bestFit="1" customWidth="1"/>
    <col min="26" max="16384" width="11" style="545"/>
  </cols>
  <sheetData>
    <row r="1" spans="1:25" ht="16">
      <c r="B1" s="1450" t="str">
        <f>Parametres!$B$1&amp;" "&amp;"2 pager"&amp;" "&amp;Parametres!$B$3&amp;" "&amp;Parametres!$B$4</f>
        <v>BMW Sherbrooke 2 pager Juillet 2026</v>
      </c>
      <c r="C1" s="1450"/>
      <c r="D1" s="1450"/>
      <c r="E1" s="1450"/>
      <c r="F1" s="1450"/>
      <c r="G1" s="1450"/>
      <c r="H1" s="1450"/>
      <c r="I1" s="1450"/>
      <c r="J1" s="1450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0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24</v>
      </c>
      <c r="D4" s="704">
        <f>+'Réalisé Mois'!$D$13+'Réalisé Mois'!$D$15</f>
        <v>21</v>
      </c>
      <c r="E4" s="704">
        <f>+'Réalisé Mois'!$O$13+'Réalisé Mois'!$O$15</f>
        <v>18</v>
      </c>
      <c r="F4" s="705">
        <f t="shared" ref="F4:F15" si="0">+IFERROR($C4-D4,"")</f>
        <v>3</v>
      </c>
      <c r="G4" s="706">
        <f t="shared" ref="G4:G15" si="1">+IFERROR($C4-E4,"")</f>
        <v>6</v>
      </c>
      <c r="H4" s="740">
        <f t="shared" ref="H4:H15" si="2">+IFERROR(F4/ABS($D4),"")</f>
        <v>0.14285714285714285</v>
      </c>
      <c r="I4" s="814">
        <f t="shared" ref="I4:I14" si="3">+IFERROR(G4/ABS($E4),"")</f>
        <v>0.33333333333333331</v>
      </c>
      <c r="J4" s="1447"/>
    </row>
    <row r="5" spans="1:25">
      <c r="A5" s="718"/>
      <c r="B5" s="547" t="s">
        <v>313</v>
      </c>
      <c r="C5" s="650">
        <f>+'Réalisé Mois'!$L$13+'Réalisé Mois'!$L$15</f>
        <v>99185.240000000034</v>
      </c>
      <c r="D5" s="650">
        <f>+'Réalisé Mois'!$F$13+'Réalisé Mois'!$F$15</f>
        <v>78176.382352941175</v>
      </c>
      <c r="E5" s="650">
        <f>+'Réalisé Mois'!$Q$13+'Réalisé Mois'!$Q$15</f>
        <v>75498.669999999882</v>
      </c>
      <c r="F5" s="651">
        <f t="shared" si="0"/>
        <v>21008.85764705886</v>
      </c>
      <c r="G5" s="652">
        <f t="shared" si="1"/>
        <v>23686.570000000153</v>
      </c>
      <c r="H5" s="716">
        <f t="shared" si="2"/>
        <v>0.26873663138069803</v>
      </c>
      <c r="I5" s="815">
        <f t="shared" si="3"/>
        <v>0.31373493069480812</v>
      </c>
      <c r="J5" s="1448"/>
    </row>
    <row r="6" spans="1:25">
      <c r="A6" s="718"/>
      <c r="B6" s="547" t="s">
        <v>314</v>
      </c>
      <c r="C6" s="650">
        <f>+C5/C4</f>
        <v>4132.7183333333351</v>
      </c>
      <c r="D6" s="650">
        <f>+D5/D4</f>
        <v>3722.6848739495799</v>
      </c>
      <c r="E6" s="650">
        <f>+E5/E4</f>
        <v>4194.3705555555489</v>
      </c>
      <c r="F6" s="651">
        <f t="shared" si="0"/>
        <v>410.03345938375514</v>
      </c>
      <c r="G6" s="652">
        <f t="shared" si="1"/>
        <v>-61.652222222213823</v>
      </c>
      <c r="H6" s="717">
        <f>+IFERROR(F6/ABS($D6),"")</f>
        <v>0.11014455245811081</v>
      </c>
      <c r="I6" s="816">
        <f t="shared" si="3"/>
        <v>-1.4698801978893807E-2</v>
      </c>
      <c r="J6" s="1448"/>
    </row>
    <row r="7" spans="1:25">
      <c r="A7" s="718"/>
      <c r="B7" s="547" t="s">
        <v>315</v>
      </c>
      <c r="C7" s="650">
        <f>+'Réalisé Mois'!$L$31</f>
        <v>26017.69</v>
      </c>
      <c r="D7" s="650">
        <f>+'Réalisé Mois'!$F$31</f>
        <v>23060.143753098942</v>
      </c>
      <c r="E7" s="650">
        <f>+'Réalisé Mois'!$Q$31</f>
        <v>21447.84</v>
      </c>
      <c r="F7" s="651">
        <f t="shared" si="0"/>
        <v>2957.5462469010563</v>
      </c>
      <c r="G7" s="652">
        <f t="shared" si="1"/>
        <v>4569.8499999999985</v>
      </c>
      <c r="H7" s="716">
        <f t="shared" si="2"/>
        <v>0.12825359106894577</v>
      </c>
      <c r="I7" s="815">
        <f t="shared" si="3"/>
        <v>0.2130680758528597</v>
      </c>
      <c r="J7" s="1448"/>
      <c r="N7" s="922"/>
      <c r="O7" s="922"/>
      <c r="P7" s="922"/>
      <c r="Q7" s="922"/>
      <c r="R7" s="922"/>
      <c r="S7" s="922"/>
      <c r="T7" s="922"/>
      <c r="U7" s="922"/>
      <c r="V7" s="922"/>
      <c r="W7" s="922"/>
      <c r="X7" s="922"/>
      <c r="Y7" s="922"/>
    </row>
    <row r="8" spans="1:25">
      <c r="A8" s="718"/>
      <c r="B8" s="547" t="s">
        <v>316</v>
      </c>
      <c r="C8" s="655">
        <f>+C7/C5</f>
        <v>0.26231413061056252</v>
      </c>
      <c r="D8" s="655">
        <f>+D7/D5</f>
        <v>0.29497583616737116</v>
      </c>
      <c r="E8" s="655">
        <f>+E7/E5</f>
        <v>0.28408235535804849</v>
      </c>
      <c r="F8" s="653">
        <f t="shared" si="0"/>
        <v>-3.266170555680864E-2</v>
      </c>
      <c r="G8" s="654">
        <f t="shared" si="1"/>
        <v>-2.1768224747485965E-2</v>
      </c>
      <c r="H8" s="716">
        <f t="shared" si="2"/>
        <v>-0.11072671572418624</v>
      </c>
      <c r="I8" s="815">
        <f>+IFERROR(G8/ABS($E8),"")</f>
        <v>-7.6626458267884945E-2</v>
      </c>
      <c r="J8" s="1448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</row>
    <row r="9" spans="1:25">
      <c r="A9" s="718"/>
      <c r="B9" s="547" t="s">
        <v>317</v>
      </c>
      <c r="C9" s="650">
        <f>+'Réalisé Mois'!$L$24</f>
        <v>15418.99</v>
      </c>
      <c r="D9" s="650">
        <f>+'Réalisé Mois'!$F$24</f>
        <v>33600</v>
      </c>
      <c r="E9" s="650">
        <f>+'Réalisé Mois'!$Q$24</f>
        <v>49263.5</v>
      </c>
      <c r="F9" s="651">
        <f t="shared" si="0"/>
        <v>-18181.010000000002</v>
      </c>
      <c r="G9" s="652">
        <f t="shared" si="1"/>
        <v>-33844.51</v>
      </c>
      <c r="H9" s="716">
        <f t="shared" si="2"/>
        <v>-0.54110148809523817</v>
      </c>
      <c r="I9" s="815">
        <f t="shared" si="3"/>
        <v>-0.68700985516660407</v>
      </c>
      <c r="J9" s="1448"/>
      <c r="N9" s="920"/>
      <c r="O9" s="920"/>
      <c r="P9" s="920"/>
      <c r="Q9" s="920"/>
      <c r="R9" s="920"/>
      <c r="S9" s="920"/>
      <c r="T9" s="920"/>
      <c r="U9" s="920"/>
      <c r="V9" s="920"/>
      <c r="W9" s="920"/>
      <c r="X9" s="920"/>
      <c r="Y9" s="920"/>
    </row>
    <row r="10" spans="1:25">
      <c r="A10" s="718"/>
      <c r="B10" s="547" t="s">
        <v>318</v>
      </c>
      <c r="C10" s="650">
        <f>+C9/C4</f>
        <v>642.45791666666662</v>
      </c>
      <c r="D10" s="650">
        <f>+D9/D4</f>
        <v>1600</v>
      </c>
      <c r="E10" s="650">
        <f>+E9/E4</f>
        <v>2736.8611111111113</v>
      </c>
      <c r="F10" s="651">
        <f t="shared" si="0"/>
        <v>-957.54208333333338</v>
      </c>
      <c r="G10" s="652">
        <f t="shared" si="1"/>
        <v>-2094.4031944444446</v>
      </c>
      <c r="H10" s="717">
        <f t="shared" si="2"/>
        <v>-0.59846380208333338</v>
      </c>
      <c r="I10" s="816">
        <f t="shared" si="3"/>
        <v>-0.76525739137495308</v>
      </c>
      <c r="J10" s="1448"/>
    </row>
    <row r="11" spans="1:25">
      <c r="A11" s="718"/>
      <c r="B11" s="547" t="s">
        <v>319</v>
      </c>
      <c r="C11" s="650">
        <f>+'Réalisé Mois'!$L$32</f>
        <v>2550.9499999999998</v>
      </c>
      <c r="D11" s="650">
        <f>+'Réalisé Mois'!$F$32</f>
        <v>10248</v>
      </c>
      <c r="E11" s="650">
        <f>+'Réalisé Mois'!$Q$32</f>
        <v>16937.060000000001</v>
      </c>
      <c r="F11" s="651">
        <f t="shared" si="0"/>
        <v>-7697.05</v>
      </c>
      <c r="G11" s="652">
        <f t="shared" si="1"/>
        <v>-14386.11</v>
      </c>
      <c r="H11" s="716">
        <f t="shared" si="2"/>
        <v>-0.75107825917252147</v>
      </c>
      <c r="I11" s="815">
        <f t="shared" si="3"/>
        <v>-0.84938649328750082</v>
      </c>
      <c r="J11" s="1448"/>
    </row>
    <row r="12" spans="1:25">
      <c r="A12" s="718"/>
      <c r="B12" s="547" t="s">
        <v>320</v>
      </c>
      <c r="C12" s="655">
        <f>+C11/C9</f>
        <v>0.16544209445625166</v>
      </c>
      <c r="D12" s="655">
        <f>+D11/D9</f>
        <v>0.30499999999999999</v>
      </c>
      <c r="E12" s="655">
        <f>+E11/E9</f>
        <v>0.34380545434246451</v>
      </c>
      <c r="F12" s="653">
        <f t="shared" si="0"/>
        <v>-0.13955790554374833</v>
      </c>
      <c r="G12" s="656">
        <f t="shared" si="1"/>
        <v>-0.17836335988621285</v>
      </c>
      <c r="H12" s="716">
        <f t="shared" si="2"/>
        <v>-0.45756690342212569</v>
      </c>
      <c r="I12" s="815">
        <f t="shared" si="3"/>
        <v>-0.51879153641508302</v>
      </c>
      <c r="J12" s="1448"/>
    </row>
    <row r="13" spans="1:25">
      <c r="A13" s="718"/>
      <c r="B13" s="547" t="s">
        <v>321</v>
      </c>
      <c r="C13" s="650">
        <f>+'Réalisé Mois'!$L$41-C7-C11</f>
        <v>39437.400000000009</v>
      </c>
      <c r="D13" s="650">
        <f>+'Réalisé Mois'!$F$41-D7-D11</f>
        <v>31531.959285927187</v>
      </c>
      <c r="E13" s="650">
        <f>+'Réalisé Mois'!$Q$41-E7-E11</f>
        <v>38750.250000000015</v>
      </c>
      <c r="F13" s="651">
        <f t="shared" si="0"/>
        <v>7905.4407140728217</v>
      </c>
      <c r="G13" s="652">
        <f t="shared" si="1"/>
        <v>687.14999999999418</v>
      </c>
      <c r="H13" s="716">
        <f t="shared" si="2"/>
        <v>0.25071200436317465</v>
      </c>
      <c r="I13" s="815">
        <f t="shared" si="3"/>
        <v>1.7732788820717129E-2</v>
      </c>
      <c r="J13" s="1448"/>
    </row>
    <row r="14" spans="1:25">
      <c r="A14" s="718"/>
      <c r="B14" s="547" t="s">
        <v>322</v>
      </c>
      <c r="C14" s="650">
        <f>+C13/C4</f>
        <v>1643.2250000000004</v>
      </c>
      <c r="D14" s="650">
        <f>+D13/D4</f>
        <v>1501.5218707584374</v>
      </c>
      <c r="E14" s="650">
        <f>+E13/E4</f>
        <v>2152.7916666666674</v>
      </c>
      <c r="F14" s="651">
        <f t="shared" si="0"/>
        <v>141.70312924156292</v>
      </c>
      <c r="G14" s="652">
        <f t="shared" si="1"/>
        <v>-509.56666666666706</v>
      </c>
      <c r="H14" s="716">
        <f t="shared" si="2"/>
        <v>9.4373003817777829E-2</v>
      </c>
      <c r="I14" s="815">
        <f t="shared" si="3"/>
        <v>-0.23670040838446213</v>
      </c>
      <c r="J14" s="1448"/>
    </row>
    <row r="15" spans="1:25">
      <c r="A15" s="718"/>
      <c r="B15" s="547" t="s">
        <v>323</v>
      </c>
      <c r="C15" s="650">
        <f>+'Réalisé Mois'!$L$83</f>
        <v>93865.290000000008</v>
      </c>
      <c r="D15" s="650">
        <f>+'Réalisé Mois'!$F$83</f>
        <v>79338.044285714306</v>
      </c>
      <c r="E15" s="650">
        <f>+'Réalisé Mois'!$Q$83</f>
        <v>62516.009999999995</v>
      </c>
      <c r="F15" s="651">
        <f t="shared" si="0"/>
        <v>14527.245714285702</v>
      </c>
      <c r="G15" s="652">
        <f t="shared" si="1"/>
        <v>31349.280000000013</v>
      </c>
      <c r="H15" s="716">
        <f t="shared" si="2"/>
        <v>0.18310566948146331</v>
      </c>
      <c r="I15" s="815">
        <f>+IFERROR(G15/ABS($E15),"")</f>
        <v>0.50146002599974016</v>
      </c>
      <c r="J15" s="1448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7"/>
      <c r="J16" s="1448"/>
    </row>
    <row r="17" spans="1:25">
      <c r="A17" s="718"/>
      <c r="B17" s="699" t="s">
        <v>312</v>
      </c>
      <c r="C17" s="700">
        <v>66</v>
      </c>
      <c r="D17" s="700">
        <v>47</v>
      </c>
      <c r="E17" s="895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8">
        <f>+IFERROR(G17/ABS($E17),"")</f>
        <v>0.46666666666666667</v>
      </c>
      <c r="J17" s="1448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19">
        <f>+IFERROR(G18/ABS($E18),"")</f>
        <v>0.29269520668719323</v>
      </c>
      <c r="J18" s="1449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2" t="s">
        <v>329</v>
      </c>
    </row>
    <row r="21" spans="1:25" ht="15" customHeight="1">
      <c r="B21" s="546" t="s">
        <v>312</v>
      </c>
      <c r="C21" s="564">
        <f>+'Réalisé Mois'!$J$97</f>
        <v>28</v>
      </c>
      <c r="D21" s="564">
        <f>+'Réalisé Mois'!$D$97</f>
        <v>24</v>
      </c>
      <c r="E21" s="564">
        <f>+'Réalisé Mois'!$O$97</f>
        <v>15</v>
      </c>
      <c r="F21" s="565">
        <f t="shared" ref="F21:F32" si="4">+IFERROR($C21-D21,"")</f>
        <v>4</v>
      </c>
      <c r="G21" s="566">
        <f t="shared" ref="G21:G32" si="5">+IFERROR($C21-E21,"")</f>
        <v>13</v>
      </c>
      <c r="H21" s="740">
        <f t="shared" ref="H21:H32" si="6">+IFERROR(F21/ABS($D21),"")</f>
        <v>0.16666666666666666</v>
      </c>
      <c r="I21" s="814">
        <f t="shared" ref="I21:I32" si="7">+IFERROR(G21/ABS($E21),"")</f>
        <v>0.8666666666666667</v>
      </c>
      <c r="J21" s="1447"/>
    </row>
    <row r="22" spans="1:25">
      <c r="B22" s="547" t="s">
        <v>313</v>
      </c>
      <c r="C22" s="650">
        <f>+'Réalisé Mois'!$L$97</f>
        <v>62350.499999999964</v>
      </c>
      <c r="D22" s="650">
        <f>+'Réalisé Mois'!$F$97</f>
        <v>48200</v>
      </c>
      <c r="E22" s="650">
        <f>+'Réalisé Mois'!$Q$97</f>
        <v>21963.629999999899</v>
      </c>
      <c r="F22" s="651">
        <f t="shared" si="4"/>
        <v>14150.499999999964</v>
      </c>
      <c r="G22" s="652">
        <f t="shared" si="5"/>
        <v>40386.870000000068</v>
      </c>
      <c r="H22" s="716">
        <f t="shared" si="6"/>
        <v>0.2935788381742731</v>
      </c>
      <c r="I22" s="815">
        <f t="shared" si="7"/>
        <v>1.8388066999853965</v>
      </c>
      <c r="J22" s="1448"/>
    </row>
    <row r="23" spans="1:25">
      <c r="B23" s="547" t="s">
        <v>314</v>
      </c>
      <c r="C23" s="650">
        <f>+C22/C21</f>
        <v>2226.8035714285702</v>
      </c>
      <c r="D23" s="650">
        <f>+D22/D21</f>
        <v>2008.3333333333333</v>
      </c>
      <c r="E23" s="650">
        <f>+E22/E21</f>
        <v>1464.2419999999934</v>
      </c>
      <c r="F23" s="651">
        <f t="shared" si="4"/>
        <v>218.47023809523694</v>
      </c>
      <c r="G23" s="652">
        <f t="shared" si="5"/>
        <v>762.56157142857683</v>
      </c>
      <c r="H23" s="717">
        <f t="shared" si="6"/>
        <v>0.10878186129223416</v>
      </c>
      <c r="I23" s="816">
        <f t="shared" si="7"/>
        <v>0.52078930356360509</v>
      </c>
      <c r="J23" s="1448"/>
    </row>
    <row r="24" spans="1:25">
      <c r="B24" s="547" t="s">
        <v>315</v>
      </c>
      <c r="C24" s="650">
        <f>+'Réalisé Mois'!$L$113</f>
        <v>25050.49</v>
      </c>
      <c r="D24" s="650">
        <f>+'Réalisé Mois'!$F$113</f>
        <v>16508.363226371795</v>
      </c>
      <c r="E24" s="650">
        <f>+'Réalisé Mois'!$Q$113</f>
        <v>6416.57</v>
      </c>
      <c r="F24" s="651">
        <f t="shared" si="4"/>
        <v>8542.1267736282061</v>
      </c>
      <c r="G24" s="652">
        <f t="shared" si="5"/>
        <v>18633.920000000002</v>
      </c>
      <c r="H24" s="716">
        <f t="shared" si="6"/>
        <v>0.51744238096132522</v>
      </c>
      <c r="I24" s="815">
        <f t="shared" si="7"/>
        <v>2.9040312815102154</v>
      </c>
      <c r="J24" s="1448"/>
    </row>
    <row r="25" spans="1:25">
      <c r="B25" s="547" t="s">
        <v>316</v>
      </c>
      <c r="C25" s="655">
        <f>+C24/C22</f>
        <v>0.40176887113976656</v>
      </c>
      <c r="D25" s="655">
        <f>+D24/D22</f>
        <v>0.34249716237285882</v>
      </c>
      <c r="E25" s="655">
        <f>+E24/E22</f>
        <v>0.29214524192950025</v>
      </c>
      <c r="F25" s="653">
        <f t="shared" si="4"/>
        <v>5.9271708766907738E-2</v>
      </c>
      <c r="G25" s="654">
        <f t="shared" si="5"/>
        <v>0.1096236292102663</v>
      </c>
      <c r="H25" s="716">
        <f t="shared" si="6"/>
        <v>0.17305751777990416</v>
      </c>
      <c r="I25" s="815">
        <f t="shared" si="7"/>
        <v>0.37523674349870262</v>
      </c>
      <c r="J25" s="1448"/>
      <c r="N25" s="922"/>
      <c r="O25" s="922"/>
      <c r="P25" s="922"/>
      <c r="Q25" s="922"/>
      <c r="R25" s="922"/>
      <c r="S25" s="922"/>
      <c r="T25" s="922"/>
      <c r="U25" s="922"/>
      <c r="V25" s="922"/>
      <c r="W25" s="922"/>
      <c r="X25" s="922"/>
      <c r="Y25" s="922"/>
    </row>
    <row r="26" spans="1:25">
      <c r="B26" s="547" t="s">
        <v>317</v>
      </c>
      <c r="C26" s="650">
        <f>+'Réalisé Mois'!$L$106</f>
        <v>20163.12</v>
      </c>
      <c r="D26" s="650">
        <f>+'Réalisé Mois'!$F$106</f>
        <v>36000</v>
      </c>
      <c r="E26" s="650">
        <f>+'Réalisé Mois'!$Q$106</f>
        <v>26612.779999999901</v>
      </c>
      <c r="F26" s="651">
        <f t="shared" si="4"/>
        <v>-15836.880000000001</v>
      </c>
      <c r="G26" s="652">
        <f t="shared" si="5"/>
        <v>-6449.6599999999016</v>
      </c>
      <c r="H26" s="716">
        <f t="shared" si="6"/>
        <v>-0.43991333333333338</v>
      </c>
      <c r="I26" s="815">
        <f t="shared" si="7"/>
        <v>-0.24235198276917802</v>
      </c>
      <c r="J26" s="1448"/>
      <c r="N26" s="922"/>
      <c r="O26" s="922"/>
      <c r="P26" s="922"/>
      <c r="Q26" s="922"/>
      <c r="R26" s="922"/>
      <c r="S26" s="922"/>
      <c r="T26" s="922"/>
      <c r="U26" s="922"/>
      <c r="V26" s="922"/>
      <c r="W26" s="922"/>
      <c r="X26" s="922"/>
      <c r="Y26" s="922"/>
    </row>
    <row r="27" spans="1:25">
      <c r="B27" s="547" t="s">
        <v>318</v>
      </c>
      <c r="C27" s="650">
        <f>+C26/C21</f>
        <v>720.11142857142852</v>
      </c>
      <c r="D27" s="650">
        <f>+D26/D21</f>
        <v>1500</v>
      </c>
      <c r="E27" s="650">
        <f>+E26/E21</f>
        <v>1774.1853333333268</v>
      </c>
      <c r="F27" s="651">
        <f t="shared" si="4"/>
        <v>-779.88857142857148</v>
      </c>
      <c r="G27" s="652">
        <f t="shared" si="5"/>
        <v>-1054.0739047618981</v>
      </c>
      <c r="H27" s="717">
        <f t="shared" si="6"/>
        <v>-0.51992571428571432</v>
      </c>
      <c r="I27" s="816">
        <f t="shared" si="7"/>
        <v>-0.59411713362634533</v>
      </c>
      <c r="J27" s="1448"/>
      <c r="N27" s="920"/>
      <c r="O27" s="920"/>
      <c r="P27" s="920"/>
      <c r="Q27" s="920"/>
      <c r="R27" s="920"/>
      <c r="S27" s="920"/>
      <c r="T27" s="920"/>
      <c r="U27" s="920"/>
      <c r="V27" s="920"/>
      <c r="W27" s="920"/>
      <c r="X27" s="920"/>
      <c r="Y27" s="920"/>
    </row>
    <row r="28" spans="1:25">
      <c r="B28" s="547" t="s">
        <v>319</v>
      </c>
      <c r="C28" s="650">
        <f>+'Réalisé Mois'!$L$114</f>
        <v>3265.09</v>
      </c>
      <c r="D28" s="650">
        <f>+'Réalisé Mois'!$F$114</f>
        <v>9720</v>
      </c>
      <c r="E28" s="650">
        <f>+'Réalisé Mois'!$Q$114</f>
        <v>7773.74</v>
      </c>
      <c r="F28" s="651">
        <f t="shared" si="4"/>
        <v>-6454.91</v>
      </c>
      <c r="G28" s="652">
        <f t="shared" si="5"/>
        <v>-4508.6499999999996</v>
      </c>
      <c r="H28" s="716">
        <f t="shared" si="6"/>
        <v>-0.6640853909465021</v>
      </c>
      <c r="I28" s="815">
        <f t="shared" si="7"/>
        <v>-0.57998466632534662</v>
      </c>
      <c r="J28" s="1448"/>
    </row>
    <row r="29" spans="1:25">
      <c r="B29" s="547" t="s">
        <v>320</v>
      </c>
      <c r="C29" s="655">
        <f>+C28/C26</f>
        <v>0.16193376818666955</v>
      </c>
      <c r="D29" s="655">
        <f>+D28/D26</f>
        <v>0.27</v>
      </c>
      <c r="E29" s="655">
        <f>+E28/E26</f>
        <v>0.29210552223405556</v>
      </c>
      <c r="F29" s="653">
        <f t="shared" si="4"/>
        <v>-0.10806623181333047</v>
      </c>
      <c r="G29" s="656">
        <f t="shared" si="5"/>
        <v>-0.13017175404738601</v>
      </c>
      <c r="H29" s="716">
        <f t="shared" si="6"/>
        <v>-0.40024530301233507</v>
      </c>
      <c r="I29" s="815">
        <f t="shared" si="7"/>
        <v>-0.44563263663013947</v>
      </c>
      <c r="J29" s="1448"/>
    </row>
    <row r="30" spans="1:25">
      <c r="B30" s="547" t="s">
        <v>321</v>
      </c>
      <c r="C30" s="650">
        <f>+'Réalisé Mois'!$L$123-C24-C28</f>
        <v>13746.190000000002</v>
      </c>
      <c r="D30" s="650">
        <f>+'Réalisé Mois'!$F$123-D24-D28</f>
        <v>13499.838570491804</v>
      </c>
      <c r="E30" s="650">
        <f>+'Réalisé Mois'!$Q$123-E24-E28</f>
        <v>17269.22</v>
      </c>
      <c r="F30" s="651">
        <f t="shared" si="4"/>
        <v>246.35142950819863</v>
      </c>
      <c r="G30" s="652">
        <f t="shared" si="5"/>
        <v>-3523.0299999999988</v>
      </c>
      <c r="H30" s="716">
        <f t="shared" si="6"/>
        <v>1.824847224815548E-2</v>
      </c>
      <c r="I30" s="815">
        <f t="shared" si="7"/>
        <v>-0.20400631875672431</v>
      </c>
      <c r="J30" s="1448"/>
    </row>
    <row r="31" spans="1:25">
      <c r="B31" s="547" t="s">
        <v>322</v>
      </c>
      <c r="C31" s="650">
        <f>+C30/C21</f>
        <v>490.93535714285724</v>
      </c>
      <c r="D31" s="650">
        <f>+D30/D21</f>
        <v>562.49327377049178</v>
      </c>
      <c r="E31" s="650">
        <f>+E30/E21</f>
        <v>1151.2813333333334</v>
      </c>
      <c r="F31" s="651">
        <f t="shared" si="4"/>
        <v>-71.55791662763454</v>
      </c>
      <c r="G31" s="652">
        <f t="shared" si="5"/>
        <v>-660.34597619047611</v>
      </c>
      <c r="H31" s="716">
        <f t="shared" si="6"/>
        <v>-0.12721559521586664</v>
      </c>
      <c r="I31" s="815">
        <f>+IFERROR(G31/ABS($E31),"")</f>
        <v>-0.57357481361967366</v>
      </c>
      <c r="J31" s="1448"/>
    </row>
    <row r="32" spans="1:25">
      <c r="B32" s="547" t="s">
        <v>323</v>
      </c>
      <c r="C32" s="650">
        <f>+'Réalisé Mois'!$L$164</f>
        <v>19835</v>
      </c>
      <c r="D32" s="650">
        <f>+'Réalisé Mois'!$F$164</f>
        <v>17388</v>
      </c>
      <c r="E32" s="650">
        <f>+'Réalisé Mois'!$Q$164</f>
        <v>12765</v>
      </c>
      <c r="F32" s="651">
        <f t="shared" si="4"/>
        <v>2447</v>
      </c>
      <c r="G32" s="652">
        <f t="shared" si="5"/>
        <v>7070</v>
      </c>
      <c r="H32" s="716">
        <f t="shared" si="6"/>
        <v>0.14072923855532551</v>
      </c>
      <c r="I32" s="815">
        <f t="shared" si="7"/>
        <v>0.5538582060321191</v>
      </c>
      <c r="J32" s="1448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1"/>
      <c r="J33" s="1448"/>
    </row>
    <row r="34" spans="2:10">
      <c r="B34" s="699" t="s">
        <v>312</v>
      </c>
      <c r="C34" s="700">
        <v>34</v>
      </c>
      <c r="D34" s="700">
        <v>49</v>
      </c>
      <c r="E34" s="895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8">
        <f>+IFERROR(G34/ABS($E34),"")</f>
        <v>-0.32</v>
      </c>
      <c r="J34" s="1448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19">
        <f>+IFERROR(G35/ABS($E35),"")</f>
        <v>-0.38459414116560847</v>
      </c>
      <c r="J35" s="1449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4" t="s">
        <v>329</v>
      </c>
    </row>
    <row r="38" spans="2:10" ht="28.25" customHeight="1">
      <c r="B38" s="546" t="s">
        <v>325</v>
      </c>
      <c r="C38" s="567">
        <f>+'Réalisé Mois'!$K$195</f>
        <v>210445.3</v>
      </c>
      <c r="D38" s="567">
        <f>+'Réalisé Mois'!$E$195</f>
        <v>218358.73890194501</v>
      </c>
      <c r="E38" s="567">
        <f>+'Réalisé Mois'!$P$195</f>
        <v>189529.1099999999</v>
      </c>
      <c r="F38" s="568">
        <f t="shared" ref="F38:F47" si="8">+IFERROR($C38-D38,"")</f>
        <v>-7913.4389019450173</v>
      </c>
      <c r="G38" s="569">
        <f t="shared" ref="G38:G47" si="9">+IFERROR($C38-E38,"")</f>
        <v>20916.19000000009</v>
      </c>
      <c r="H38" s="740">
        <f t="shared" ref="H38:H47" si="10">+IFERROR(F38/ABS($D38),"")</f>
        <v>-3.6240541330010992E-2</v>
      </c>
      <c r="I38" s="814">
        <f t="shared" ref="I38:I47" si="11">+IFERROR(G38/ABS($E38),"")</f>
        <v>0.11035872009318305</v>
      </c>
      <c r="J38" s="1447"/>
    </row>
    <row r="39" spans="2:10">
      <c r="B39" s="546" t="s">
        <v>334</v>
      </c>
      <c r="C39" s="567">
        <f>+'Réalisé Mois'!$L$195</f>
        <v>157598.41</v>
      </c>
      <c r="D39" s="567">
        <f>+'Réalisé Mois'!$F$195</f>
        <v>157097.33316404169</v>
      </c>
      <c r="E39" s="567">
        <f>+'Réalisé Mois'!$Q$195</f>
        <v>137898.6399999999</v>
      </c>
      <c r="F39" s="568">
        <f t="shared" si="8"/>
        <v>501.07683595831622</v>
      </c>
      <c r="G39" s="569">
        <f t="shared" si="9"/>
        <v>19699.770000000106</v>
      </c>
      <c r="H39" s="741">
        <f t="shared" si="10"/>
        <v>3.1895947936626634E-3</v>
      </c>
      <c r="I39" s="823">
        <f t="shared" si="11"/>
        <v>0.14285688386774606</v>
      </c>
      <c r="J39" s="1448"/>
    </row>
    <row r="40" spans="2:10">
      <c r="B40" s="547" t="s">
        <v>335</v>
      </c>
      <c r="C40" s="650">
        <f>+'Réalisé Mois'!$K$173/'Réalisé Mois'!$J$173</f>
        <v>485.44709183673473</v>
      </c>
      <c r="D40" s="792">
        <v>324</v>
      </c>
      <c r="E40" s="650">
        <f>+'Réalisé Mois'!$P$173/'Réalisé Mois'!$O$173</f>
        <v>374.14554973821993</v>
      </c>
      <c r="F40" s="651">
        <f t="shared" si="8"/>
        <v>161.44709183673473</v>
      </c>
      <c r="G40" s="652">
        <f t="shared" si="9"/>
        <v>111.3015420985148</v>
      </c>
      <c r="H40" s="716">
        <f t="shared" si="10"/>
        <v>0.49829349332325534</v>
      </c>
      <c r="I40" s="815">
        <f t="shared" si="11"/>
        <v>0.29748193497527803</v>
      </c>
      <c r="J40" s="1448"/>
    </row>
    <row r="41" spans="2:10">
      <c r="B41" s="547" t="s">
        <v>336</v>
      </c>
      <c r="C41" s="650">
        <f>+'Réalisé Mois'!$K$176/'Réalisé Mois'!$J$176</f>
        <v>157.52138888888888</v>
      </c>
      <c r="D41" s="792">
        <v>145</v>
      </c>
      <c r="E41" s="650">
        <f>+'Réalisé Mois'!$P$176/'Réalisé Mois'!$O$176</f>
        <v>215.82580188679196</v>
      </c>
      <c r="F41" s="651">
        <f t="shared" si="8"/>
        <v>12.521388888888879</v>
      </c>
      <c r="G41" s="652">
        <f t="shared" si="9"/>
        <v>-58.304412997903086</v>
      </c>
      <c r="H41" s="716">
        <f t="shared" si="10"/>
        <v>8.6354406130268124E-2</v>
      </c>
      <c r="I41" s="815">
        <f t="shared" si="11"/>
        <v>-0.27014570310034458</v>
      </c>
      <c r="J41" s="1448"/>
    </row>
    <row r="42" spans="2:10">
      <c r="B42" s="547" t="s">
        <v>328</v>
      </c>
      <c r="C42" s="665">
        <f>+'Réalisé Mois'!$L$185</f>
        <v>-1307.78</v>
      </c>
      <c r="D42" s="665">
        <f>+'Réalisé Mois'!$F$185</f>
        <v>-3060.0068719990777</v>
      </c>
      <c r="E42" s="665">
        <f>+'Réalisé Mois'!$Q$185</f>
        <v>-2250.91</v>
      </c>
      <c r="F42" s="651">
        <f t="shared" si="8"/>
        <v>1752.2268719990777</v>
      </c>
      <c r="G42" s="652">
        <f t="shared" si="9"/>
        <v>943.12999999999988</v>
      </c>
      <c r="H42" s="716">
        <f t="shared" si="10"/>
        <v>0.5726218748176739</v>
      </c>
      <c r="I42" s="815">
        <f t="shared" si="11"/>
        <v>0.41899942689845437</v>
      </c>
      <c r="J42" s="1448"/>
    </row>
    <row r="43" spans="2:10">
      <c r="B43" s="547" t="s">
        <v>337</v>
      </c>
      <c r="C43" s="650">
        <f>+'Réalisé Mois'!$L$211</f>
        <v>68725.34</v>
      </c>
      <c r="D43" s="650">
        <f>+'Réalisé Mois'!$F$211</f>
        <v>90147.640461185088</v>
      </c>
      <c r="E43" s="650">
        <f>+'Réalisé Mois'!$Q$211</f>
        <v>76763.66</v>
      </c>
      <c r="F43" s="651">
        <f t="shared" si="8"/>
        <v>-21422.300461185092</v>
      </c>
      <c r="G43" s="652">
        <f t="shared" si="9"/>
        <v>-8038.320000000007</v>
      </c>
      <c r="H43" s="716">
        <f t="shared" si="10"/>
        <v>-0.237635731246997</v>
      </c>
      <c r="I43" s="815">
        <f t="shared" si="11"/>
        <v>-0.10471517382052922</v>
      </c>
      <c r="J43" s="1448"/>
    </row>
    <row r="44" spans="2:10">
      <c r="B44" s="548" t="s">
        <v>338</v>
      </c>
      <c r="C44" s="650">
        <f>+SUM('Réalisé Mois'!$L$199:$L$205)</f>
        <v>33072.410000000003</v>
      </c>
      <c r="D44" s="650">
        <f>+SUM('Réalisé Mois'!$F$199:$F$205)</f>
        <v>47136.279483158374</v>
      </c>
      <c r="E44" s="650">
        <f>+SUM('Réalisé Mois'!$Q$199:$Q$205)</f>
        <v>37862.009999999995</v>
      </c>
      <c r="F44" s="651">
        <f t="shared" si="8"/>
        <v>-14063.869483158371</v>
      </c>
      <c r="G44" s="652">
        <f t="shared" si="9"/>
        <v>-4789.5999999999913</v>
      </c>
      <c r="H44" s="716">
        <f t="shared" si="10"/>
        <v>-0.29836613405568724</v>
      </c>
      <c r="I44" s="815">
        <f t="shared" si="11"/>
        <v>-0.12650147205602638</v>
      </c>
      <c r="J44" s="1448"/>
    </row>
    <row r="45" spans="2:10">
      <c r="B45" s="548" t="s">
        <v>339</v>
      </c>
      <c r="C45" s="650">
        <f>+SUM('Réalisé Mois'!$L$206:$L$210)</f>
        <v>35652.93</v>
      </c>
      <c r="D45" s="650">
        <f>+SUM('Réalisé Mois'!$F$206:$F$210)</f>
        <v>43011.360978026714</v>
      </c>
      <c r="E45" s="650">
        <f>+SUM('Réalisé Mois'!$Q$206:$Q$210)</f>
        <v>38901.65</v>
      </c>
      <c r="F45" s="651">
        <f t="shared" si="8"/>
        <v>-7358.430978026714</v>
      </c>
      <c r="G45" s="652">
        <f t="shared" si="9"/>
        <v>-3248.7200000000012</v>
      </c>
      <c r="H45" s="716">
        <f t="shared" si="10"/>
        <v>-0.17108110068374557</v>
      </c>
      <c r="I45" s="815">
        <f t="shared" si="11"/>
        <v>-8.3511110711242356E-2</v>
      </c>
      <c r="J45" s="1448"/>
    </row>
    <row r="46" spans="2:10">
      <c r="B46" s="547" t="s">
        <v>348</v>
      </c>
      <c r="C46" s="690">
        <f>+C43/C38</f>
        <v>0.32657103769958273</v>
      </c>
      <c r="D46" s="690">
        <f>+D43/D38</f>
        <v>0.41284191745431492</v>
      </c>
      <c r="E46" s="690">
        <f>+E43/E38</f>
        <v>0.40502305951840351</v>
      </c>
      <c r="F46" s="653">
        <f t="shared" si="8"/>
        <v>-8.6270879754732188E-2</v>
      </c>
      <c r="G46" s="654">
        <f t="shared" si="9"/>
        <v>-7.8452021818820772E-2</v>
      </c>
      <c r="H46" s="716">
        <f t="shared" si="10"/>
        <v>-0.20896831476488559</v>
      </c>
      <c r="I46" s="815">
        <f t="shared" si="11"/>
        <v>-0.19369766726888313</v>
      </c>
      <c r="J46" s="1448"/>
    </row>
    <row r="47" spans="2:10">
      <c r="B47" s="570" t="s">
        <v>120</v>
      </c>
      <c r="C47" s="666">
        <f>+'Réalisé Mois'!$L$214</f>
        <v>8296.65</v>
      </c>
      <c r="D47" s="666">
        <f>+'Réalisé Mois'!$F$214</f>
        <v>7453.2500000000009</v>
      </c>
      <c r="E47" s="666">
        <f>+'Réalisé Mois'!$Q$214</f>
        <v>6466.99</v>
      </c>
      <c r="F47" s="661">
        <f t="shared" si="8"/>
        <v>843.39999999999873</v>
      </c>
      <c r="G47" s="662">
        <f t="shared" si="9"/>
        <v>1829.6599999999999</v>
      </c>
      <c r="H47" s="720">
        <f t="shared" si="10"/>
        <v>0.11315868916244573</v>
      </c>
      <c r="I47" s="819">
        <f t="shared" si="11"/>
        <v>0.28292296725369914</v>
      </c>
      <c r="J47" s="1449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6" t="s">
        <v>329</v>
      </c>
    </row>
    <row r="50" spans="2:25" ht="14.5" customHeight="1">
      <c r="B50" s="575" t="s">
        <v>325</v>
      </c>
      <c r="C50" s="567">
        <f>+'Réalisé Mois'!$J$315</f>
        <v>281860.2</v>
      </c>
      <c r="D50" s="567">
        <f>+'Réalisé Mois'!$D$315</f>
        <v>376059.57523512415</v>
      </c>
      <c r="E50" s="567">
        <f>+'Réalisé Mois'!$O$315</f>
        <v>293088.37999999989</v>
      </c>
      <c r="F50" s="568">
        <f t="shared" ref="F50:F59" si="12">+IFERROR($C50-D50,"")</f>
        <v>-94199.375235124142</v>
      </c>
      <c r="G50" s="569">
        <f t="shared" ref="G50:G59" si="13">+IFERROR($C50-E50,"")</f>
        <v>-11228.179999999877</v>
      </c>
      <c r="H50" s="740">
        <f t="shared" ref="H50:H59" si="14">+IFERROR(F50/ABS($D50),"")</f>
        <v>-0.25049056436397815</v>
      </c>
      <c r="I50" s="814">
        <f t="shared" ref="I50:I59" si="15">+IFERROR(G50/ABS($E50),"")</f>
        <v>-3.8309877723572257E-2</v>
      </c>
      <c r="J50" s="1447"/>
    </row>
    <row r="51" spans="2:25">
      <c r="B51" s="667" t="s">
        <v>326</v>
      </c>
      <c r="C51" s="650">
        <f>+'Réalisé Mois'!$J$296</f>
        <v>111455.03999999999</v>
      </c>
      <c r="D51" s="650">
        <f>+'Réalisé Mois'!$D$296</f>
        <v>74080.040009590492</v>
      </c>
      <c r="E51" s="650">
        <f>+'Réalisé Mois'!$O$296</f>
        <v>69391.56</v>
      </c>
      <c r="F51" s="651">
        <f t="shared" si="12"/>
        <v>37374.999990409502</v>
      </c>
      <c r="G51" s="652">
        <f t="shared" si="13"/>
        <v>42063.479999999996</v>
      </c>
      <c r="H51" s="716">
        <f t="shared" si="14"/>
        <v>0.50452186561415047</v>
      </c>
      <c r="I51" s="815">
        <f t="shared" si="15"/>
        <v>0.60617573664578228</v>
      </c>
      <c r="J51" s="1448"/>
    </row>
    <row r="52" spans="2:25">
      <c r="B52" s="667" t="s">
        <v>327</v>
      </c>
      <c r="C52" s="650">
        <f>+'Réalisé Mois'!$J$298</f>
        <v>46610.36</v>
      </c>
      <c r="D52" s="650">
        <f>+'Réalisé Mois'!$D$298</f>
        <v>72746.992857298566</v>
      </c>
      <c r="E52" s="650">
        <f>+'Réalisé Mois'!$O$298</f>
        <v>84145.25</v>
      </c>
      <c r="F52" s="651">
        <f t="shared" si="12"/>
        <v>-26136.632857298566</v>
      </c>
      <c r="G52" s="652">
        <f t="shared" si="13"/>
        <v>-37534.89</v>
      </c>
      <c r="H52" s="716">
        <f t="shared" si="14"/>
        <v>-0.35928128202589105</v>
      </c>
      <c r="I52" s="815">
        <f t="shared" si="15"/>
        <v>-0.44607259470974298</v>
      </c>
      <c r="J52" s="1448"/>
    </row>
    <row r="53" spans="2:25">
      <c r="B53" s="667" t="s">
        <v>340</v>
      </c>
      <c r="C53" s="650">
        <f>+'Réalisé Mois'!$J$301</f>
        <v>23218.63</v>
      </c>
      <c r="D53" s="650">
        <f>+'Réalisé Mois'!$D$301</f>
        <v>110400</v>
      </c>
      <c r="E53" s="650">
        <f>+'Réalisé Mois'!$O$301</f>
        <v>38006.58</v>
      </c>
      <c r="F53" s="651">
        <f t="shared" si="12"/>
        <v>-87181.37</v>
      </c>
      <c r="G53" s="652">
        <f t="shared" si="13"/>
        <v>-14787.95</v>
      </c>
      <c r="H53" s="716">
        <f t="shared" si="14"/>
        <v>-0.78968632246376802</v>
      </c>
      <c r="I53" s="815">
        <f t="shared" si="15"/>
        <v>-0.38908920507975198</v>
      </c>
      <c r="J53" s="1448"/>
    </row>
    <row r="54" spans="2:25">
      <c r="B54" s="667" t="s">
        <v>341</v>
      </c>
      <c r="C54" s="650">
        <f>+'Réalisé Mois'!$J$308</f>
        <v>37519.83</v>
      </c>
      <c r="D54" s="650">
        <f>+'Réalisé Mois'!$D$308</f>
        <v>59316.085231414167</v>
      </c>
      <c r="E54" s="650">
        <f>+'Réalisé Mois'!$O$308</f>
        <v>51192.24</v>
      </c>
      <c r="F54" s="651">
        <f t="shared" si="12"/>
        <v>-21796.255231414165</v>
      </c>
      <c r="G54" s="652">
        <f t="shared" si="13"/>
        <v>-13672.409999999996</v>
      </c>
      <c r="H54" s="716">
        <f t="shared" si="14"/>
        <v>-0.36745943611043863</v>
      </c>
      <c r="I54" s="815">
        <f t="shared" si="15"/>
        <v>-0.26707973708515192</v>
      </c>
      <c r="J54" s="1448"/>
      <c r="N54" s="921"/>
      <c r="O54" s="921"/>
      <c r="P54" s="921"/>
      <c r="Q54" s="921"/>
      <c r="R54" s="921"/>
      <c r="S54" s="921"/>
      <c r="T54" s="921"/>
      <c r="U54" s="921"/>
      <c r="V54" s="921"/>
      <c r="W54" s="921"/>
      <c r="X54" s="921"/>
      <c r="Y54" s="921"/>
    </row>
    <row r="55" spans="2:25">
      <c r="B55" s="667" t="s">
        <v>342</v>
      </c>
      <c r="C55" s="650">
        <f>+C50-SUM(C51:C54)</f>
        <v>63056.340000000026</v>
      </c>
      <c r="D55" s="650">
        <f>+D50-SUM(D51:D54)</f>
        <v>59516.457136820944</v>
      </c>
      <c r="E55" s="650">
        <f>+E50-SUM(E51:E54)</f>
        <v>50352.749999999884</v>
      </c>
      <c r="F55" s="651">
        <f t="shared" si="12"/>
        <v>3539.8828631790821</v>
      </c>
      <c r="G55" s="652">
        <f t="shared" si="13"/>
        <v>12703.590000000142</v>
      </c>
      <c r="H55" s="716">
        <f t="shared" si="14"/>
        <v>5.9477378753263671E-2</v>
      </c>
      <c r="I55" s="815">
        <f t="shared" si="15"/>
        <v>0.25229188078109283</v>
      </c>
      <c r="J55" s="1448"/>
    </row>
    <row r="56" spans="2:25">
      <c r="B56" s="546" t="s">
        <v>334</v>
      </c>
      <c r="C56" s="567">
        <f>+'Réalisé Mois'!$L$315</f>
        <v>114486.04999999999</v>
      </c>
      <c r="D56" s="567">
        <f>+'Réalisé Mois'!$F$315</f>
        <v>118274.75346675768</v>
      </c>
      <c r="E56" s="567">
        <f>+'Réalisé Mois'!$Q$315</f>
        <v>94542.75</v>
      </c>
      <c r="F56" s="568">
        <f t="shared" si="12"/>
        <v>-3788.7034667576954</v>
      </c>
      <c r="G56" s="569">
        <f t="shared" si="13"/>
        <v>19943.299999999988</v>
      </c>
      <c r="H56" s="741">
        <f t="shared" si="14"/>
        <v>-3.2033070082217917E-2</v>
      </c>
      <c r="I56" s="823">
        <f t="shared" si="15"/>
        <v>0.21094478423781821</v>
      </c>
      <c r="J56" s="1448"/>
      <c r="N56" s="921"/>
      <c r="O56" s="921"/>
      <c r="P56" s="921"/>
      <c r="Q56" s="921"/>
      <c r="R56" s="921"/>
      <c r="S56" s="921"/>
      <c r="T56" s="921"/>
      <c r="U56" s="921"/>
      <c r="V56" s="921"/>
      <c r="W56" s="921"/>
      <c r="X56" s="921"/>
      <c r="Y56" s="921"/>
    </row>
    <row r="57" spans="2:25">
      <c r="B57" s="547" t="s">
        <v>335</v>
      </c>
      <c r="C57" s="650">
        <f>+'Réalisé Mois'!$J$296/'Réalisé Mois'!$J$173</f>
        <v>568.64816326530604</v>
      </c>
      <c r="D57" s="792">
        <v>301</v>
      </c>
      <c r="E57" s="650">
        <f>+'Réalisé Mois'!$O$296/'Réalisé Mois'!$O$173</f>
        <v>363.30659685863873</v>
      </c>
      <c r="F57" s="651">
        <f t="shared" si="12"/>
        <v>267.64816326530604</v>
      </c>
      <c r="G57" s="652">
        <f t="shared" si="13"/>
        <v>205.34156640666731</v>
      </c>
      <c r="H57" s="716">
        <f t="shared" si="14"/>
        <v>0.88919655569869116</v>
      </c>
      <c r="I57" s="815">
        <f t="shared" si="15"/>
        <v>0.5652018658129816</v>
      </c>
      <c r="J57" s="1448"/>
    </row>
    <row r="58" spans="2:25">
      <c r="B58" s="547" t="s">
        <v>336</v>
      </c>
      <c r="C58" s="650">
        <f>+'Réalisé Mois'!$J$298/'Réalisé Mois'!$J$176</f>
        <v>215.7887037037037</v>
      </c>
      <c r="D58" s="792">
        <v>306</v>
      </c>
      <c r="E58" s="650">
        <f>+'Réalisé Mois'!$O$298/'Réalisé Mois'!$O$176</f>
        <v>396.91155660377359</v>
      </c>
      <c r="F58" s="651">
        <f t="shared" si="12"/>
        <v>-90.211296296296297</v>
      </c>
      <c r="G58" s="652">
        <f t="shared" si="13"/>
        <v>-181.12285290006989</v>
      </c>
      <c r="H58" s="716">
        <f t="shared" si="14"/>
        <v>-0.29480815783103365</v>
      </c>
      <c r="I58" s="815">
        <f t="shared" si="15"/>
        <v>-0.45633050962252553</v>
      </c>
      <c r="J58" s="1448"/>
    </row>
    <row r="59" spans="2:25">
      <c r="B59" s="570" t="s">
        <v>111</v>
      </c>
      <c r="C59" s="666">
        <f>+'Réalisé Mois'!$L$321</f>
        <v>16615.14</v>
      </c>
      <c r="D59" s="666">
        <f>+'Réalisé Mois'!$F$321</f>
        <v>19699.114903698384</v>
      </c>
      <c r="E59" s="666">
        <f>+'Réalisé Mois'!$Q$321</f>
        <v>11880.96</v>
      </c>
      <c r="F59" s="661">
        <f t="shared" si="12"/>
        <v>-3083.9749036983849</v>
      </c>
      <c r="G59" s="662">
        <f t="shared" si="13"/>
        <v>4734.18</v>
      </c>
      <c r="H59" s="720">
        <f t="shared" si="14"/>
        <v>-0.15655398320050348</v>
      </c>
      <c r="I59" s="825">
        <f t="shared" si="15"/>
        <v>0.39846780058177123</v>
      </c>
      <c r="J59" s="1449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8" t="s">
        <v>329</v>
      </c>
    </row>
    <row r="62" spans="2:25" ht="29.25" customHeight="1">
      <c r="B62" s="668" t="s">
        <v>344</v>
      </c>
      <c r="C62" s="669">
        <f>+'Réalisé Mois'!$AF$434/'Réalisé Mois'!$AF$408</f>
        <v>0.34462605541353497</v>
      </c>
      <c r="D62" s="669">
        <f>+'Réalisé Mois'!$Z$434/'Réalisé Mois'!$Z$408</f>
        <v>0.42948875934520714</v>
      </c>
      <c r="E62" s="669">
        <f>+'Réalisé Mois'!$AL$434/'Réalisé Mois'!$AL$408</f>
        <v>0.45215816997051278</v>
      </c>
      <c r="F62" s="653">
        <f t="shared" ref="F62:G67" si="16">+IFERROR($C62-D62,"")</f>
        <v>-8.4862703931672168E-2</v>
      </c>
      <c r="G62" s="654">
        <f t="shared" si="16"/>
        <v>-0.10753211455697781</v>
      </c>
      <c r="H62" s="716">
        <f t="shared" ref="H62:H67" si="17">+IFERROR(F62/ABS($D62),"")</f>
        <v>-0.19759004650331879</v>
      </c>
      <c r="I62" s="815">
        <f t="shared" ref="I62:I67" si="18">+IFERROR(G62/ABS($E62),"")</f>
        <v>-0.23781968722137753</v>
      </c>
      <c r="J62" s="1447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5">
        <f t="shared" si="18"/>
        <v>0</v>
      </c>
      <c r="J63" s="1448"/>
    </row>
    <row r="64" spans="2:25">
      <c r="B64" s="668" t="s">
        <v>331</v>
      </c>
      <c r="C64" s="650">
        <f>+'Réalisé Mois'!$AF$415+'Réalisé Mois'!$AF$435</f>
        <v>5838.130000000001</v>
      </c>
      <c r="D64" s="650">
        <f>+'Réalisé Mois'!$Z$415+'Réalisé Mois'!$Z$435</f>
        <v>9013.4066427040998</v>
      </c>
      <c r="E64" s="650">
        <f>+'Réalisé Mois'!$AL$415+'Réalisé Mois'!$AL$435</f>
        <v>21872.25</v>
      </c>
      <c r="F64" s="651">
        <f t="shared" si="16"/>
        <v>-3175.2766427040988</v>
      </c>
      <c r="G64" s="652">
        <f t="shared" si="16"/>
        <v>-16034.119999999999</v>
      </c>
      <c r="H64" s="716">
        <f t="shared" si="17"/>
        <v>-0.35228374449013966</v>
      </c>
      <c r="I64" s="815">
        <f t="shared" si="18"/>
        <v>-0.73308050154876614</v>
      </c>
      <c r="J64" s="1448"/>
    </row>
    <row r="65" spans="2:25">
      <c r="B65" s="668" t="s">
        <v>347</v>
      </c>
      <c r="C65" s="650">
        <f>+'Réalisé Mois'!$AF$453-'Réalisé Mois'!$AF$435</f>
        <v>95394.020000000033</v>
      </c>
      <c r="D65" s="650">
        <f>+'Réalisé Mois'!$Z$453-'Réalisé Mois'!$Z$435</f>
        <v>76719.8928643728</v>
      </c>
      <c r="E65" s="650">
        <f>+'Réalisé Mois'!$AL$453-'Réalisé Mois'!$AL$435</f>
        <v>69489.790000000008</v>
      </c>
      <c r="F65" s="651">
        <f t="shared" si="16"/>
        <v>18674.127135627234</v>
      </c>
      <c r="G65" s="652">
        <f t="shared" si="16"/>
        <v>25904.230000000025</v>
      </c>
      <c r="H65" s="716">
        <f t="shared" si="17"/>
        <v>0.24340658515568819</v>
      </c>
      <c r="I65" s="815">
        <f t="shared" si="18"/>
        <v>0.37277749724096187</v>
      </c>
      <c r="J65" s="1448"/>
    </row>
    <row r="66" spans="2:25">
      <c r="B66" s="668" t="s">
        <v>346</v>
      </c>
      <c r="C66" s="650">
        <f>+'Réalisé Mois'!$AF$416</f>
        <v>30218.800000000003</v>
      </c>
      <c r="D66" s="650">
        <f>+'Réalisé Mois'!$Z$416</f>
        <v>28878.652401873533</v>
      </c>
      <c r="E66" s="650">
        <f>+'Réalisé Mois'!$AL$416</f>
        <v>26667.22</v>
      </c>
      <c r="F66" s="651">
        <f t="shared" si="16"/>
        <v>1340.1475981264703</v>
      </c>
      <c r="G66" s="652">
        <f t="shared" si="16"/>
        <v>3551.5800000000017</v>
      </c>
      <c r="H66" s="716">
        <f t="shared" si="17"/>
        <v>4.6406168109129869E-2</v>
      </c>
      <c r="I66" s="815">
        <f t="shared" si="18"/>
        <v>0.13318148648415551</v>
      </c>
      <c r="J66" s="1448"/>
    </row>
    <row r="67" spans="2:25">
      <c r="B67" s="670" t="s">
        <v>349</v>
      </c>
      <c r="C67" s="666">
        <f>+'Réalisé Mois'!$AF$482-C32-C15</f>
        <v>24183.619999999995</v>
      </c>
      <c r="D67" s="666">
        <f>+'Réalisé Mois'!$Z$482-D32-D15</f>
        <v>20219.791428571421</v>
      </c>
      <c r="E67" s="666">
        <f>+'Réalisé Mois'!$AL$482-E32-E15</f>
        <v>17304.47</v>
      </c>
      <c r="F67" s="661">
        <f t="shared" si="16"/>
        <v>3963.8285714285739</v>
      </c>
      <c r="G67" s="662">
        <f t="shared" si="16"/>
        <v>6879.1499999999942</v>
      </c>
      <c r="H67" s="663">
        <f t="shared" si="17"/>
        <v>0.19603706524032272</v>
      </c>
      <c r="I67" s="819">
        <f t="shared" si="18"/>
        <v>0.3975360123713696</v>
      </c>
      <c r="J67" s="1449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7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100647.02</v>
      </c>
      <c r="D70" s="676">
        <f>+'Réalisé Mois'!$Z$420-'Réalisé Mois'!$Z$416+'Réalisé Mois'!$Z$435+'Réalisé Mois'!$Z$436+'Réalisé Mois'!$Z$437</f>
        <v>98464.913622174834</v>
      </c>
      <c r="E70" s="676">
        <f>+'Réalisé Mois'!$AL$420-'Réalisé Mois'!$AL$416+'Réalisé Mois'!$AL$435+'Réalisé Mois'!$AL$436+'Réalisé Mois'!$AL$437</f>
        <v>116390.67</v>
      </c>
      <c r="F70" s="677">
        <f t="shared" ref="F70:G77" si="19">+IFERROR($C70-D70,"")</f>
        <v>2182.1063778251701</v>
      </c>
      <c r="G70" s="678">
        <f t="shared" si="19"/>
        <v>-15743.649999999994</v>
      </c>
      <c r="H70" s="653">
        <f t="shared" ref="H70:H77" si="20">+IFERROR(F70/ABS($D70),"")</f>
        <v>2.2161258234565169E-2</v>
      </c>
      <c r="I70" s="818">
        <f t="shared" ref="I70:I77" si="21">+IFERROR(G70/ABS($E70),"")</f>
        <v>-0.13526556724864625</v>
      </c>
      <c r="J70" s="1447"/>
    </row>
    <row r="71" spans="2:25">
      <c r="B71" s="675" t="s">
        <v>1936</v>
      </c>
      <c r="C71" s="669">
        <f>+C70/'Réalisé Mois'!$AF$408</f>
        <v>0.21000608357542305</v>
      </c>
      <c r="D71" s="669">
        <f>+D70/'Réalisé Mois'!$Z$408</f>
        <v>0.20293643531773461</v>
      </c>
      <c r="E71" s="669">
        <f>+E70/'Réalisé Mois'!$AL$408</f>
        <v>0.27895139421568077</v>
      </c>
      <c r="F71" s="653">
        <f t="shared" si="19"/>
        <v>7.0696482576884379E-3</v>
      </c>
      <c r="G71" s="654">
        <f t="shared" si="19"/>
        <v>-6.8945310640257718E-2</v>
      </c>
      <c r="H71" s="653">
        <f t="shared" si="20"/>
        <v>3.4836761799918251E-2</v>
      </c>
      <c r="I71" s="818">
        <f t="shared" si="21"/>
        <v>-0.24715886735074105</v>
      </c>
      <c r="J71" s="1448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311566</v>
      </c>
      <c r="D72" s="650">
        <f>+'Réalisé Mois'!$Z$467+'Réalisé Mois'!$Z$434+'Réalisé Mois'!$Z$438+'Réalisé Mois'!$Z$440+SUM('Réalisé Mois'!$Z$441:$Z$449)+'Réalisé Mois'!$Z$439</f>
        <v>337447.80403881177</v>
      </c>
      <c r="E72" s="650">
        <f>+'Réalisé Mois'!$AL$467+'Réalisé Mois'!$AL$434+'Réalisé Mois'!$AL$438+'Réalisé Mois'!$AL$440+SUM('Réalisé Mois'!$AL$441:$AL$449)+'Réalisé Mois'!$AL$439</f>
        <v>306431.17</v>
      </c>
      <c r="F72" s="679">
        <f t="shared" si="19"/>
        <v>-25881.804038811766</v>
      </c>
      <c r="G72" s="680">
        <f t="shared" si="19"/>
        <v>5134.8300000000163</v>
      </c>
      <c r="H72" s="653">
        <f>+IFERROR(F72/ABS($D72),"")</f>
        <v>-7.6698688594325409E-2</v>
      </c>
      <c r="I72" s="818">
        <f t="shared" si="21"/>
        <v>1.6756878877563327E-2</v>
      </c>
      <c r="J72" s="1448"/>
    </row>
    <row r="73" spans="2:25">
      <c r="B73" s="675" t="s">
        <v>1938</v>
      </c>
      <c r="C73" s="669">
        <f>+C72/'Réalisé Mois'!$AF$408</f>
        <v>0.65010126912113497</v>
      </c>
      <c r="D73" s="669">
        <f>+D72/'Réalisé Mois'!$Z$408</f>
        <v>0.69548077521505824</v>
      </c>
      <c r="E73" s="669">
        <f>+E72/'Réalisé Mois'!$AL$408</f>
        <v>0.73441799160226751</v>
      </c>
      <c r="F73" s="653">
        <f t="shared" si="19"/>
        <v>-4.5379506093923272E-2</v>
      </c>
      <c r="G73" s="654">
        <f t="shared" si="19"/>
        <v>-8.4316722481132533E-2</v>
      </c>
      <c r="H73" s="653">
        <f t="shared" si="20"/>
        <v>-6.524911645457189E-2</v>
      </c>
      <c r="I73" s="818">
        <f t="shared" si="21"/>
        <v>-0.11480753936485154</v>
      </c>
      <c r="J73" s="1448"/>
    </row>
    <row r="74" spans="2:25" s="684" customFormat="1">
      <c r="B74" s="575" t="s">
        <v>1932</v>
      </c>
      <c r="C74" s="567">
        <f>+'Réalisé Mois'!$AF$484+'Réalisé Mois'!$AF$416</f>
        <v>204928.52999999991</v>
      </c>
      <c r="D74" s="567">
        <f>+'Réalisé Mois'!$Z$484+'Réalisé Mois'!$Z$416</f>
        <v>166233.88285440425</v>
      </c>
      <c r="E74" s="567">
        <f>+'Réalisé Mois'!$AL$484+'Réalisé Mois'!$AL$416</f>
        <v>87007.18999999958</v>
      </c>
      <c r="F74" s="568">
        <f t="shared" si="19"/>
        <v>38694.647145595663</v>
      </c>
      <c r="G74" s="569">
        <f t="shared" si="19"/>
        <v>117921.34000000033</v>
      </c>
      <c r="H74" s="741">
        <f t="shared" si="20"/>
        <v>0.23277232343472554</v>
      </c>
      <c r="I74" s="823">
        <f t="shared" si="21"/>
        <v>1.3553056937018757</v>
      </c>
      <c r="J74" s="1448"/>
      <c r="N74" s="919"/>
      <c r="O74" s="919"/>
      <c r="P74" s="919"/>
      <c r="Q74" s="919"/>
      <c r="R74" s="919"/>
      <c r="S74" s="919"/>
      <c r="T74" s="919"/>
      <c r="U74" s="919"/>
      <c r="V74" s="919"/>
      <c r="W74" s="919"/>
      <c r="X74" s="919"/>
      <c r="Y74" s="919"/>
    </row>
    <row r="75" spans="2:25">
      <c r="B75" s="547" t="s">
        <v>1939</v>
      </c>
      <c r="C75" s="681">
        <f>+C74/'Réalisé Mois'!$AF$407</f>
        <v>4.009767317734108E-2</v>
      </c>
      <c r="D75" s="681">
        <f>+D74/'Réalisé Mois'!$Z$407</f>
        <v>3.7443079964802062E-2</v>
      </c>
      <c r="E75" s="681">
        <f>+E74/'Réalisé Mois'!$AL$407</f>
        <v>2.4492610227399313E-2</v>
      </c>
      <c r="F75" s="691">
        <f t="shared" si="19"/>
        <v>2.6545932125390179E-3</v>
      </c>
      <c r="G75" s="692">
        <f t="shared" si="19"/>
        <v>1.5605062949941767E-2</v>
      </c>
      <c r="H75" s="716">
        <f t="shared" si="20"/>
        <v>7.0896764236126883E-2</v>
      </c>
      <c r="I75" s="815">
        <f t="shared" si="21"/>
        <v>0.63713351925572825</v>
      </c>
      <c r="J75" s="1448"/>
    </row>
    <row r="76" spans="2:25" s="684" customFormat="1">
      <c r="B76" s="575" t="s">
        <v>1933</v>
      </c>
      <c r="C76" s="567">
        <f>+'Réalisé Mois'!$AF$499</f>
        <v>173774.4499999999</v>
      </c>
      <c r="D76" s="567">
        <f>+'Réalisé Mois'!$Z$499</f>
        <v>133277.48045253073</v>
      </c>
      <c r="E76" s="567">
        <f>+'Réalisé Mois'!$AL$499</f>
        <v>43672.429999999578</v>
      </c>
      <c r="F76" s="568">
        <f t="shared" si="19"/>
        <v>40496.969547469169</v>
      </c>
      <c r="G76" s="569">
        <f t="shared" si="19"/>
        <v>130102.02000000031</v>
      </c>
      <c r="H76" s="741">
        <f t="shared" si="20"/>
        <v>0.3038545552479357</v>
      </c>
      <c r="I76" s="823">
        <f t="shared" si="21"/>
        <v>2.9790423844059415</v>
      </c>
      <c r="J76" s="1448"/>
      <c r="N76" s="919"/>
      <c r="O76" s="919"/>
      <c r="P76" s="919"/>
      <c r="Q76" s="919"/>
      <c r="R76" s="919"/>
      <c r="S76" s="919"/>
      <c r="T76" s="919"/>
      <c r="U76" s="919"/>
      <c r="V76" s="919"/>
      <c r="W76" s="919"/>
      <c r="X76" s="919"/>
      <c r="Y76" s="919"/>
    </row>
    <row r="77" spans="2:25">
      <c r="B77" s="682" t="s">
        <v>1940</v>
      </c>
      <c r="C77" s="683">
        <f>+C76/'Réalisé Mois'!$AF$407</f>
        <v>3.4001859588180319E-2</v>
      </c>
      <c r="D77" s="683">
        <f>+D76/'Réalisé Mois'!$Z$407</f>
        <v>3.0019868828199226E-2</v>
      </c>
      <c r="E77" s="683">
        <f>+E76/'Réalisé Mois'!$AL$407</f>
        <v>1.2293832333550541E-2</v>
      </c>
      <c r="F77" s="693">
        <f t="shared" si="19"/>
        <v>3.9819907599810932E-3</v>
      </c>
      <c r="G77" s="694">
        <f t="shared" si="19"/>
        <v>2.170802725462978E-2</v>
      </c>
      <c r="H77" s="720">
        <f t="shared" si="20"/>
        <v>0.13264517519279104</v>
      </c>
      <c r="I77" s="825">
        <f t="shared" si="21"/>
        <v>1.7657656836092832</v>
      </c>
      <c r="J77" s="1449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0" customWidth="1"/>
    <col min="3" max="3" width="27" style="760" customWidth="1"/>
    <col min="4" max="4" width="22.6640625" style="763" customWidth="1"/>
    <col min="5" max="19" width="13.6640625" style="763" customWidth="1"/>
    <col min="20" max="20" width="75.83203125" style="791" customWidth="1"/>
    <col min="21" max="16384" width="11" style="760"/>
  </cols>
  <sheetData>
    <row r="1" spans="1:24" ht="31">
      <c r="A1" s="759" t="s">
        <v>2309</v>
      </c>
      <c r="B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</row>
    <row r="2" spans="1:24" ht="21">
      <c r="A2" s="761" t="s">
        <v>2930</v>
      </c>
      <c r="B2" s="761"/>
      <c r="D2" s="761"/>
      <c r="E2" s="761"/>
      <c r="F2" s="761"/>
      <c r="G2" s="761"/>
      <c r="H2" s="762">
        <v>1</v>
      </c>
      <c r="I2" s="762">
        <v>2</v>
      </c>
      <c r="J2" s="762">
        <v>3</v>
      </c>
      <c r="K2" s="762">
        <v>4</v>
      </c>
      <c r="L2" s="762">
        <v>5</v>
      </c>
      <c r="M2" s="762">
        <v>6</v>
      </c>
      <c r="N2" s="762">
        <v>7</v>
      </c>
      <c r="O2" s="762">
        <v>8</v>
      </c>
      <c r="P2" s="762">
        <v>9</v>
      </c>
      <c r="Q2" s="762">
        <v>10</v>
      </c>
      <c r="R2" s="762">
        <v>11</v>
      </c>
      <c r="S2" s="762">
        <v>12</v>
      </c>
      <c r="T2" s="761"/>
    </row>
    <row r="3" spans="1:24" ht="16" thickBot="1">
      <c r="H3" s="764" t="str">
        <f>+IF(VLOOKUP(H2,Parametres!$L$3:$N$14,3,0)="X","REEL","FORECAST")</f>
        <v>REEL</v>
      </c>
      <c r="I3" s="764" t="str">
        <f>+IF(VLOOKUP(I2,Parametres!$L$3:$N$14,3,0)="X","REEL","FORECAST")</f>
        <v>REEL</v>
      </c>
      <c r="J3" s="764" t="str">
        <f>+IF(VLOOKUP(J2,Parametres!$L$3:$N$14,3,0)="X","REEL","FORECAST")</f>
        <v>REEL</v>
      </c>
      <c r="K3" s="764" t="str">
        <f>+IF(VLOOKUP(K2,Parametres!$L$3:$N$14,3,0)="X","REEL","FORECAST")</f>
        <v>REEL</v>
      </c>
      <c r="L3" s="764" t="str">
        <f>+IF(VLOOKUP(L2,Parametres!$L$3:$N$14,3,0)="X","REEL","FORECAST")</f>
        <v>REEL</v>
      </c>
      <c r="M3" s="764" t="str">
        <f>+IF(VLOOKUP(M2,Parametres!$L$3:$N$14,3,0)="X","REEL","FORECAST")</f>
        <v>REEL</v>
      </c>
      <c r="N3" s="764" t="str">
        <f>+IF(VLOOKUP(N2,Parametres!$L$3:$N$14,3,0)="X","REEL","FORECAST")</f>
        <v>REEL</v>
      </c>
      <c r="O3" s="764" t="str">
        <f>+IF(VLOOKUP(O2,Parametres!$L$3:$N$14,3,0)="X","REEL","FORECAST")</f>
        <v>FORECAST</v>
      </c>
      <c r="P3" s="764" t="str">
        <f>+IF(VLOOKUP(P2,Parametres!$L$3:$N$14,3,0)="X","REEL","FORECAST")</f>
        <v>FORECAST</v>
      </c>
      <c r="Q3" s="764" t="str">
        <f>+IF(VLOOKUP(Q2,Parametres!$L$3:$N$14,3,0)="X","REEL","FORECAST")</f>
        <v>FORECAST</v>
      </c>
      <c r="R3" s="764" t="str">
        <f>+IF(VLOOKUP(R2,Parametres!$L$3:$N$14,3,0)="X","REEL","FORECAST")</f>
        <v>FORECAST</v>
      </c>
      <c r="S3" s="764" t="str">
        <f>+IF(VLOOKUP(S2,Parametres!$L$3:$N$14,3,0)="X","REEL","FORECAST")</f>
        <v>FORECAST</v>
      </c>
      <c r="T3" s="760"/>
    </row>
    <row r="4" spans="1:24" s="769" customFormat="1" ht="30" customHeight="1" thickBot="1">
      <c r="A4" s="1451" t="s">
        <v>2310</v>
      </c>
      <c r="B4" s="1451" t="s">
        <v>2311</v>
      </c>
      <c r="C4" s="765" t="s">
        <v>2312</v>
      </c>
      <c r="D4" s="766" t="s">
        <v>2313</v>
      </c>
      <c r="E4" s="767" t="s">
        <v>2314</v>
      </c>
      <c r="F4" s="765" t="s">
        <v>2315</v>
      </c>
      <c r="G4" s="765" t="s">
        <v>2316</v>
      </c>
      <c r="H4" s="767" t="s">
        <v>2317</v>
      </c>
      <c r="I4" s="765" t="s">
        <v>2318</v>
      </c>
      <c r="J4" s="765" t="s">
        <v>2319</v>
      </c>
      <c r="K4" s="765" t="s">
        <v>2320</v>
      </c>
      <c r="L4" s="765" t="s">
        <v>2321</v>
      </c>
      <c r="M4" s="765" t="s">
        <v>2322</v>
      </c>
      <c r="N4" s="765" t="s">
        <v>2323</v>
      </c>
      <c r="O4" s="765" t="s">
        <v>2324</v>
      </c>
      <c r="P4" s="765" t="s">
        <v>2325</v>
      </c>
      <c r="Q4" s="765" t="s">
        <v>2326</v>
      </c>
      <c r="R4" s="765" t="s">
        <v>2327</v>
      </c>
      <c r="S4" s="765" t="s">
        <v>2328</v>
      </c>
      <c r="T4" s="768" t="s">
        <v>2329</v>
      </c>
    </row>
    <row r="5" spans="1:24" ht="30" customHeight="1" thickBot="1">
      <c r="A5" s="1452"/>
      <c r="B5" s="1452"/>
      <c r="C5" s="1453" t="s">
        <v>1994</v>
      </c>
      <c r="D5" s="1454"/>
      <c r="E5" s="770">
        <f t="shared" ref="E5:S5" si="0">+SUM(E6:E40)</f>
        <v>165872.04999999999</v>
      </c>
      <c r="F5" s="771">
        <f t="shared" si="0"/>
        <v>233000</v>
      </c>
      <c r="G5" s="772">
        <f t="shared" si="0"/>
        <v>-67127.95</v>
      </c>
      <c r="H5" s="773">
        <f t="shared" si="0"/>
        <v>120701.21</v>
      </c>
      <c r="I5" s="774">
        <f t="shared" si="0"/>
        <v>4893.17</v>
      </c>
      <c r="J5" s="774">
        <f t="shared" si="0"/>
        <v>3886.16</v>
      </c>
      <c r="K5" s="774">
        <f t="shared" si="0"/>
        <v>558.6</v>
      </c>
      <c r="L5" s="774">
        <f t="shared" si="0"/>
        <v>4839</v>
      </c>
      <c r="M5" s="774">
        <f t="shared" si="0"/>
        <v>2219</v>
      </c>
      <c r="N5" s="774">
        <f t="shared" si="0"/>
        <v>15818.91</v>
      </c>
      <c r="O5" s="774">
        <f t="shared" si="0"/>
        <v>855</v>
      </c>
      <c r="P5" s="774">
        <f t="shared" si="0"/>
        <v>6422</v>
      </c>
      <c r="Q5" s="774">
        <f t="shared" si="0"/>
        <v>4605</v>
      </c>
      <c r="R5" s="774">
        <f t="shared" si="0"/>
        <v>1074</v>
      </c>
      <c r="S5" s="774">
        <f t="shared" si="0"/>
        <v>0</v>
      </c>
      <c r="T5" s="775"/>
      <c r="X5" s="769" t="s">
        <v>49</v>
      </c>
    </row>
    <row r="6" spans="1:24" ht="30" customHeight="1">
      <c r="A6" s="776" t="str">
        <f>+Parametres!$B$1</f>
        <v>BMW Sherbrooke</v>
      </c>
      <c r="B6" s="777" t="s">
        <v>2154</v>
      </c>
      <c r="C6" s="927" t="s">
        <v>2839</v>
      </c>
      <c r="D6" s="778"/>
      <c r="E6" s="779">
        <f>+SUM(H6:S6)</f>
        <v>9014.01</v>
      </c>
      <c r="F6" s="779">
        <v>10000</v>
      </c>
      <c r="G6" s="779">
        <f>+E6-F6</f>
        <v>-985.98999999999978</v>
      </c>
      <c r="H6" s="780"/>
      <c r="I6" s="779">
        <v>1139.3399999999999</v>
      </c>
      <c r="J6" s="779">
        <v>1457.16</v>
      </c>
      <c r="K6" s="779">
        <v>558.6</v>
      </c>
      <c r="L6" s="779"/>
      <c r="M6" s="779"/>
      <c r="N6" s="779">
        <f>1118+1180.91</f>
        <v>2298.91</v>
      </c>
      <c r="O6" s="779"/>
      <c r="P6" s="779">
        <v>1885</v>
      </c>
      <c r="Q6" s="779">
        <v>601</v>
      </c>
      <c r="R6" s="779">
        <v>1074</v>
      </c>
      <c r="S6" s="779"/>
      <c r="T6" s="800"/>
      <c r="X6" s="760" t="s">
        <v>51</v>
      </c>
    </row>
    <row r="7" spans="1:24" ht="30" customHeight="1">
      <c r="A7" s="781" t="str">
        <f>+Parametres!$B$1</f>
        <v>BMW Sherbrooke</v>
      </c>
      <c r="B7" s="782" t="s">
        <v>2154</v>
      </c>
      <c r="C7" s="927" t="s">
        <v>2837</v>
      </c>
      <c r="D7" s="778"/>
      <c r="E7" s="780">
        <f t="shared" ref="E7:E40" si="1">+SUM(H7:S7)</f>
        <v>0</v>
      </c>
      <c r="F7" s="779">
        <v>25000</v>
      </c>
      <c r="G7" s="779">
        <f t="shared" ref="G7:G40" si="2">+E7-F7</f>
        <v>-25000</v>
      </c>
      <c r="H7" s="780"/>
      <c r="I7" s="779"/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81"/>
      <c r="X7" s="760" t="s">
        <v>53</v>
      </c>
    </row>
    <row r="8" spans="1:24" ht="55.5" customHeight="1">
      <c r="A8" s="781" t="str">
        <f>+Parametres!$B$1</f>
        <v>BMW Sherbrooke</v>
      </c>
      <c r="B8" s="782" t="s">
        <v>2154</v>
      </c>
      <c r="C8" s="927" t="s">
        <v>2838</v>
      </c>
      <c r="D8" s="778"/>
      <c r="E8" s="780">
        <f>+SUM(H8:S8)</f>
        <v>6358.9</v>
      </c>
      <c r="F8" s="779">
        <v>20000</v>
      </c>
      <c r="G8" s="779">
        <f t="shared" si="2"/>
        <v>-13641.1</v>
      </c>
      <c r="H8" s="780">
        <v>1000</v>
      </c>
      <c r="I8" s="779">
        <v>1672.9</v>
      </c>
      <c r="J8" s="779">
        <v>1286</v>
      </c>
      <c r="K8" s="779"/>
      <c r="L8" s="779"/>
      <c r="M8" s="779"/>
      <c r="N8" s="779"/>
      <c r="O8" s="779"/>
      <c r="P8" s="779"/>
      <c r="Q8" s="779">
        <v>2400</v>
      </c>
      <c r="R8" s="779"/>
      <c r="S8" s="779"/>
      <c r="T8" s="781"/>
      <c r="X8" s="760" t="s">
        <v>55</v>
      </c>
    </row>
    <row r="9" spans="1:24" ht="30" customHeight="1">
      <c r="A9" s="781" t="str">
        <f>+Parametres!$B$1</f>
        <v>BMW Sherbrooke</v>
      </c>
      <c r="B9" s="782" t="s">
        <v>2154</v>
      </c>
      <c r="C9" s="927" t="s">
        <v>2836</v>
      </c>
      <c r="D9" s="778"/>
      <c r="E9" s="780">
        <f t="shared" si="1"/>
        <v>109701.21</v>
      </c>
      <c r="F9" s="779">
        <v>150000</v>
      </c>
      <c r="G9" s="779">
        <f t="shared" si="2"/>
        <v>-40298.789999999994</v>
      </c>
      <c r="H9" s="780">
        <v>109701.21</v>
      </c>
      <c r="I9" s="779"/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81"/>
      <c r="X9" s="760" t="s">
        <v>57</v>
      </c>
    </row>
    <row r="10" spans="1:24" ht="30" customHeight="1">
      <c r="A10" s="781" t="str">
        <f>+Parametres!$B$1</f>
        <v>BMW Sherbrooke</v>
      </c>
      <c r="B10" s="782" t="s">
        <v>2154</v>
      </c>
      <c r="C10" s="927" t="s">
        <v>2926</v>
      </c>
      <c r="D10" s="778"/>
      <c r="E10" s="780">
        <f t="shared" si="1"/>
        <v>0</v>
      </c>
      <c r="F10" s="779">
        <v>10000</v>
      </c>
      <c r="G10" s="779">
        <f t="shared" si="2"/>
        <v>-10000</v>
      </c>
      <c r="H10" s="780"/>
      <c r="I10" s="779"/>
      <c r="J10" s="779"/>
      <c r="K10" s="779"/>
      <c r="L10" s="779"/>
      <c r="M10" s="779"/>
      <c r="N10" s="779"/>
      <c r="O10" s="779"/>
      <c r="P10" s="779"/>
      <c r="Q10" s="779"/>
      <c r="R10" s="779"/>
      <c r="S10" s="779"/>
      <c r="T10" s="781"/>
      <c r="X10" s="760" t="s">
        <v>58</v>
      </c>
    </row>
    <row r="11" spans="1:24" ht="30" customHeight="1">
      <c r="A11" s="781" t="str">
        <f>+Parametres!$B$1</f>
        <v>BMW Sherbrooke</v>
      </c>
      <c r="B11" s="782" t="s">
        <v>2154</v>
      </c>
      <c r="C11" s="928" t="s">
        <v>2927</v>
      </c>
      <c r="D11" s="778"/>
      <c r="E11" s="780">
        <f t="shared" si="1"/>
        <v>10000</v>
      </c>
      <c r="F11" s="779">
        <v>10000</v>
      </c>
      <c r="G11" s="779">
        <f t="shared" si="2"/>
        <v>0</v>
      </c>
      <c r="H11" s="780">
        <v>10000</v>
      </c>
      <c r="I11" s="779"/>
      <c r="J11" s="779"/>
      <c r="K11" s="779"/>
      <c r="L11" s="779"/>
      <c r="M11" s="779"/>
      <c r="N11" s="779"/>
      <c r="O11" s="779"/>
      <c r="P11" s="779"/>
      <c r="Q11" s="779"/>
      <c r="R11" s="779"/>
      <c r="S11" s="779"/>
      <c r="T11" s="781"/>
      <c r="X11" s="760" t="s">
        <v>59</v>
      </c>
    </row>
    <row r="12" spans="1:24" ht="30" customHeight="1">
      <c r="A12" s="781" t="str">
        <f>+Parametres!$B$1</f>
        <v>BMW Sherbrooke</v>
      </c>
      <c r="B12" s="782" t="s">
        <v>2154</v>
      </c>
      <c r="C12" s="928" t="s">
        <v>2928</v>
      </c>
      <c r="D12" s="778"/>
      <c r="E12" s="780">
        <f t="shared" si="1"/>
        <v>9794.5</v>
      </c>
      <c r="F12" s="779">
        <v>6000</v>
      </c>
      <c r="G12" s="779">
        <f t="shared" si="2"/>
        <v>3794.5</v>
      </c>
      <c r="H12" s="780"/>
      <c r="I12" s="779">
        <v>1353.5</v>
      </c>
      <c r="J12" s="779">
        <v>1143</v>
      </c>
      <c r="K12" s="779"/>
      <c r="L12" s="779">
        <v>4839</v>
      </c>
      <c r="M12" s="779"/>
      <c r="N12" s="779"/>
      <c r="O12" s="779">
        <v>855</v>
      </c>
      <c r="P12" s="779"/>
      <c r="Q12" s="779">
        <v>1604</v>
      </c>
      <c r="R12" s="779"/>
      <c r="S12" s="779"/>
      <c r="T12" s="781"/>
      <c r="X12" s="760" t="s">
        <v>60</v>
      </c>
    </row>
    <row r="13" spans="1:24" ht="30" customHeight="1">
      <c r="A13" s="781" t="str">
        <f>+Parametres!$B$1</f>
        <v>BMW Sherbrooke</v>
      </c>
      <c r="B13" s="782" t="s">
        <v>2154</v>
      </c>
      <c r="C13" s="929" t="s">
        <v>2929</v>
      </c>
      <c r="D13" s="778"/>
      <c r="E13" s="780">
        <f t="shared" si="1"/>
        <v>0</v>
      </c>
      <c r="F13" s="779">
        <v>2000</v>
      </c>
      <c r="G13" s="779">
        <f t="shared" si="2"/>
        <v>-2000</v>
      </c>
      <c r="H13" s="780"/>
      <c r="I13" s="779"/>
      <c r="J13" s="779"/>
      <c r="K13" s="779"/>
      <c r="L13" s="779"/>
      <c r="M13" s="779"/>
      <c r="N13" s="779"/>
      <c r="O13" s="779"/>
      <c r="P13" s="779"/>
      <c r="Q13" s="779"/>
      <c r="R13" s="779"/>
      <c r="S13" s="779"/>
      <c r="T13" s="781"/>
      <c r="X13" s="760" t="s">
        <v>62</v>
      </c>
    </row>
    <row r="14" spans="1:24" ht="30" customHeight="1">
      <c r="A14" s="781" t="str">
        <f>+Parametres!$B$1</f>
        <v>BMW Sherbrooke</v>
      </c>
      <c r="B14" s="782"/>
      <c r="C14" s="949" t="s">
        <v>2948</v>
      </c>
      <c r="D14" s="813"/>
      <c r="E14" s="780">
        <f t="shared" si="1"/>
        <v>727.43</v>
      </c>
      <c r="F14" s="779"/>
      <c r="G14" s="779">
        <f t="shared" si="2"/>
        <v>727.43</v>
      </c>
      <c r="H14" s="780"/>
      <c r="I14" s="779">
        <v>727.43</v>
      </c>
      <c r="J14" s="779"/>
      <c r="K14" s="779"/>
      <c r="L14" s="779"/>
      <c r="M14" s="779"/>
      <c r="N14" s="779"/>
      <c r="O14" s="779"/>
      <c r="P14" s="779"/>
      <c r="Q14" s="779"/>
      <c r="R14" s="779"/>
      <c r="S14" s="779"/>
      <c r="T14" s="781"/>
    </row>
    <row r="15" spans="1:24" ht="30" customHeight="1">
      <c r="A15" s="781" t="str">
        <f>+Parametres!$B$1</f>
        <v>BMW Sherbrooke</v>
      </c>
      <c r="B15" s="782"/>
      <c r="C15" s="971" t="s">
        <v>2969</v>
      </c>
      <c r="D15" s="778"/>
      <c r="E15" s="780">
        <f t="shared" si="1"/>
        <v>2219</v>
      </c>
      <c r="F15" s="779"/>
      <c r="G15" s="779">
        <f t="shared" si="2"/>
        <v>2219</v>
      </c>
      <c r="H15" s="780"/>
      <c r="I15" s="779"/>
      <c r="J15" s="779"/>
      <c r="K15" s="779"/>
      <c r="L15" s="779"/>
      <c r="M15" s="779">
        <v>2219</v>
      </c>
      <c r="N15" s="779"/>
      <c r="O15" s="779"/>
      <c r="P15" s="779"/>
      <c r="Q15" s="779"/>
      <c r="R15" s="779"/>
      <c r="S15" s="779"/>
      <c r="T15" s="781"/>
    </row>
    <row r="16" spans="1:24" ht="30" customHeight="1">
      <c r="A16" s="781" t="str">
        <f>+Parametres!$B$1</f>
        <v>BMW Sherbrooke</v>
      </c>
      <c r="B16" s="782"/>
      <c r="C16" s="985" t="s">
        <v>2980</v>
      </c>
      <c r="D16" s="778"/>
      <c r="E16" s="780">
        <f t="shared" si="1"/>
        <v>10220</v>
      </c>
      <c r="F16" s="779"/>
      <c r="G16" s="779">
        <f t="shared" si="2"/>
        <v>10220</v>
      </c>
      <c r="H16" s="780"/>
      <c r="I16" s="779"/>
      <c r="J16" s="779"/>
      <c r="K16" s="779"/>
      <c r="L16" s="779"/>
      <c r="M16" s="779"/>
      <c r="N16" s="779">
        <v>10220</v>
      </c>
      <c r="O16" s="779"/>
      <c r="P16" s="779"/>
      <c r="Q16" s="779"/>
      <c r="R16" s="779"/>
      <c r="S16" s="779"/>
      <c r="T16" s="781"/>
    </row>
    <row r="17" spans="1:20" ht="30" customHeight="1">
      <c r="A17" s="781" t="str">
        <f>+Parametres!$B$1</f>
        <v>BMW Sherbrooke</v>
      </c>
      <c r="B17" s="782"/>
      <c r="C17" s="985" t="s">
        <v>2981</v>
      </c>
      <c r="D17" s="778"/>
      <c r="E17" s="780">
        <f t="shared" si="1"/>
        <v>3300</v>
      </c>
      <c r="F17" s="779"/>
      <c r="G17" s="779">
        <f t="shared" si="2"/>
        <v>3300</v>
      </c>
      <c r="H17" s="780"/>
      <c r="I17" s="779"/>
      <c r="J17" s="779"/>
      <c r="K17" s="779"/>
      <c r="L17" s="779"/>
      <c r="M17" s="779"/>
      <c r="N17" s="779">
        <v>3300</v>
      </c>
      <c r="O17" s="779"/>
      <c r="P17" s="779"/>
      <c r="Q17" s="779"/>
      <c r="R17" s="779"/>
      <c r="S17" s="779"/>
      <c r="T17" s="781"/>
    </row>
    <row r="18" spans="1:20" ht="30" customHeight="1">
      <c r="A18" s="781" t="str">
        <f>+Parametres!$B$1</f>
        <v>BMW Sherbrooke</v>
      </c>
      <c r="B18" s="782"/>
      <c r="C18" s="985" t="s">
        <v>2984</v>
      </c>
      <c r="D18" s="778"/>
      <c r="E18" s="780">
        <f t="shared" si="1"/>
        <v>4537</v>
      </c>
      <c r="F18" s="779"/>
      <c r="G18" s="779">
        <f t="shared" si="2"/>
        <v>4537</v>
      </c>
      <c r="H18" s="780"/>
      <c r="I18" s="779"/>
      <c r="J18" s="779"/>
      <c r="K18" s="779"/>
      <c r="L18" s="779"/>
      <c r="M18" s="779"/>
      <c r="N18" s="779"/>
      <c r="O18" s="779"/>
      <c r="P18" s="779">
        <v>4537</v>
      </c>
      <c r="Q18" s="779"/>
      <c r="R18" s="779"/>
      <c r="S18" s="779"/>
      <c r="T18" s="781"/>
    </row>
    <row r="19" spans="1:20" ht="30" customHeight="1">
      <c r="A19" s="781" t="str">
        <f>+Parametres!$B$1</f>
        <v>BMW Sherbrooke</v>
      </c>
      <c r="B19" s="782"/>
      <c r="C19" s="783"/>
      <c r="D19" s="778"/>
      <c r="E19" s="780">
        <f t="shared" si="1"/>
        <v>0</v>
      </c>
      <c r="F19" s="779"/>
      <c r="G19" s="779">
        <f t="shared" si="2"/>
        <v>0</v>
      </c>
      <c r="H19" s="780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81"/>
    </row>
    <row r="20" spans="1:20" ht="30" customHeight="1">
      <c r="A20" s="781" t="str">
        <f>+Parametres!$B$1</f>
        <v>BMW Sherbrooke</v>
      </c>
      <c r="B20" s="782"/>
      <c r="C20" s="783"/>
      <c r="D20" s="778"/>
      <c r="E20" s="780">
        <f t="shared" si="1"/>
        <v>0</v>
      </c>
      <c r="F20" s="779"/>
      <c r="G20" s="779">
        <f t="shared" si="2"/>
        <v>0</v>
      </c>
      <c r="H20" s="780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81"/>
    </row>
    <row r="21" spans="1:20" ht="30" customHeight="1">
      <c r="A21" s="781" t="str">
        <f>+Parametres!$B$1</f>
        <v>BMW Sherbrooke</v>
      </c>
      <c r="B21" s="782"/>
      <c r="C21" s="783"/>
      <c r="D21" s="778"/>
      <c r="E21" s="780">
        <f t="shared" si="1"/>
        <v>0</v>
      </c>
      <c r="F21" s="779"/>
      <c r="G21" s="779">
        <f t="shared" si="2"/>
        <v>0</v>
      </c>
      <c r="H21" s="780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81"/>
    </row>
    <row r="22" spans="1:20" ht="30" customHeight="1">
      <c r="A22" s="781" t="str">
        <f>+Parametres!$B$1</f>
        <v>BMW Sherbrooke</v>
      </c>
      <c r="B22" s="782"/>
      <c r="C22" s="783"/>
      <c r="D22" s="778"/>
      <c r="E22" s="780">
        <f t="shared" si="1"/>
        <v>0</v>
      </c>
      <c r="F22" s="779"/>
      <c r="G22" s="779">
        <f t="shared" si="2"/>
        <v>0</v>
      </c>
      <c r="H22" s="780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81"/>
    </row>
    <row r="23" spans="1:20" ht="30" customHeight="1">
      <c r="A23" s="781" t="str">
        <f>+Parametres!$B$1</f>
        <v>BMW Sherbrooke</v>
      </c>
      <c r="B23" s="782"/>
      <c r="C23" s="783"/>
      <c r="D23" s="778"/>
      <c r="E23" s="780">
        <f t="shared" si="1"/>
        <v>0</v>
      </c>
      <c r="F23" s="779"/>
      <c r="G23" s="779">
        <f t="shared" si="2"/>
        <v>0</v>
      </c>
      <c r="H23" s="780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81"/>
    </row>
    <row r="24" spans="1:20" ht="30" customHeight="1">
      <c r="A24" s="781" t="str">
        <f>+Parametres!$B$1</f>
        <v>BMW Sherbrooke</v>
      </c>
      <c r="B24" s="782"/>
      <c r="C24" s="783"/>
      <c r="D24" s="778"/>
      <c r="E24" s="780">
        <f t="shared" si="1"/>
        <v>0</v>
      </c>
      <c r="F24" s="779"/>
      <c r="G24" s="779">
        <f t="shared" si="2"/>
        <v>0</v>
      </c>
      <c r="H24" s="780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81"/>
    </row>
    <row r="25" spans="1:20" ht="30" customHeight="1">
      <c r="A25" s="781" t="str">
        <f>+Parametres!$B$1</f>
        <v>BMW Sherbrooke</v>
      </c>
      <c r="B25" s="782"/>
      <c r="C25" s="783"/>
      <c r="D25" s="778"/>
      <c r="E25" s="780">
        <f t="shared" si="1"/>
        <v>0</v>
      </c>
      <c r="F25" s="779"/>
      <c r="G25" s="779">
        <f t="shared" si="2"/>
        <v>0</v>
      </c>
      <c r="H25" s="780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81"/>
    </row>
    <row r="26" spans="1:20" ht="30" customHeight="1">
      <c r="A26" s="781" t="str">
        <f>+Parametres!$B$1</f>
        <v>BMW Sherbrooke</v>
      </c>
      <c r="B26" s="782"/>
      <c r="C26" s="783"/>
      <c r="D26" s="778"/>
      <c r="E26" s="780">
        <f t="shared" si="1"/>
        <v>0</v>
      </c>
      <c r="F26" s="779"/>
      <c r="G26" s="779">
        <f t="shared" si="2"/>
        <v>0</v>
      </c>
      <c r="H26" s="780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81"/>
    </row>
    <row r="27" spans="1:20" ht="30" customHeight="1">
      <c r="A27" s="781" t="str">
        <f>+Parametres!$B$1</f>
        <v>BMW Sherbrooke</v>
      </c>
      <c r="B27" s="782"/>
      <c r="C27" s="783"/>
      <c r="D27" s="778"/>
      <c r="E27" s="780">
        <f t="shared" si="1"/>
        <v>0</v>
      </c>
      <c r="F27" s="779"/>
      <c r="G27" s="779">
        <f t="shared" si="2"/>
        <v>0</v>
      </c>
      <c r="H27" s="780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81"/>
    </row>
    <row r="28" spans="1:20" ht="30" customHeight="1">
      <c r="A28" s="781" t="str">
        <f>+Parametres!$B$1</f>
        <v>BMW Sherbrooke</v>
      </c>
      <c r="B28" s="782"/>
      <c r="C28" s="783"/>
      <c r="D28" s="778"/>
      <c r="E28" s="780">
        <f t="shared" si="1"/>
        <v>0</v>
      </c>
      <c r="F28" s="779"/>
      <c r="G28" s="779">
        <f t="shared" si="2"/>
        <v>0</v>
      </c>
      <c r="H28" s="780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81"/>
    </row>
    <row r="29" spans="1:20" ht="30" customHeight="1">
      <c r="A29" s="781" t="str">
        <f>+Parametres!$B$1</f>
        <v>BMW Sherbrooke</v>
      </c>
      <c r="B29" s="782"/>
      <c r="C29" s="783"/>
      <c r="D29" s="778"/>
      <c r="E29" s="780">
        <f t="shared" si="1"/>
        <v>0</v>
      </c>
      <c r="F29" s="779"/>
      <c r="G29" s="779">
        <f t="shared" si="2"/>
        <v>0</v>
      </c>
      <c r="H29" s="780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81"/>
    </row>
    <row r="30" spans="1:20" ht="30" customHeight="1">
      <c r="A30" s="781" t="str">
        <f>+Parametres!$B$1</f>
        <v>BMW Sherbrooke</v>
      </c>
      <c r="B30" s="782"/>
      <c r="C30" s="783"/>
      <c r="D30" s="778"/>
      <c r="E30" s="780">
        <f t="shared" si="1"/>
        <v>0</v>
      </c>
      <c r="F30" s="779"/>
      <c r="G30" s="779">
        <f t="shared" si="2"/>
        <v>0</v>
      </c>
      <c r="H30" s="780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81"/>
    </row>
    <row r="31" spans="1:20" ht="30" customHeight="1">
      <c r="A31" s="781" t="str">
        <f>+Parametres!$B$1</f>
        <v>BMW Sherbrooke</v>
      </c>
      <c r="B31" s="782"/>
      <c r="C31" s="783"/>
      <c r="D31" s="778"/>
      <c r="E31" s="780">
        <f t="shared" si="1"/>
        <v>0</v>
      </c>
      <c r="F31" s="779"/>
      <c r="G31" s="779">
        <f t="shared" si="2"/>
        <v>0</v>
      </c>
      <c r="H31" s="780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81"/>
    </row>
    <row r="32" spans="1:20" ht="30" customHeight="1">
      <c r="A32" s="781" t="str">
        <f>+Parametres!$B$1</f>
        <v>BMW Sherbrooke</v>
      </c>
      <c r="B32" s="782"/>
      <c r="C32" s="783"/>
      <c r="D32" s="778"/>
      <c r="E32" s="780">
        <f t="shared" si="1"/>
        <v>0</v>
      </c>
      <c r="F32" s="779"/>
      <c r="G32" s="779">
        <f t="shared" si="2"/>
        <v>0</v>
      </c>
      <c r="H32" s="780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81"/>
    </row>
    <row r="33" spans="1:24" ht="30" customHeight="1">
      <c r="A33" s="781" t="str">
        <f>+Parametres!$B$1</f>
        <v>BMW Sherbrooke</v>
      </c>
      <c r="B33" s="782"/>
      <c r="C33" s="783"/>
      <c r="D33" s="778"/>
      <c r="E33" s="780">
        <f t="shared" si="1"/>
        <v>0</v>
      </c>
      <c r="F33" s="779"/>
      <c r="G33" s="779">
        <f t="shared" si="2"/>
        <v>0</v>
      </c>
      <c r="H33" s="780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81"/>
    </row>
    <row r="34" spans="1:24" ht="30" customHeight="1">
      <c r="A34" s="781" t="str">
        <f>+Parametres!$B$1</f>
        <v>BMW Sherbrooke</v>
      </c>
      <c r="B34" s="782"/>
      <c r="C34" s="783"/>
      <c r="D34" s="778"/>
      <c r="E34" s="780">
        <f t="shared" si="1"/>
        <v>0</v>
      </c>
      <c r="F34" s="779"/>
      <c r="G34" s="779">
        <f t="shared" si="2"/>
        <v>0</v>
      </c>
      <c r="H34" s="780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81"/>
    </row>
    <row r="35" spans="1:24" ht="30" customHeight="1">
      <c r="A35" s="781" t="str">
        <f>+Parametres!$B$1</f>
        <v>BMW Sherbrooke</v>
      </c>
      <c r="B35" s="782"/>
      <c r="C35" s="783"/>
      <c r="D35" s="778"/>
      <c r="E35" s="780">
        <f t="shared" si="1"/>
        <v>0</v>
      </c>
      <c r="F35" s="779"/>
      <c r="G35" s="779">
        <f t="shared" si="2"/>
        <v>0</v>
      </c>
      <c r="H35" s="780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81"/>
    </row>
    <row r="36" spans="1:24" ht="30" customHeight="1">
      <c r="A36" s="781" t="str">
        <f>+Parametres!$B$1</f>
        <v>BMW Sherbrooke</v>
      </c>
      <c r="B36" s="782"/>
      <c r="C36" s="783"/>
      <c r="D36" s="778"/>
      <c r="E36" s="780">
        <f t="shared" si="1"/>
        <v>0</v>
      </c>
      <c r="F36" s="779"/>
      <c r="G36" s="779">
        <f t="shared" si="2"/>
        <v>0</v>
      </c>
      <c r="H36" s="780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81"/>
      <c r="X36" s="760" t="s">
        <v>2154</v>
      </c>
    </row>
    <row r="37" spans="1:24" ht="30" customHeight="1">
      <c r="A37" s="781" t="str">
        <f>+Parametres!$B$1</f>
        <v>BMW Sherbrooke</v>
      </c>
      <c r="B37" s="782"/>
      <c r="C37" s="783"/>
      <c r="D37" s="778"/>
      <c r="E37" s="780">
        <f t="shared" si="1"/>
        <v>0</v>
      </c>
      <c r="F37" s="779"/>
      <c r="G37" s="779">
        <f t="shared" si="2"/>
        <v>0</v>
      </c>
      <c r="H37" s="780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81"/>
      <c r="X37" s="760" t="s">
        <v>2330</v>
      </c>
    </row>
    <row r="38" spans="1:24" ht="30" customHeight="1">
      <c r="A38" s="781" t="str">
        <f>+Parametres!$B$1</f>
        <v>BMW Sherbrooke</v>
      </c>
      <c r="B38" s="782"/>
      <c r="C38" s="783"/>
      <c r="D38" s="778"/>
      <c r="E38" s="780">
        <f t="shared" si="1"/>
        <v>0</v>
      </c>
      <c r="F38" s="779"/>
      <c r="G38" s="779">
        <f t="shared" si="2"/>
        <v>0</v>
      </c>
      <c r="H38" s="780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81"/>
    </row>
    <row r="39" spans="1:24" ht="30" customHeight="1">
      <c r="A39" s="781" t="str">
        <f>+Parametres!$B$1</f>
        <v>BMW Sherbrooke</v>
      </c>
      <c r="B39" s="782"/>
      <c r="C39" s="783"/>
      <c r="D39" s="778"/>
      <c r="E39" s="780">
        <f t="shared" si="1"/>
        <v>0</v>
      </c>
      <c r="F39" s="779"/>
      <c r="G39" s="779">
        <f t="shared" si="2"/>
        <v>0</v>
      </c>
      <c r="H39" s="780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81"/>
    </row>
    <row r="40" spans="1:24" ht="30" customHeight="1" thickBot="1">
      <c r="A40" s="784" t="str">
        <f>+Parametres!$B$1</f>
        <v>BMW Sherbrooke</v>
      </c>
      <c r="B40" s="785"/>
      <c r="C40" s="786"/>
      <c r="D40" s="787"/>
      <c r="E40" s="788">
        <f t="shared" si="1"/>
        <v>0</v>
      </c>
      <c r="F40" s="789"/>
      <c r="G40" s="789">
        <f t="shared" si="2"/>
        <v>0</v>
      </c>
      <c r="H40" s="788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4"/>
    </row>
    <row r="42" spans="1:24" ht="30" customHeight="1">
      <c r="C42" s="790"/>
      <c r="D42" s="790"/>
    </row>
    <row r="43" spans="1:24" ht="30" customHeight="1">
      <c r="C43" s="763"/>
    </row>
    <row r="48" spans="1:24">
      <c r="E48" s="763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6" customWidth="1"/>
    <col min="2" max="2" width="11" style="901"/>
    <col min="3" max="3" width="18.1640625" style="902" bestFit="1" customWidth="1"/>
    <col min="4" max="6" width="11" style="902"/>
    <col min="7" max="7" width="10.83203125" style="903" bestFit="1" customWidth="1"/>
    <col min="8" max="8" width="12.1640625" style="902" customWidth="1"/>
    <col min="9" max="9" width="16.83203125" style="902" customWidth="1"/>
    <col min="10" max="10" width="25.5" style="904" customWidth="1"/>
    <col min="11" max="16384" width="11" style="896"/>
  </cols>
  <sheetData>
    <row r="1" spans="2:10" ht="21">
      <c r="B1" s="1455" t="s">
        <v>2856</v>
      </c>
      <c r="C1" s="1456"/>
      <c r="D1" s="1456"/>
      <c r="E1" s="1456"/>
      <c r="F1" s="1456"/>
      <c r="G1" s="1456"/>
      <c r="H1" s="1456"/>
      <c r="I1" s="1456"/>
      <c r="J1" s="1457"/>
    </row>
    <row r="2" spans="2:10">
      <c r="B2" s="897" t="s">
        <v>2857</v>
      </c>
      <c r="C2" s="898" t="s">
        <v>2160</v>
      </c>
      <c r="D2" s="898" t="s">
        <v>5</v>
      </c>
      <c r="E2" s="898" t="s">
        <v>2156</v>
      </c>
      <c r="F2" s="898" t="s">
        <v>2157</v>
      </c>
      <c r="G2" s="899" t="s">
        <v>2858</v>
      </c>
      <c r="H2" s="898" t="s">
        <v>2859</v>
      </c>
      <c r="I2" s="898" t="s">
        <v>2860</v>
      </c>
      <c r="J2" s="900" t="s">
        <v>2861</v>
      </c>
    </row>
    <row r="3" spans="2:10">
      <c r="E3" s="905"/>
      <c r="F3" s="905"/>
      <c r="H3" s="905"/>
      <c r="I3" s="905"/>
    </row>
    <row r="4" spans="2:10">
      <c r="C4" s="926"/>
      <c r="E4" s="906"/>
      <c r="F4" s="925"/>
      <c r="H4" s="906" t="s">
        <v>2866</v>
      </c>
      <c r="I4" s="906" t="s">
        <v>2867</v>
      </c>
      <c r="J4" s="907" t="s">
        <v>2868</v>
      </c>
    </row>
    <row r="5" spans="2:10">
      <c r="B5" s="923"/>
      <c r="E5" s="924"/>
      <c r="F5" s="924"/>
      <c r="H5" s="906" t="s">
        <v>2869</v>
      </c>
      <c r="I5" s="906" t="s">
        <v>2870</v>
      </c>
      <c r="J5" s="907" t="s">
        <v>2871</v>
      </c>
    </row>
    <row r="6" spans="2:10">
      <c r="H6" s="966"/>
      <c r="I6" s="966"/>
      <c r="J6" s="967"/>
    </row>
    <row r="48" spans="5:5">
      <c r="E48" s="90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6640625" style="828" customWidth="1"/>
    <col min="2" max="2" width="5.5" style="828" customWidth="1"/>
    <col min="3" max="3" width="20" style="828" customWidth="1"/>
    <col min="4" max="4" width="1.6640625" style="828" customWidth="1"/>
    <col min="5" max="7" width="11.1640625" style="831" customWidth="1"/>
    <col min="8" max="8" width="8" style="831" customWidth="1"/>
    <col min="9" max="9" width="1.6640625" style="831" customWidth="1"/>
    <col min="10" max="12" width="11.1640625" style="831" customWidth="1"/>
    <col min="13" max="13" width="8" style="831" customWidth="1"/>
    <col min="14" max="14" width="11" style="828"/>
    <col min="15" max="15" width="10" style="828" customWidth="1"/>
    <col min="16" max="16" width="11" style="828"/>
    <col min="17" max="17" width="6.33203125" style="828" customWidth="1"/>
    <col min="18" max="16384" width="11" style="828"/>
  </cols>
  <sheetData>
    <row r="1" spans="1:17" ht="30.75" customHeight="1">
      <c r="C1" s="1460" t="str">
        <f>"Analyse Wholesale "&amp;Parametres!B1</f>
        <v>Analyse Wholesale BMW Sherbrooke</v>
      </c>
      <c r="D1" s="1460"/>
      <c r="E1" s="1460"/>
      <c r="F1" s="1460"/>
      <c r="G1" s="1460"/>
      <c r="H1" s="1460"/>
      <c r="I1" s="1460"/>
      <c r="J1" s="1460"/>
      <c r="K1" s="1460"/>
      <c r="L1" s="829"/>
      <c r="M1" s="829"/>
      <c r="N1" s="830"/>
      <c r="O1" s="830"/>
      <c r="P1" s="830"/>
      <c r="Q1" s="830"/>
    </row>
    <row r="2" spans="1:17" ht="14.25" hidden="1" customHeight="1">
      <c r="D2" s="828" t="s">
        <v>285</v>
      </c>
      <c r="F2" s="831" t="s">
        <v>270</v>
      </c>
      <c r="G2" s="831" t="s">
        <v>306</v>
      </c>
      <c r="L2" s="831" t="s">
        <v>285</v>
      </c>
      <c r="N2" s="828" t="s">
        <v>270</v>
      </c>
      <c r="O2" s="828" t="s">
        <v>306</v>
      </c>
    </row>
    <row r="4" spans="1:17" ht="15" customHeight="1">
      <c r="A4" s="832"/>
      <c r="B4" s="832"/>
      <c r="E4" s="1461" t="str">
        <f>CONCATENATE("Pièces Wholesale ",Parametres!B3," ",Parametres!B4)</f>
        <v>Pièces Wholesale Juillet 2026</v>
      </c>
      <c r="F4" s="1462"/>
      <c r="G4" s="1462"/>
      <c r="H4" s="1463"/>
      <c r="J4" s="1464" t="str">
        <f>CONCATENATE("Pièces Wholesale AAD ",Parametres!B4)</f>
        <v>Pièces Wholesale AAD 2026</v>
      </c>
      <c r="K4" s="1465"/>
      <c r="L4" s="1465"/>
      <c r="M4" s="1466"/>
    </row>
    <row r="5" spans="1:17">
      <c r="A5" s="832"/>
      <c r="B5" s="832"/>
      <c r="C5" s="835"/>
      <c r="D5" s="836"/>
      <c r="E5" s="833" t="s">
        <v>2815</v>
      </c>
      <c r="F5" s="834" t="s">
        <v>2816</v>
      </c>
      <c r="G5" s="833" t="s">
        <v>2817</v>
      </c>
      <c r="H5" s="834" t="s">
        <v>2818</v>
      </c>
      <c r="J5" s="833" t="s">
        <v>2815</v>
      </c>
      <c r="K5" s="834" t="s">
        <v>2816</v>
      </c>
      <c r="L5" s="833" t="s">
        <v>2817</v>
      </c>
      <c r="M5" s="834" t="s">
        <v>2818</v>
      </c>
    </row>
    <row r="6" spans="1:17">
      <c r="A6" s="832"/>
      <c r="B6" s="832"/>
      <c r="C6" s="837" t="s">
        <v>2819</v>
      </c>
      <c r="D6" s="838"/>
      <c r="E6" s="839">
        <f>SUMIF(A37:A48,"X",E37:E48)</f>
        <v>30</v>
      </c>
      <c r="F6" s="840">
        <f>SUMIF(A37:A48,"X",F37:F48)</f>
        <v>22</v>
      </c>
      <c r="G6" s="839">
        <f>E6-F6</f>
        <v>8</v>
      </c>
      <c r="H6" s="969">
        <f>G6/F6</f>
        <v>0.36363636363636365</v>
      </c>
      <c r="J6" s="970">
        <f>SUMIF($B$37:$B$48,"X",$E$37:$E$48)</f>
        <v>204</v>
      </c>
      <c r="K6" s="840">
        <f>SUMIF($B$37:$B$48,"X",$F$37:$F$48)</f>
        <v>154</v>
      </c>
      <c r="L6" s="839">
        <f>J6-K6</f>
        <v>50</v>
      </c>
      <c r="M6" s="841">
        <f>L6/K6</f>
        <v>0.32467532467532467</v>
      </c>
    </row>
    <row r="7" spans="1:17">
      <c r="A7" s="842" t="str">
        <f>B7&amp;C7</f>
        <v>piècesVentes de Gros</v>
      </c>
      <c r="B7" s="842" t="s">
        <v>1893</v>
      </c>
      <c r="C7" s="843" t="s">
        <v>174</v>
      </c>
      <c r="D7" s="844"/>
      <c r="E7" s="845">
        <f>-SUMIFS(BV_Data_An_Cour!$O:$O,BV_Data_An_Cour!$X:$X,"Oui",BV_Data_An_Cour!$U:$U,$B7,BV_Data_An_Cour!$V:$V,$C7)</f>
        <v>23218.63</v>
      </c>
      <c r="F7" s="846">
        <f>+INDEX('Budget original'!$A$2:$AO$501,MATCH($A7,'Budget original'!$A$2:$A$501,0),MATCH(F$2,'Budget original'!$A$2:$AO$2,0))</f>
        <v>110400</v>
      </c>
      <c r="G7" s="847">
        <f>E7-F7</f>
        <v>-87181.37</v>
      </c>
      <c r="H7" s="848">
        <f>G7/F7</f>
        <v>-0.78968632246376802</v>
      </c>
      <c r="J7" s="845">
        <f>-SUMIFS(BV_Data_An_Cour!$P:$P,BV_Data_An_Cour!$X:$X,"Oui",BV_Data_An_Cour!$U:$U,$B7,BV_Data_An_Cour!$V:$V,$C7)</f>
        <v>471154.66</v>
      </c>
      <c r="K7" s="846" cm="1">
        <f t="array" ref="K7">+SUMPRODUCT(('Budget original'!$A$8:$A$501=$A7)*('Budget original'!$C$3:$AO$3=N$2),'Budget original'!$C$8:$AO$501)</f>
        <v>664800</v>
      </c>
      <c r="L7" s="849">
        <f t="shared" ref="L7:L10" si="0">J7-K7</f>
        <v>-193645.34000000003</v>
      </c>
      <c r="M7" s="848">
        <f>L7/K7</f>
        <v>-0.29128360409145609</v>
      </c>
    </row>
    <row r="8" spans="1:17">
      <c r="A8" s="842"/>
      <c r="B8" s="842"/>
      <c r="C8" s="850" t="s">
        <v>2820</v>
      </c>
      <c r="D8" s="844"/>
      <c r="E8" s="851">
        <f>E7-E9</f>
        <v>16794.96</v>
      </c>
      <c r="F8" s="852">
        <f>F7-F9</f>
        <v>85997.61</v>
      </c>
      <c r="G8" s="845">
        <f t="shared" ref="G8:G15" si="1">E8-F8</f>
        <v>-69202.649999999994</v>
      </c>
      <c r="H8" s="853">
        <f t="shared" ref="H8:H9" si="2">G8/F8</f>
        <v>-0.80470434003921731</v>
      </c>
      <c r="J8" s="851">
        <f>J7-J9</f>
        <v>363787.78</v>
      </c>
      <c r="K8" s="852">
        <f>K7-K9</f>
        <v>512317.04000000004</v>
      </c>
      <c r="L8" s="845">
        <f t="shared" si="0"/>
        <v>-148529.26</v>
      </c>
      <c r="M8" s="853">
        <f t="shared" ref="M8:M9" si="3">L8/K8</f>
        <v>-0.28991668908767898</v>
      </c>
    </row>
    <row r="9" spans="1:17">
      <c r="C9" s="854" t="s">
        <v>195</v>
      </c>
      <c r="D9" s="844"/>
      <c r="E9" s="855">
        <f>E12+E11</f>
        <v>6423.6700000000019</v>
      </c>
      <c r="F9" s="856">
        <f>F12+F11</f>
        <v>24402.39</v>
      </c>
      <c r="G9" s="855">
        <f t="shared" si="1"/>
        <v>-17978.719999999998</v>
      </c>
      <c r="H9" s="853">
        <f t="shared" si="2"/>
        <v>-0.73676062057855796</v>
      </c>
      <c r="J9" s="855">
        <f>J12+J11</f>
        <v>107366.87999999995</v>
      </c>
      <c r="K9" s="856">
        <f>K12+K11</f>
        <v>152482.96</v>
      </c>
      <c r="L9" s="855">
        <f t="shared" si="0"/>
        <v>-45116.080000000045</v>
      </c>
      <c r="M9" s="853">
        <f t="shared" si="3"/>
        <v>-0.29587620806941345</v>
      </c>
    </row>
    <row r="10" spans="1:17">
      <c r="A10" s="842"/>
      <c r="B10" s="842"/>
      <c r="C10" s="850" t="s">
        <v>2821</v>
      </c>
      <c r="D10" s="844"/>
      <c r="E10" s="857">
        <f>E9/E7</f>
        <v>0.27666016470394683</v>
      </c>
      <c r="F10" s="858">
        <f>F9/F7</f>
        <v>0.22103614130434782</v>
      </c>
      <c r="G10" s="857">
        <f t="shared" si="1"/>
        <v>5.5624023399599015E-2</v>
      </c>
      <c r="H10" s="853"/>
      <c r="J10" s="857">
        <f>J9/J7</f>
        <v>0.22788033126956644</v>
      </c>
      <c r="K10" s="858">
        <f>K9/K7</f>
        <v>0.22936666666666666</v>
      </c>
      <c r="L10" s="857">
        <f t="shared" si="0"/>
        <v>-1.4863353971002191E-3</v>
      </c>
      <c r="M10" s="853"/>
    </row>
    <row r="11" spans="1:17">
      <c r="A11" s="842"/>
      <c r="B11" s="842"/>
      <c r="C11" s="859" t="s">
        <v>2822</v>
      </c>
      <c r="D11" s="844"/>
      <c r="E11" s="849">
        <f>SUMIFS(BV_Data_An_Cour!$O:$O,BV_Data_An_Cour!$W:$W,$D$2,BV_Data_An_Cour!L:L,C31)</f>
        <v>4475.8</v>
      </c>
      <c r="F11" s="860">
        <f>SUMIF($A$37:$A$48,"X",$G$37:$G$48)</f>
        <v>2322.39</v>
      </c>
      <c r="G11" s="849">
        <f t="shared" si="1"/>
        <v>2153.4100000000003</v>
      </c>
      <c r="H11" s="848">
        <f t="shared" ref="H11:H12" si="4">G11/F11</f>
        <v>0.9272387497362633</v>
      </c>
      <c r="J11" s="849">
        <f>SUMIFS(BV_Data_An_Cour!$P:$P,BV_Data_An_Cour!$W:$W,$L$2,BV_Data_An_Cour!T:T,C31)</f>
        <v>25162.71</v>
      </c>
      <c r="K11" s="860">
        <f>SUMIF($B$37:$B$48,"X",$G$37:$G$48)</f>
        <v>19522.96</v>
      </c>
      <c r="L11" s="849">
        <f>J11-K11</f>
        <v>5639.75</v>
      </c>
      <c r="M11" s="848">
        <f t="shared" ref="M11:M12" si="5">L11/K11</f>
        <v>0.28887781361023124</v>
      </c>
    </row>
    <row r="12" spans="1:17">
      <c r="A12" s="861" t="s">
        <v>174</v>
      </c>
      <c r="B12" s="842" t="s">
        <v>1893</v>
      </c>
      <c r="C12" s="854" t="s">
        <v>2398</v>
      </c>
      <c r="D12" s="844"/>
      <c r="E12" s="855">
        <f>-SUMIFS(BV_Data_An_Cour!$O:$O,BV_Data_An_Cour!$U:$U,$B12,BV_Data_An_Cour!$V:$V,$A12,BV_Data_An_Cour!$W:$W,$D$2)</f>
        <v>1947.8700000000017</v>
      </c>
      <c r="F12" s="856">
        <f>+INDEX('Budget original'!$A$2:$AO$501,MATCH(B12&amp;$A12,'Budget original'!$A$2:$A$501,0),MATCH(G$2,'Budget original'!$A$2:$AO$2,0))</f>
        <v>22080</v>
      </c>
      <c r="G12" s="855">
        <f t="shared" si="1"/>
        <v>-20132.129999999997</v>
      </c>
      <c r="H12" s="853">
        <f t="shared" si="4"/>
        <v>-0.91178124999999988</v>
      </c>
      <c r="J12" s="855">
        <f>-SUMIFS(BV_Data_An_Cour!$P:$P,BV_Data_An_Cour!$U:$U,$B12,BV_Data_An_Cour!$V:$V,$A12,BV_Data_An_Cour!$W:$W,$D$2)</f>
        <v>82204.169999999955</v>
      </c>
      <c r="K12" s="856" cm="1">
        <f t="array" ref="K12">+SUMPRODUCT(('Budget original'!$A$8:$A$501=B12&amp;$A12)*('Budget original'!$C$3:$AO$3=O$2),'Budget original'!$C$8:$AO$501)</f>
        <v>132960</v>
      </c>
      <c r="L12" s="855">
        <f t="shared" ref="L12:L16" si="6">J12-K12</f>
        <v>-50755.830000000045</v>
      </c>
      <c r="M12" s="853">
        <f t="shared" si="5"/>
        <v>-0.38173759025270793</v>
      </c>
    </row>
    <row r="13" spans="1:17">
      <c r="A13" s="832"/>
      <c r="B13" s="832"/>
      <c r="C13" s="850" t="s">
        <v>108</v>
      </c>
      <c r="D13" s="844"/>
      <c r="E13" s="857">
        <f>(E12)/E7</f>
        <v>8.3892546631735024E-2</v>
      </c>
      <c r="F13" s="858">
        <f>(F12)/F7</f>
        <v>0.2</v>
      </c>
      <c r="G13" s="862">
        <f t="shared" si="1"/>
        <v>-0.11610745336826499</v>
      </c>
      <c r="H13" s="863"/>
      <c r="J13" s="857">
        <f>(J12)/J7</f>
        <v>0.17447385535781385</v>
      </c>
      <c r="K13" s="858">
        <f>(K12)/K7</f>
        <v>0.2</v>
      </c>
      <c r="L13" s="862">
        <f t="shared" si="6"/>
        <v>-2.5526144642186166E-2</v>
      </c>
      <c r="M13" s="863"/>
    </row>
    <row r="14" spans="1:17">
      <c r="A14" s="832"/>
      <c r="B14" s="832"/>
      <c r="C14" s="859" t="s">
        <v>2823</v>
      </c>
      <c r="D14" s="844"/>
      <c r="E14" s="849">
        <f>SUMIFS(BV_Data_An_Cour!$O:$O,BV_Data_An_Cour!$W:$W,$D$2,BV_Data_An_Cour!L:L,C33)</f>
        <v>0</v>
      </c>
      <c r="F14" s="864">
        <f>SUMIF(A37:A48,"X",F37:F48)*$G$33</f>
        <v>550</v>
      </c>
      <c r="G14" s="845">
        <f>E14-F14</f>
        <v>-550</v>
      </c>
      <c r="H14" s="853">
        <f t="shared" ref="H14:H15" si="7">G14/F14</f>
        <v>-1</v>
      </c>
      <c r="J14" s="849">
        <f>SUMIFS(BV_Data_An_Cour!$P:$P,BV_Data_An_Cour!$W:$W,$L$2,BV_Data_An_Cour!T:T,C33)</f>
        <v>0</v>
      </c>
      <c r="K14" s="864">
        <f>SUMIF(B37:B48,"X",F37:F48)*$G$33</f>
        <v>3850</v>
      </c>
      <c r="L14" s="845">
        <f t="shared" si="6"/>
        <v>-3850</v>
      </c>
      <c r="M14" s="853">
        <f t="shared" ref="M14:M15" si="8">L14/K14</f>
        <v>-1</v>
      </c>
    </row>
    <row r="15" spans="1:17">
      <c r="C15" s="854" t="s">
        <v>2824</v>
      </c>
      <c r="D15" s="844"/>
      <c r="E15" s="855">
        <f>E12-E14</f>
        <v>1947.8700000000017</v>
      </c>
      <c r="F15" s="856">
        <f t="shared" ref="F15" si="9">F12-F14</f>
        <v>21530</v>
      </c>
      <c r="G15" s="855">
        <f t="shared" si="1"/>
        <v>-19582.129999999997</v>
      </c>
      <c r="H15" s="853">
        <f t="shared" si="7"/>
        <v>-0.90952763585694363</v>
      </c>
      <c r="J15" s="855">
        <f t="shared" ref="J15:K15" si="10">J12-J14</f>
        <v>82204.169999999955</v>
      </c>
      <c r="K15" s="856">
        <f t="shared" si="10"/>
        <v>129110</v>
      </c>
      <c r="L15" s="855">
        <f t="shared" si="6"/>
        <v>-46905.830000000045</v>
      </c>
      <c r="M15" s="853">
        <f t="shared" si="8"/>
        <v>-0.36330129347068424</v>
      </c>
    </row>
    <row r="16" spans="1:17">
      <c r="C16" s="865" t="s">
        <v>2825</v>
      </c>
      <c r="D16" s="866"/>
      <c r="E16" s="862">
        <f>E15/E7</f>
        <v>8.3892546631735024E-2</v>
      </c>
      <c r="F16" s="867">
        <f>F15/F7</f>
        <v>0.19501811594202897</v>
      </c>
      <c r="G16" s="862">
        <f>E16-F16</f>
        <v>-0.11112556931029395</v>
      </c>
      <c r="H16" s="867"/>
      <c r="J16" s="862">
        <f>J15/J7</f>
        <v>0.17447385535781385</v>
      </c>
      <c r="K16" s="867">
        <f>K15/K7</f>
        <v>0.19420878459687124</v>
      </c>
      <c r="L16" s="862">
        <f t="shared" si="6"/>
        <v>-1.9734929239057397E-2</v>
      </c>
      <c r="M16" s="868"/>
    </row>
    <row r="17" spans="3:13">
      <c r="C17" s="869"/>
      <c r="G17" s="870"/>
      <c r="K17" s="870"/>
    </row>
    <row r="18" spans="3:13">
      <c r="E18" s="1461" t="str">
        <f>CONCATENATE("Pièces Wholesale $ / livraison ",Parametres!B3," ",Parametres!B4)</f>
        <v>Pièces Wholesale $ / livraison Juillet 2026</v>
      </c>
      <c r="F18" s="1462"/>
      <c r="G18" s="1462"/>
      <c r="H18" s="1463"/>
      <c r="J18" s="1464" t="str">
        <f>CONCATENATE("Pièces Wholesale AAD $ / livraison ",Parametres!B4)</f>
        <v>Pièces Wholesale AAD $ / livraison 2026</v>
      </c>
      <c r="K18" s="1465"/>
      <c r="L18" s="1465"/>
      <c r="M18" s="1466"/>
    </row>
    <row r="19" spans="3:13">
      <c r="C19" s="835"/>
      <c r="D19" s="836"/>
      <c r="E19" s="833" t="s">
        <v>2815</v>
      </c>
      <c r="F19" s="834" t="s">
        <v>2816</v>
      </c>
      <c r="G19" s="833" t="s">
        <v>2817</v>
      </c>
      <c r="H19" s="834" t="s">
        <v>2818</v>
      </c>
      <c r="J19" s="833" t="s">
        <v>2815</v>
      </c>
      <c r="K19" s="834" t="s">
        <v>2816</v>
      </c>
      <c r="L19" s="833" t="s">
        <v>2817</v>
      </c>
      <c r="M19" s="834" t="s">
        <v>2818</v>
      </c>
    </row>
    <row r="20" spans="3:13">
      <c r="C20" s="843" t="s">
        <v>174</v>
      </c>
      <c r="D20" s="844"/>
      <c r="E20" s="845">
        <f>E7/E$6</f>
        <v>773.95433333333335</v>
      </c>
      <c r="F20" s="846">
        <f>F7/F$6</f>
        <v>5018.181818181818</v>
      </c>
      <c r="G20" s="849">
        <f t="shared" ref="G20:G25" si="11">E20-F20</f>
        <v>-4244.2274848484849</v>
      </c>
      <c r="H20" s="848">
        <f t="shared" ref="H20:H26" si="12">G20/F20</f>
        <v>-0.84576996980676333</v>
      </c>
      <c r="J20" s="845">
        <f>J7/J$6</f>
        <v>2309.5816666666665</v>
      </c>
      <c r="K20" s="846">
        <f>K7/K$6</f>
        <v>4316.8831168831166</v>
      </c>
      <c r="L20" s="849">
        <f t="shared" ref="L20:L25" si="13">J20-K20</f>
        <v>-2007.3014502164501</v>
      </c>
      <c r="M20" s="848">
        <f t="shared" ref="M20:M26" si="14">L20/K20</f>
        <v>-0.4649886030886482</v>
      </c>
    </row>
    <row r="21" spans="3:13">
      <c r="C21" s="850" t="s">
        <v>2820</v>
      </c>
      <c r="D21" s="844"/>
      <c r="E21" s="851">
        <f t="shared" ref="E21:F22" si="15">E8/E$6</f>
        <v>559.83199999999999</v>
      </c>
      <c r="F21" s="852">
        <f>F8/F$6</f>
        <v>3908.9822727272726</v>
      </c>
      <c r="G21" s="845">
        <f t="shared" si="11"/>
        <v>-3349.1502727272727</v>
      </c>
      <c r="H21" s="853">
        <f t="shared" si="12"/>
        <v>-0.85678318269542608</v>
      </c>
      <c r="J21" s="851">
        <f t="shared" ref="J21:K22" si="16">J8/J$6</f>
        <v>1783.2734313725491</v>
      </c>
      <c r="K21" s="852">
        <f t="shared" si="16"/>
        <v>3326.7340259740263</v>
      </c>
      <c r="L21" s="845">
        <f t="shared" si="13"/>
        <v>-1543.4605946014772</v>
      </c>
      <c r="M21" s="853">
        <f t="shared" si="14"/>
        <v>-0.46395671627207141</v>
      </c>
    </row>
    <row r="22" spans="3:13">
      <c r="C22" s="854" t="s">
        <v>195</v>
      </c>
      <c r="D22" s="844"/>
      <c r="E22" s="855">
        <f>E9/E$6</f>
        <v>214.12233333333339</v>
      </c>
      <c r="F22" s="856">
        <f t="shared" si="15"/>
        <v>1109.1995454545454</v>
      </c>
      <c r="G22" s="855">
        <f t="shared" si="11"/>
        <v>-895.07721212121203</v>
      </c>
      <c r="H22" s="853">
        <f t="shared" si="12"/>
        <v>-0.8069577884242759</v>
      </c>
      <c r="J22" s="855">
        <f t="shared" si="16"/>
        <v>526.30823529411737</v>
      </c>
      <c r="K22" s="856">
        <f t="shared" si="16"/>
        <v>990.14909090909089</v>
      </c>
      <c r="L22" s="855">
        <f t="shared" si="13"/>
        <v>-463.84085561497352</v>
      </c>
      <c r="M22" s="853">
        <f t="shared" si="14"/>
        <v>-0.46845556883671413</v>
      </c>
    </row>
    <row r="23" spans="3:13">
      <c r="C23" s="859" t="s">
        <v>2822</v>
      </c>
      <c r="D23" s="844"/>
      <c r="E23" s="849">
        <f>E11/E$6</f>
        <v>149.19333333333333</v>
      </c>
      <c r="F23" s="860">
        <f>F11/F$6</f>
        <v>105.56318181818182</v>
      </c>
      <c r="G23" s="849">
        <f t="shared" si="11"/>
        <v>43.63015151515151</v>
      </c>
      <c r="H23" s="848">
        <f t="shared" si="12"/>
        <v>0.41330841647325955</v>
      </c>
      <c r="J23" s="849">
        <f t="shared" ref="J23:K23" si="17">J11/J$6</f>
        <v>123.34661764705882</v>
      </c>
      <c r="K23" s="860">
        <f t="shared" si="17"/>
        <v>126.77246753246753</v>
      </c>
      <c r="L23" s="849">
        <f t="shared" si="13"/>
        <v>-3.4258498854087094</v>
      </c>
      <c r="M23" s="848">
        <f t="shared" si="14"/>
        <v>-2.7023611294237207E-2</v>
      </c>
    </row>
    <row r="24" spans="3:13">
      <c r="C24" s="854" t="s">
        <v>2398</v>
      </c>
      <c r="D24" s="844"/>
      <c r="E24" s="855">
        <f>E12/E$6</f>
        <v>64.929000000000059</v>
      </c>
      <c r="F24" s="856">
        <f>F12/F$6</f>
        <v>1003.6363636363636</v>
      </c>
      <c r="G24" s="871">
        <f t="shared" si="11"/>
        <v>-938.70736363636354</v>
      </c>
      <c r="H24" s="863">
        <f t="shared" si="12"/>
        <v>-0.93530624999999989</v>
      </c>
      <c r="J24" s="855">
        <f>J12/J$6</f>
        <v>402.96161764705857</v>
      </c>
      <c r="K24" s="856">
        <f>K12/K$6</f>
        <v>863.37662337662334</v>
      </c>
      <c r="L24" s="871">
        <f t="shared" si="13"/>
        <v>-460.41500572956477</v>
      </c>
      <c r="M24" s="863">
        <f t="shared" si="14"/>
        <v>-0.53327249460253445</v>
      </c>
    </row>
    <row r="25" spans="3:13">
      <c r="C25" s="859" t="s">
        <v>2823</v>
      </c>
      <c r="D25" s="844"/>
      <c r="E25" s="872">
        <f>E14/E$6</f>
        <v>0</v>
      </c>
      <c r="F25" s="864">
        <f>F14/F$6</f>
        <v>25</v>
      </c>
      <c r="G25" s="845">
        <f t="shared" si="11"/>
        <v>-25</v>
      </c>
      <c r="H25" s="853">
        <f t="shared" si="12"/>
        <v>-1</v>
      </c>
      <c r="J25" s="849">
        <f t="shared" ref="J25:K25" si="18">J14/J$6</f>
        <v>0</v>
      </c>
      <c r="K25" s="864">
        <f t="shared" si="18"/>
        <v>25</v>
      </c>
      <c r="L25" s="845">
        <f t="shared" si="13"/>
        <v>-25</v>
      </c>
      <c r="M25" s="853">
        <f t="shared" si="14"/>
        <v>-1</v>
      </c>
    </row>
    <row r="26" spans="3:13">
      <c r="C26" s="873" t="s">
        <v>2824</v>
      </c>
      <c r="D26" s="844"/>
      <c r="E26" s="871">
        <f>E15/E$6</f>
        <v>64.929000000000059</v>
      </c>
      <c r="F26" s="874">
        <f>F15/F$6</f>
        <v>978.63636363636363</v>
      </c>
      <c r="G26" s="871">
        <f>E26-F26</f>
        <v>-913.70736363636354</v>
      </c>
      <c r="H26" s="863">
        <f t="shared" si="12"/>
        <v>-0.93365359962842531</v>
      </c>
      <c r="J26" s="871">
        <f>J15/J$6</f>
        <v>402.96161764705857</v>
      </c>
      <c r="K26" s="874">
        <f>K15/K$6</f>
        <v>838.37662337662334</v>
      </c>
      <c r="L26" s="871">
        <f>J26-K26</f>
        <v>-435.41500572956477</v>
      </c>
      <c r="M26" s="863">
        <f t="shared" si="14"/>
        <v>-0.51935489801218326</v>
      </c>
    </row>
    <row r="27" spans="3:13">
      <c r="C27" s="869"/>
      <c r="G27" s="870"/>
      <c r="K27" s="870"/>
    </row>
    <row r="29" spans="3:13">
      <c r="C29" s="875" t="s">
        <v>2826</v>
      </c>
    </row>
    <row r="30" spans="3:13">
      <c r="C30" s="876" t="s">
        <v>2827</v>
      </c>
      <c r="E30" s="877" t="s">
        <v>2828</v>
      </c>
      <c r="F30" s="878"/>
      <c r="G30" s="879">
        <f>SUMIF(A37:A48,"X",E37:E48)*$G$33-E14</f>
        <v>750</v>
      </c>
      <c r="H30" s="880" t="s">
        <v>2829</v>
      </c>
    </row>
    <row r="31" spans="3:13">
      <c r="C31" s="881" t="s">
        <v>2840</v>
      </c>
      <c r="E31" s="877" t="s">
        <v>2830</v>
      </c>
      <c r="F31" s="878"/>
      <c r="G31" s="879">
        <f>SUMIF(B37:B48,"X",E37:E48)*$G$33-J14</f>
        <v>5100</v>
      </c>
      <c r="H31" s="880" t="s">
        <v>2829</v>
      </c>
    </row>
    <row r="32" spans="3:13">
      <c r="C32" s="876" t="s">
        <v>2831</v>
      </c>
    </row>
    <row r="33" spans="1:41">
      <c r="C33" s="881" t="s">
        <v>2841</v>
      </c>
      <c r="E33" s="1467" t="s">
        <v>2832</v>
      </c>
      <c r="F33" s="1467"/>
      <c r="G33" s="882">
        <v>25</v>
      </c>
    </row>
    <row r="35" spans="1:41">
      <c r="E35" s="1458" t="s">
        <v>2833</v>
      </c>
      <c r="F35" s="1459"/>
    </row>
    <row r="36" spans="1:41" ht="46.5" customHeight="1">
      <c r="A36" s="883" t="s">
        <v>293</v>
      </c>
      <c r="B36" s="883" t="s">
        <v>304</v>
      </c>
      <c r="C36" s="884" t="s">
        <v>293</v>
      </c>
      <c r="D36" s="878"/>
      <c r="E36" s="885" t="s">
        <v>2815</v>
      </c>
      <c r="F36" s="885" t="s">
        <v>2834</v>
      </c>
      <c r="G36" s="886" t="s">
        <v>2835</v>
      </c>
      <c r="H36" s="828" t="str">
        <f>+IF(Parametres!$B$3=H$38,"X","")</f>
        <v/>
      </c>
      <c r="I36" s="831" t="str">
        <f>+IF(Parametres!$B$3=I$38,"X","")</f>
        <v/>
      </c>
      <c r="J36" s="831" t="str">
        <f>+IF(Parametres!$B$3=J$38,"X","")</f>
        <v/>
      </c>
      <c r="K36" s="831" t="str">
        <f>+IF(Parametres!$B$3=K$38,"X","")</f>
        <v/>
      </c>
      <c r="L36" s="831" t="str">
        <f>+IF(Parametres!$B$3=L$38,"X","")</f>
        <v/>
      </c>
      <c r="M36" s="831" t="str">
        <f>+IF(Parametres!$B$3=M$38,"X","")</f>
        <v/>
      </c>
      <c r="N36" s="831" t="str">
        <f>+IF(Parametres!$B$3=N$38,"X","")</f>
        <v/>
      </c>
      <c r="O36" s="831" t="str">
        <f>+IF(Parametres!$B$3=O$38,"X","")</f>
        <v/>
      </c>
      <c r="P36" s="831" t="str">
        <f>+IF(Parametres!$B$3=P$38,"X","")</f>
        <v/>
      </c>
      <c r="Q36" s="831" t="str">
        <f>+IF(Parametres!$B$3=Q$38,"X","")</f>
        <v/>
      </c>
      <c r="R36" s="828" t="str">
        <f>+IF(Parametres!$B$3=R$38,"X","")</f>
        <v/>
      </c>
      <c r="S36" s="828" t="str">
        <f>+IF(Parametres!$B$3=S$38,"X","")</f>
        <v/>
      </c>
      <c r="U36" s="828" t="str">
        <f>+IF(Parametres!$B$3=N$7,"X","")</f>
        <v/>
      </c>
      <c r="V36" s="828" t="str">
        <f>+IF(Parametres!$B$3=N$7,"O","")</f>
        <v/>
      </c>
      <c r="W36" s="828" t="str">
        <f>+IF(Parametres!$B$3=N$7,"U","")</f>
        <v/>
      </c>
      <c r="X36" s="828" t="str">
        <f>+IF(Parametres!$B$3=Q$7,"X","")</f>
        <v/>
      </c>
      <c r="Y36" s="828" t="str">
        <f>+IF(Parametres!$B$3=Q$7,"O","")</f>
        <v/>
      </c>
      <c r="Z36" s="828" t="str">
        <f>+IF(Parametres!$B$3=Q$7,"U","")</f>
        <v/>
      </c>
      <c r="AA36" s="828" t="str">
        <f>+IF(Parametres!$B$3=T$7,"X","")</f>
        <v/>
      </c>
      <c r="AB36" s="828" t="str">
        <f>+IF(Parametres!$B$3=T$7,"O","")</f>
        <v/>
      </c>
      <c r="AC36" s="828" t="str">
        <f>+IF(Parametres!$B$3=T$7,"U","")</f>
        <v/>
      </c>
      <c r="AD36" s="828" t="str">
        <f>+IF(Parametres!$B$3=W$7,"X","")</f>
        <v/>
      </c>
      <c r="AE36" s="828" t="str">
        <f>+IF(Parametres!$B$3=W$7,"O","")</f>
        <v/>
      </c>
      <c r="AF36" s="828" t="str">
        <f>+IF(Parametres!$B$3=W$7,"U","")</f>
        <v/>
      </c>
      <c r="AG36" s="828" t="str">
        <f>+IF(Parametres!$B$3=Z$7,"X","")</f>
        <v/>
      </c>
      <c r="AH36" s="828" t="str">
        <f>+IF(Parametres!$B$3=Z$7,"O","")</f>
        <v/>
      </c>
      <c r="AI36" s="828" t="str">
        <f>+IF(Parametres!$B$3=Z$7,"U","")</f>
        <v/>
      </c>
      <c r="AJ36" s="828" t="str">
        <f>+IF(Parametres!$B$3=AC$7,"X","")</f>
        <v/>
      </c>
      <c r="AK36" s="828" t="str">
        <f>+IF(Parametres!$B$3=AC$7,"O","")</f>
        <v/>
      </c>
      <c r="AL36" s="828" t="str">
        <f>+IF(Parametres!$B$3=AC$7,"U","")</f>
        <v/>
      </c>
      <c r="AM36" s="828" t="str">
        <f>+IF(Parametres!$B$3=AF$7,"X","")</f>
        <v/>
      </c>
      <c r="AN36" s="828" t="str">
        <f>+IF(Parametres!$B$3=AF$7,"O","")</f>
        <v/>
      </c>
      <c r="AO36" s="828" t="str">
        <f>+IF(Parametres!$B$3=AF$7,"U","")</f>
        <v/>
      </c>
    </row>
    <row r="37" spans="1:41">
      <c r="A37" s="887" t="str">
        <f>+IF(Parametres!$B$3=$C37,"X","")</f>
        <v/>
      </c>
      <c r="B37" s="887" t="str">
        <f>+IF(VLOOKUP($C37,Parametres!$K$3:$N$14,4,0)="X","X","")</f>
        <v>X</v>
      </c>
      <c r="C37" s="888" t="s">
        <v>294</v>
      </c>
      <c r="E37" s="889">
        <v>14</v>
      </c>
      <c r="F37" s="889">
        <v>22</v>
      </c>
      <c r="G37" s="889">
        <v>2662.04</v>
      </c>
      <c r="H37" s="828"/>
      <c r="I37" s="828"/>
      <c r="J37" s="828"/>
      <c r="K37" s="828"/>
      <c r="L37" s="828"/>
      <c r="M37" s="828"/>
    </row>
    <row r="38" spans="1:41">
      <c r="A38" s="887" t="str">
        <f>+IF(Parametres!$B$3=$C38,"X","")</f>
        <v/>
      </c>
      <c r="B38" s="887" t="str">
        <f>+IF(VLOOKUP($C38,Parametres!$K$3:$N$14,4,0)="X","X","")</f>
        <v>X</v>
      </c>
      <c r="C38" s="890" t="s">
        <v>295</v>
      </c>
      <c r="E38" s="889">
        <v>34</v>
      </c>
      <c r="F38" s="889">
        <v>22</v>
      </c>
      <c r="G38" s="889">
        <v>2686.35</v>
      </c>
      <c r="H38" s="828"/>
      <c r="I38" s="828"/>
      <c r="J38" s="828"/>
      <c r="K38" s="828"/>
      <c r="L38" s="828"/>
      <c r="M38" s="828"/>
    </row>
    <row r="39" spans="1:41">
      <c r="A39" s="828" t="str">
        <f>+IF(Parametres!$B$3=$C39,"X","")</f>
        <v/>
      </c>
      <c r="B39" s="828" t="str">
        <f>+IF(VLOOKUP($C39,Parametres!$K$3:$N$14,4,0)="X","X","")</f>
        <v>X</v>
      </c>
      <c r="C39" s="890" t="s">
        <v>296</v>
      </c>
      <c r="E39" s="889">
        <v>30</v>
      </c>
      <c r="F39" s="889">
        <v>22</v>
      </c>
      <c r="G39" s="889">
        <v>3119.76</v>
      </c>
      <c r="H39" s="828"/>
      <c r="I39" s="828"/>
      <c r="J39" s="828"/>
      <c r="K39" s="828"/>
      <c r="L39" s="828"/>
      <c r="M39" s="828"/>
    </row>
    <row r="40" spans="1:41">
      <c r="A40" s="828" t="str">
        <f>+IF(Parametres!$B$3=$C40,"X","")</f>
        <v/>
      </c>
      <c r="B40" s="828" t="str">
        <f>+IF(VLOOKUP($C40,Parametres!$K$3:$N$14,4,0)="X","X","")</f>
        <v>X</v>
      </c>
      <c r="C40" s="890" t="s">
        <v>297</v>
      </c>
      <c r="E40" s="889">
        <v>37</v>
      </c>
      <c r="F40" s="889">
        <v>22</v>
      </c>
      <c r="G40" s="889">
        <v>2194.1999999999998</v>
      </c>
      <c r="H40" s="828"/>
      <c r="I40" s="828"/>
      <c r="J40" s="828"/>
      <c r="K40" s="828"/>
      <c r="L40" s="828"/>
      <c r="M40" s="828"/>
    </row>
    <row r="41" spans="1:41">
      <c r="A41" s="828" t="str">
        <f>+IF(Parametres!$B$3=$C41,"X","")</f>
        <v/>
      </c>
      <c r="B41" s="828" t="str">
        <f>+IF(VLOOKUP($C41,Parametres!$K$3:$N$14,4,0)="X","X","")</f>
        <v>X</v>
      </c>
      <c r="C41" s="890" t="s">
        <v>298</v>
      </c>
      <c r="E41" s="889">
        <v>32</v>
      </c>
      <c r="F41" s="889">
        <v>22</v>
      </c>
      <c r="G41" s="889">
        <v>3569.08</v>
      </c>
      <c r="H41" s="828"/>
      <c r="I41" s="828"/>
      <c r="J41" s="828"/>
      <c r="K41" s="828"/>
      <c r="L41" s="828"/>
      <c r="M41" s="828"/>
    </row>
    <row r="42" spans="1:41">
      <c r="A42" s="828" t="str">
        <f>+IF(Parametres!$B$3=$C42,"X","")</f>
        <v/>
      </c>
      <c r="B42" s="828" t="str">
        <f>+IF(VLOOKUP($C42,Parametres!$K$3:$N$14,4,0)="X","X","")</f>
        <v>X</v>
      </c>
      <c r="C42" s="890" t="s">
        <v>284</v>
      </c>
      <c r="E42" s="889">
        <v>27</v>
      </c>
      <c r="F42" s="889">
        <v>22</v>
      </c>
      <c r="G42" s="889">
        <v>2969.14</v>
      </c>
      <c r="N42" s="831"/>
      <c r="O42" s="831"/>
      <c r="P42" s="831"/>
      <c r="Q42" s="831"/>
      <c r="R42" s="878"/>
      <c r="S42" s="878"/>
    </row>
    <row r="43" spans="1:41">
      <c r="A43" s="828" t="str">
        <f>+IF(Parametres!$B$3=$C43,"X","")</f>
        <v>X</v>
      </c>
      <c r="B43" s="828" t="str">
        <f>+IF(VLOOKUP($C43,Parametres!$K$3:$N$14,4,0)="X","X","")</f>
        <v>X</v>
      </c>
      <c r="C43" s="890" t="s">
        <v>299</v>
      </c>
      <c r="E43" s="889">
        <v>30</v>
      </c>
      <c r="F43" s="889">
        <v>22</v>
      </c>
      <c r="G43" s="889">
        <v>2322.39</v>
      </c>
      <c r="N43" s="831"/>
      <c r="O43" s="831"/>
      <c r="P43" s="831"/>
      <c r="Q43" s="831"/>
      <c r="R43" s="878"/>
      <c r="S43" s="878"/>
    </row>
    <row r="44" spans="1:41">
      <c r="A44" s="828" t="str">
        <f>+IF(Parametres!$B$3=$C44,"X","")</f>
        <v/>
      </c>
      <c r="B44" s="828" t="str">
        <f>+IF(VLOOKUP($C44,Parametres!$K$3:$N$14,4,0)="X","X","")</f>
        <v/>
      </c>
      <c r="C44" s="890" t="s">
        <v>300</v>
      </c>
      <c r="E44" s="889">
        <v>27</v>
      </c>
      <c r="F44" s="889">
        <v>22</v>
      </c>
      <c r="G44" s="889">
        <v>2796.57</v>
      </c>
      <c r="H44" s="878"/>
      <c r="I44" s="879"/>
      <c r="N44" s="831"/>
      <c r="O44" s="831"/>
      <c r="P44" s="831"/>
      <c r="Q44" s="831"/>
      <c r="R44" s="878"/>
      <c r="S44" s="878"/>
    </row>
    <row r="45" spans="1:41">
      <c r="A45" s="828" t="str">
        <f>+IF(Parametres!$B$3=$C45,"X","")</f>
        <v/>
      </c>
      <c r="B45" s="828" t="str">
        <f>+IF(VLOOKUP($C45,Parametres!$K$3:$N$14,4,0)="X","X","")</f>
        <v/>
      </c>
      <c r="C45" s="890" t="s">
        <v>3</v>
      </c>
      <c r="E45" s="889">
        <v>26</v>
      </c>
      <c r="F45" s="889">
        <v>22</v>
      </c>
      <c r="G45" s="889">
        <v>3451.22</v>
      </c>
      <c r="H45" s="878"/>
      <c r="I45" s="879"/>
      <c r="N45" s="831"/>
      <c r="O45" s="831"/>
      <c r="P45" s="831"/>
      <c r="Q45" s="831"/>
      <c r="R45" s="878"/>
      <c r="S45" s="878"/>
    </row>
    <row r="46" spans="1:41" ht="18" customHeight="1">
      <c r="A46" s="828" t="str">
        <f>+IF(Parametres!$B$3=$C46,"X","")</f>
        <v/>
      </c>
      <c r="B46" s="828" t="str">
        <f>+IF(VLOOKUP($C46,Parametres!$K$3:$N$14,4,0)="X","X","")</f>
        <v/>
      </c>
      <c r="C46" s="890" t="s">
        <v>301</v>
      </c>
      <c r="E46" s="889">
        <v>22</v>
      </c>
      <c r="F46" s="889">
        <v>22</v>
      </c>
      <c r="G46" s="889">
        <v>2901.53</v>
      </c>
      <c r="H46" s="878"/>
      <c r="I46" s="879"/>
      <c r="N46" s="831"/>
      <c r="O46" s="831"/>
      <c r="P46" s="831"/>
      <c r="Q46" s="831"/>
      <c r="R46" s="878"/>
      <c r="S46" s="878"/>
    </row>
    <row r="47" spans="1:41">
      <c r="A47" s="828" t="str">
        <f>+IF(Parametres!$B$3=$C47,"X","")</f>
        <v/>
      </c>
      <c r="B47" s="828" t="str">
        <f>+IF(VLOOKUP($C47,Parametres!$K$3:$N$14,4,0)="X","X","")</f>
        <v/>
      </c>
      <c r="C47" s="891" t="s">
        <v>302</v>
      </c>
      <c r="E47" s="889">
        <v>22</v>
      </c>
      <c r="F47" s="889">
        <v>22</v>
      </c>
      <c r="G47" s="889">
        <v>2924.65</v>
      </c>
    </row>
    <row r="48" spans="1:41">
      <c r="A48" s="828" t="str">
        <f>+IF(Parametres!$B$3=$C48,"X","")</f>
        <v/>
      </c>
      <c r="B48" s="828" t="str">
        <f>+IF(VLOOKUP($C48,Parametres!$K$3:$N$14,4,0)="X","X","")</f>
        <v/>
      </c>
      <c r="C48" s="892" t="s">
        <v>303</v>
      </c>
      <c r="E48" s="893"/>
      <c r="F48" s="889">
        <v>22</v>
      </c>
      <c r="G48" s="89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Q2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'Q2'!Zone_d_impression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Maxime Allard</cp:lastModifiedBy>
  <cp:lastPrinted>2026-07-14T17:00:13Z</cp:lastPrinted>
  <dcterms:created xsi:type="dcterms:W3CDTF">2020-10-20T13:57:48Z</dcterms:created>
  <dcterms:modified xsi:type="dcterms:W3CDTF">2026-08-11T04:48:17Z</dcterms:modified>
</cp:coreProperties>
</file>